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0" yWindow="150" windowWidth="19080" windowHeight="11550" tabRatio="751" firstSheet="1" activeTab="1"/>
  </bookViews>
  <sheets>
    <sheet name="MW-Cache" sheetId="20" state="veryHidden" r:id="rId1"/>
    <sheet name="ImportantDisclosures" sheetId="74" r:id="rId2"/>
    <sheet name="IS" sheetId="67" r:id="rId3"/>
    <sheet name="ProFormaRevBuild" sheetId="66" r:id="rId4"/>
    <sheet name="OrgRev" sheetId="13" r:id="rId5"/>
    <sheet name="EUROIMMUN" sheetId="69" r:id="rId6"/>
    <sheet name="BS" sheetId="12" r:id="rId7"/>
    <sheet name="CFS" sheetId="11" r:id="rId8"/>
    <sheet name="Debt" sheetId="40" r:id="rId9"/>
    <sheet name="IndexInformation" sheetId="75" r:id="rId10"/>
    <sheet name="ModPubIndex" sheetId="76" r:id="rId11"/>
  </sheets>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__FDS_HYPERLINK_TOGGLE_STATE__" hidden="1">"ON"</definedName>
    <definedName name="__FDS_UNIQUE_RANGE_ID_GENERATOR_COUNTER">73</definedName>
    <definedName name="_1__FDSAUDITLINK__" localSheetId="8"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 localSheetId="5"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_1"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_2"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FD" localSheetId="5" hidden="1">{"fdsup://directions/FAT Viewer?action=UPDATE&amp;creator=factset&amp;DYN_ARGS=TRUE&amp;DOC_NAME=FAT:FQL_AUDITING_CLIENT_TEMPLATE.FAT&amp;display_string=Audit&amp;VAR:KEY=INYTGXKJMR&amp;VAR:QUERY=RkZfRUJJVERBKCdRVFInLDA2LzMwLzIwMDkp&amp;WINDOW=FIRST_POPUP&amp;HEIGHT=450&amp;WIDTH=450&amp;START_MA","XIMIZED=FALSE&amp;VAR:CALENDAR=US&amp;VAR:SYMBOL=CCMP&amp;VAR:INDEX=0"}</definedName>
    <definedName name="_1_FD" hidden="1">{"fdsup://directions/FAT Viewer?action=UPDATE&amp;creator=factset&amp;DYN_ARGS=TRUE&amp;DOC_NAME=FAT:FQL_AUDITING_CLIENT_TEMPLATE.FAT&amp;display_string=Audit&amp;VAR:KEY=INYTGXKJMR&amp;VAR:QUERY=RkZfRUJJVERBKCdRVFInLDA2LzMwLzIwMDkp&amp;WINDOW=FIRST_POPUP&amp;HEIGHT=450&amp;WIDTH=450&amp;START_MA","XIMIZED=FALSE&amp;VAR:CALENDAR=US&amp;VAR:SYMBOL=CCMP&amp;VAR:INDEX=0"}</definedName>
    <definedName name="_10__123Graph_Aｸﾞﾗﾌ_1" hidden="1">[1]ｾｸﾞﾒﾝﾄ!$E$164:$I$164</definedName>
    <definedName name="_10__FDSAUDITLINK__" localSheetId="8"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 localSheetId="5"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_1"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_2"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0__FDSAUDITLINK__" localSheetId="8"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 localSheetId="5"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_1"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_2"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1__FDSAUDITLINK__" localSheetId="8"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 localSheetId="5"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_1"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_2"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2__FDSAUDITLINK__" localSheetId="8"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 localSheetId="5"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_1"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_2"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3__FDSAUDITLINK__" localSheetId="8"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 localSheetId="5"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_1"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_2"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4__FDSAUDITLINK__" localSheetId="8"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 localSheetId="5"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_1"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_2"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5__FDSAUDITLINK__" localSheetId="8"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 localSheetId="5"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6__FDSAUDITLINK__" localSheetId="8"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 localSheetId="5"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_1"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_2"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7__FDSAUDITLINK__" localSheetId="8"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 localSheetId="5"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_1"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_2"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8__FDSAUDITLINK__" localSheetId="8"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 localSheetId="5"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9__FDSAUDITLINK__" localSheetId="8"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 localSheetId="5"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_1"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_2"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1__123Graph_Aｸﾞﾗﾌ_2" hidden="1">[1]単独!$AR$14:$AR$18</definedName>
    <definedName name="_11__FDSAUDITLINK__" localSheetId="8"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 localSheetId="5"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_1"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_2"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0__FDSAUDITLINK__" localSheetId="8"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 localSheetId="5"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_1"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_2"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1__FDSAUDITLINK__" localSheetId="8"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 localSheetId="5"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_1"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_2"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2__FDSAUDITLINK__" localSheetId="8"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 localSheetId="5"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_1"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_2"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3__FDSAUDITLINK__" localSheetId="8"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 localSheetId="5"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_1"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_2"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4__FDSAUDITLINK__" localSheetId="8"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 localSheetId="5"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_1"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_2"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5__FDSAUDITLINK__" localSheetId="8"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 localSheetId="5"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_1"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_2"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6__FDSAUDITLINK__" localSheetId="8"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 localSheetId="5"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_1"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_2"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7__FDSAUDITLINK__" localSheetId="8"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 localSheetId="5"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_1"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_2"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8__FDSAUDITLINK__" localSheetId="8"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 localSheetId="5"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_1"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_2"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9__FDSAUDITLINK__" localSheetId="8"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 localSheetId="5"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_1"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_2"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2__FDSAUDITLINK__" localSheetId="8"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 localSheetId="5"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_1"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_2"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0__FDSAUDITLINK__" localSheetId="8"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 localSheetId="5"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_1"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_2"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1__FDSAUDITLINK__" localSheetId="8"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 localSheetId="5"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_1"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_2"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2__FDSAUDITLINK__" localSheetId="8"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 localSheetId="5"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_1"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_2"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3" localSheetId="5" hidden="1">{"fdsup://directions/FAT Viewer?action=UPDATE&amp;creator=factset&amp;DYN_ARGS=TRUE&amp;DOC_NAME=FAT:FQL_AUDITING_CLIENT_TEMPLATE.FAT&amp;display_string=Audit&amp;VAR:KEY=MDEJUJWZSF&amp;VAR:QUERY=RkZfRUJJVERBKCdRVFInLDA2LzMwLzIwMDYp&amp;WINDOW=FIRST_POPUP&amp;HEIGHT=450&amp;WIDTH=450&amp;START_MA","XIMIZED=FALSE&amp;VAR:CALENDAR=US&amp;VAR:SYMBOL=CCMP&amp;VAR:INDEX=0"}</definedName>
    <definedName name="_123" hidden="1">{"fdsup://directions/FAT Viewer?action=UPDATE&amp;creator=factset&amp;DYN_ARGS=TRUE&amp;DOC_NAME=FAT:FQL_AUDITING_CLIENT_TEMPLATE.FAT&amp;display_string=Audit&amp;VAR:KEY=MDEJUJWZSF&amp;VAR:QUERY=RkZfRUJJVERBKCdRVFInLDA2LzMwLzIwMDYp&amp;WINDOW=FIRST_POPUP&amp;HEIGHT=450&amp;WIDTH=450&amp;START_MA","XIMIZED=FALSE&amp;VAR:CALENDAR=US&amp;VAR:SYMBOL=CCMP&amp;VAR:INDEX=0"}</definedName>
    <definedName name="_123__FDSAUDITLINK__" localSheetId="8"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 localSheetId="5"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_1"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_2"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4__FDSAUDITLINK__" localSheetId="8"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 localSheetId="5"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_1"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_2"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5__FDSAUDITLINK__" localSheetId="8"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 localSheetId="5"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_1"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_2"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6__FDSAUDITLINK__" localSheetId="8"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 localSheetId="5"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_1"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_2"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7__FDSAUDITLINK__" localSheetId="8"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 localSheetId="5"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_1"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_2"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8__FDSAUDITLINK__" localSheetId="8"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 localSheetId="5"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_1"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_2"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9__FDSAUDITLINK__" localSheetId="8"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 localSheetId="5"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_1"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_2"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3__123Graph_BCHART_111" hidden="1">[2]Menu!$D$24:$M$24</definedName>
    <definedName name="_13__FDSAUDITLINK__" localSheetId="8"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 localSheetId="5"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_1"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_2"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0__FDSAUDITLINK__" localSheetId="8"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 localSheetId="5"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1__FDSAUDITLINK__" localSheetId="8"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 localSheetId="5"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_1"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_2"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2__FDSAUDITLINK__" localSheetId="8"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 localSheetId="5"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_1"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_2"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3__FDSAUDITLINK__" localSheetId="8"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 localSheetId="5"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4__FDSAUDITLINK__" localSheetId="8"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 localSheetId="5"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_1"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_2"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5__FDSAUDITLINK__" localSheetId="8"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 localSheetId="5"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_1"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_2"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6__FDSAUDITLINK__" localSheetId="8"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 localSheetId="5"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_1"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_2"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7__FDSAUDITLINK__" localSheetId="8"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 localSheetId="5"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_1"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_2"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8__FDSAUDITLINK__" localSheetId="8"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 localSheetId="5"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_1"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_2"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9__FDSAUDITLINK__" localSheetId="8"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 localSheetId="5"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_1"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_2"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4__123Graph_BCHART_112" hidden="1">[2]Menu!$D$18:$M$18</definedName>
    <definedName name="_14__FDSAUDITLINK__" localSheetId="8"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 localSheetId="5"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_1"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_2"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0__FDSAUDITLINK__" localSheetId="8"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 localSheetId="5"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1__FDSAUDITLINK__" localSheetId="8"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 localSheetId="5"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_1"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_2"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2__FDSAUDITLINK__" localSheetId="8"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 localSheetId="5"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_1"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_2"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5__123Graph_BCHART_26" hidden="1">[2]Menu!$D$88:$M$88</definedName>
    <definedName name="_15__FDSAUDITLINK__" localSheetId="8"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 localSheetId="5"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_1"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_2"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6__FDSAUDITLINK__" localSheetId="8"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 localSheetId="5"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_1"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_2"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7__FDSAUDITLINK__" localSheetId="8"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 localSheetId="5"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_1"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_2"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8__123Graph_Bｸﾞﾗﾌ_1" hidden="1">[1]ｾｸﾞﾒﾝﾄ!$E$165:$I$165</definedName>
    <definedName name="_18__FDSAUDITLINK__" localSheetId="8"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 localSheetId="5"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_1"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_2"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9__123Graph_CCHART_111" hidden="1">[2]Menu!$D$25:$M$25</definedName>
    <definedName name="_19__FDSAUDITLINK__" localSheetId="8"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 localSheetId="5"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_1"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_2"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Q_01E">"_01"</definedName>
    <definedName name="_2__123Graph_ACHART_111" hidden="1">[2]Menu!$D$23:$M$23</definedName>
    <definedName name="_2__FDSAUDITLINK__" localSheetId="8"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 localSheetId="5"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_1"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_2"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0__123Graph_CCHART_112" hidden="1">[2]Menu!$D$19:$M$19</definedName>
    <definedName name="_20__FDSAUDITLINK__" localSheetId="8"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 localSheetId="5"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_1"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_2"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1__123Graph_CCHART_26" hidden="1">[2]Menu!$D$92:$M$92</definedName>
    <definedName name="_21__FDSAUDITLINK__" localSheetId="8"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 localSheetId="5"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_1"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_2"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2__123Graph_CCHART_30" hidden="1">[2]Menu!$D$12:$M$12</definedName>
    <definedName name="_22__FDSAUDITLINK__" localSheetId="8"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 localSheetId="5"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_1"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_2"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3__FDSAUDITLINK__" localSheetId="8"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 localSheetId="5"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_1"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_2"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4__123Graph_DCHART_112" hidden="1">[2]Menu!$D$16:$M$16</definedName>
    <definedName name="_24__FDSAUDITLINK__" localSheetId="8"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 localSheetId="5"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_1"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_2"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5__123Graph_Dｸﾞﾗﾌ_1" hidden="1">[1]ｾｸﾞﾒﾝﾄ!$E$167:$I$167</definedName>
    <definedName name="_25__FDSAUDITLINK__" localSheetId="8"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 localSheetId="5"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_1"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_2"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6__FDSAUDITLINK__" localSheetId="8"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 localSheetId="5"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_1"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_2"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7__FDSAUDITLINK__" localSheetId="8"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 localSheetId="5"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_1"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_2"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8__FDSAUDITLINK__" localSheetId="8"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 localSheetId="5"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_1"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_2"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9__123Graph_XCHART_112" hidden="1">[2]Menu!$AF$15:$AO$15</definedName>
    <definedName name="_29__FDSAUDITLINK__" localSheetId="8"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 localSheetId="5"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_1"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_2"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3__123Graph_ACHART_112" hidden="1">[2]Menu!$D$17:$M$17</definedName>
    <definedName name="_3__FDSAUDITLINK__" localSheetId="8"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 localSheetId="5"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_1"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_2"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0__123Graph_XCHART_30" hidden="1">[2]Menu!$AF$15:$AO$15</definedName>
    <definedName name="_30__FDSAUDITLINK__" localSheetId="8"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 localSheetId="5"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_1"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_2"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1__123Graph_XLIQUIDS" hidden="1">[3]P!$R$29:$AK$29</definedName>
    <definedName name="_31__FDSAUDITLINK__" localSheetId="8"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 localSheetId="5"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_1"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_2"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2__123Graph_XR_M_MARG" hidden="1">[3]P!$R$29:$AK$29</definedName>
    <definedName name="_32__FDSAUDITLINK__" localSheetId="8"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 localSheetId="5"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_1"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_2"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3__FDSAUDITLINK__" localSheetId="8"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 localSheetId="5"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_1"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_2"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4__FDSAUDITLINK__" localSheetId="8"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 localSheetId="5"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_1"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_2"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5__FDSAUDITLINK__" localSheetId="8"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 localSheetId="5"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_1"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_2"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6__FDSAUDITLINK__" localSheetId="8"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 localSheetId="5"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_1"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_2"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7__FDSAUDITLINK__" localSheetId="8"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 localSheetId="5"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_1"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_2"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8__FDSAUDITLINK__" localSheetId="8"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 localSheetId="5"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_1"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_2"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9__FDSAUDITLINK__" localSheetId="8"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 localSheetId="5"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_1"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_2"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4__123Graph_ACHART_26" hidden="1">[2]Menu!$D$83:$M$83</definedName>
    <definedName name="_4__FDSAUDITLINK__" localSheetId="8"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 localSheetId="5"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_1"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_2"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0__FDSAUDITLINK__" localSheetId="8"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 localSheetId="5"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_1"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_2"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1__FDSAUDITLINK__" localSheetId="8"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 localSheetId="5"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_1"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_2"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2__FDSAUDITLINK__" localSheetId="8"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 localSheetId="5"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_1"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_2"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3__FDSAUDITLINK__" localSheetId="8"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 localSheetId="5"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4__FDSAUDITLINK__" localSheetId="8"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 localSheetId="5"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_1"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_2"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5__FDSAUDITLINK__" localSheetId="8"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 localSheetId="5"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6__FDSAUDITLINK__" localSheetId="8"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 localSheetId="5"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_1"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_2"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7__FDSAUDITLINK__" localSheetId="8"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 localSheetId="5"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_1"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_2"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8__FDSAUDITLINK__" localSheetId="8"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 localSheetId="5"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_1"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_2"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9__FDSAUDITLINK__" localSheetId="8"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 localSheetId="5"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_1"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_2"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__FDSAUDITLINK__" localSheetId="8"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 localSheetId="5"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_1"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_2"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0__FDSAUDITLINK__" localSheetId="8"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 localSheetId="5"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_1"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_2"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1__FDSAUDITLINK__" localSheetId="8"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 localSheetId="5"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_1"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_2"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2__FDSAUDITLINK__" localSheetId="8"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 localSheetId="5"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_1"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_2"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3__FDSAUDITLINK__" localSheetId="8"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 localSheetId="5"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_1"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_2"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4__FDSAUDITLINK__" localSheetId="8"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 localSheetId="5"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_1"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_2"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5__FDSAUDITLINK__" localSheetId="8"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 localSheetId="5"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_1"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_2"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6__FDSAUDITLINK__" localSheetId="8"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 localSheetId="5"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_1"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_2"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7__FDSAUDITLINK__" localSheetId="8"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 localSheetId="5"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_1"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_2"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8__FDSAUDITLINK__" localSheetId="8"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 localSheetId="5"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_1"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_2"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9__FDSAUDITLINK__" localSheetId="8"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 localSheetId="5"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_1"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_2"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6__FDSAUDITLINK__" localSheetId="8"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 localSheetId="5"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_1"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_2"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0__FDSAUDITLINK__" localSheetId="8"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 localSheetId="5"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_1"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_2"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1__FDSAUDITLINK__" localSheetId="8"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 localSheetId="5"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_1"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_2"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2__FDSAUDITLINK__" localSheetId="8"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 localSheetId="5"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_1"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_2"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3__FDSAUDITLINK__" localSheetId="8"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 localSheetId="5"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_1"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_2"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4__FDSAUDITLINK__" localSheetId="8"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 localSheetId="5"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_1"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_2"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5__FDSAUDITLINK__" localSheetId="8"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 localSheetId="5"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_1"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_2"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6__FDSAUDITLINK__" localSheetId="8"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 localSheetId="5"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_1"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_2"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7__FDSAUDITLINK__" localSheetId="8"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 localSheetId="5"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_1"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_2"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8__FDSAUDITLINK__" localSheetId="8"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 localSheetId="5"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_1"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_2"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9__FDSAUDITLINK__" localSheetId="8"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 localSheetId="5"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_1"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_2"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7__123Graph_ACHART_30" hidden="1">[2]Menu!$D$11:$M$11</definedName>
    <definedName name="_7__FDSAUDITLINK__" localSheetId="8"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 localSheetId="5"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_1"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_2"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0__FDSAUDITLINK__" localSheetId="8"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 localSheetId="5"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1__FDSAUDITLINK__" localSheetId="8"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 localSheetId="5"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_1"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_2"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2__FDSAUDITLINK__" localSheetId="8"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 localSheetId="5"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3__FDSAUDITLINK__" localSheetId="8"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 localSheetId="5"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4__FDSAUDITLINK__" localSheetId="8"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 localSheetId="5"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_1"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_2"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5__FDSAUDITLINK__" localSheetId="8"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 localSheetId="5"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_1"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_2"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6__FDSAUDITLINK__" localSheetId="8"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 localSheetId="5"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_1"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_2"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7__FDSAUDITLINK__" localSheetId="8"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 localSheetId="5"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_1"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_2"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8__FDSAUDITLINK__" localSheetId="8"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 localSheetId="5"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_1"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_2"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9__FDSAUDITLINK__" localSheetId="8"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 localSheetId="5"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_1"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_2"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8__123Graph_ALIQUIDS" hidden="1">[3]P!$S$78:$AL$78</definedName>
    <definedName name="_8__FDSAUDITLINK__" localSheetId="8"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 localSheetId="5"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_1"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_2"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0__FDSAUDITLINK__" localSheetId="8"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 localSheetId="5"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_1"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_2"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1__FDSAUDITLINK__" localSheetId="8"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 localSheetId="5"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_1"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_2"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2__FDSAUDITLINK__" localSheetId="8"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 localSheetId="5"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_1"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_2"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3__FDSAUDITLINK__" localSheetId="8"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 localSheetId="5"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_1"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_2"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4__FDSAUDITLINK__" localSheetId="8"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 localSheetId="5"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_1"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_2"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5__FDSAUDITLINK__" localSheetId="8"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 localSheetId="5"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_1"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_2"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6__FDSAUDITLINK__" localSheetId="8"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 localSheetId="5"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_1"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_2"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7__FDSAUDITLINK__" localSheetId="8"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 localSheetId="5"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_1"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_2"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8__FDSAUDITLINK__" localSheetId="8"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 localSheetId="5"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_1"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_2"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9__FDSAUDITLINK__" localSheetId="8"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 localSheetId="5"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_1"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_2"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9__FDSAUDITLINK__" localSheetId="8"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 localSheetId="5"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_1"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_2"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0__FDSAUDITLINK__" localSheetId="8"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 localSheetId="5"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_1"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_2"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1__FDSAUDITLINK__" localSheetId="8"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 localSheetId="5"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_1"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_2"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2__FDSAUDITLINK__" localSheetId="8"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 localSheetId="5"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_1"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_2"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3__FDSAUDITLINK__" localSheetId="8"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 localSheetId="5"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_1"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_2"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4__FDSAUDITLINK__" localSheetId="8"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 localSheetId="5"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_1"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_2"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5__FDSAUDITLINK__" localSheetId="8"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 localSheetId="5"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6__FDSAUDITLINK__" localSheetId="8"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 localSheetId="5"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_1"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_2"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7__FDSAUDITLINK__" localSheetId="8"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 localSheetId="5"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_1"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_2"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8__FDSAUDITLINK__" localSheetId="8"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 localSheetId="5"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9__FDSAUDITLINK__" localSheetId="8"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 localSheetId="5"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_1"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_2"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a1" hidden="1">{"comp1",#N/A,FALSE,"COMPS";"footnotes",#N/A,FALSE,"COMPS"}</definedName>
    <definedName name="_aa1" hidden="1">{#N/A,#N/A,TRUE,"Pro Forma";#N/A,#N/A,TRUE,"PF_Bal";#N/A,#N/A,TRUE,"PF_INC";#N/A,#N/A,TRUE,"CBE";#N/A,#N/A,TRUE,"SWK"}</definedName>
    <definedName name="_ab1" hidden="1">{"comp1",#N/A,FALSE,"COMPS";"footnotes",#N/A,FALSE,"COMPS"}</definedName>
    <definedName name="_ae1" hidden="1">{#N/A,#N/A,FALSE,"Calc";#N/A,#N/A,FALSE,"Sensitivity";#N/A,#N/A,FALSE,"LT Earn.Dil.";#N/A,#N/A,FALSE,"Dil. AVP"}</definedName>
    <definedName name="_af1" hidden="1">"c1455"</definedName>
    <definedName name="_af10" hidden="1">"c2141"</definedName>
    <definedName name="_af11" hidden="1">"c1382"</definedName>
    <definedName name="_af12" hidden="1">"c1385"</definedName>
    <definedName name="_af13" hidden="1">"c1435"</definedName>
    <definedName name="_af14" hidden="1">"c1436"</definedName>
    <definedName name="_af15" hidden="1">"c1424"</definedName>
    <definedName name="_af16" hidden="1">"c1345"</definedName>
    <definedName name="_af18" hidden="1">"c1438"</definedName>
    <definedName name="_af19">{"Client Name or Project Name"}</definedName>
    <definedName name="_af2" hidden="1">"c1352"</definedName>
    <definedName name="_af20">{"Client Name or Project Name"}</definedName>
    <definedName name="_af21">{"Client Name or Project Name"}</definedName>
    <definedName name="_af22">{"Client Name or Project Name"}</definedName>
    <definedName name="_af23">{126}</definedName>
    <definedName name="_af24">{1}</definedName>
    <definedName name="_af25">{0}</definedName>
    <definedName name="_af26">{126}</definedName>
    <definedName name="_af27">{"Client Name or Project Name"}</definedName>
    <definedName name="_af28">{"Client Name or Project Name"}</definedName>
    <definedName name="_af3" hidden="1">"c1353"</definedName>
    <definedName name="_af30">{"Client Name or Project Name"}</definedName>
    <definedName name="_af31">{"Client Name or Project Name"}</definedName>
    <definedName name="_af32">{"Client Name or Project Name"}</definedName>
    <definedName name="_af33">{"Client Name or Project Name"}</definedName>
    <definedName name="_af34">{"Client Name or Project Name"}</definedName>
    <definedName name="_af35">{"Client Name or Project Name"}</definedName>
    <definedName name="_af36">{"Client Name or Project Name"}</definedName>
    <definedName name="_af37" hidden="1">{"Client is",#N/A,FALSE,"Client"}</definedName>
    <definedName name="_af38" hidden="1">{TRUE,TRUE,-1.25,-15.5,456.75,279.75,FALSE,FALSE,TRUE,TRUE,0,1,18,1,199,6,3,4,TRUE,TRUE,3,TRUE,1,TRUE,100,"Swvu.cash.","ACwvu.cash.",1,FALSE,FALSE,0.511811023622047,0.511811023622047,0.511811023622047,0.511811023622047,1,"","",FALSE,FALSE,FALSE,FALSE,1,#N/A,1,1,#DIV/0!,FALSE,"Rwvu.cash.",#N/A,FALSE,FALSE}</definedName>
    <definedName name="_af39" hidden="1">{TRUE,TRUE,-1.25,-15.5,456.75,279.75,FALSE,FALSE,TRUE,TRUE,0,1,21,1,127,6,3,4,TRUE,TRUE,3,TRUE,1,TRUE,100,"Swvu.profits.","ACwvu.profits.",1,FALSE,FALSE,0.511811023622047,0.511811023622047,0.511811023622047,0.511811023622047,1,"","",FALSE,FALSE,FALSE,FALSE,1,#N/A,1,1,#DIV/0!,FALSE,"Rwvu.profits.",#N/A,FALSE,FALSE}</definedName>
    <definedName name="_af4" hidden="1">"c1354"</definedName>
    <definedName name="_af40" hidden="1">{TRUE,TRUE,-1.25,-15.5,456.75,279.75,FALSE,FALSE,TRUE,TRUE,0,1,8,1,4,6,3,4,TRUE,TRUE,3,TRUE,1,TRUE,100,"Swvu.turnover.","ACwvu.turnover.",1,FALSE,FALSE,0.511811023622047,0.511811023622047,0.511811023622047,0.511811023622047,1,"","",FALSE,FALSE,FALSE,FALSE,1,#N/A,1,1,#DIV/0!,FALSE,"Rwvu.turnover.",#N/A,FALSE,FALSE}</definedName>
    <definedName name="_af5" hidden="1">"c1411"</definedName>
    <definedName name="_af6" hidden="1">"c1431"</definedName>
    <definedName name="_af7" hidden="1">"c1433"</definedName>
    <definedName name="_af8" hidden="1">"c1434"</definedName>
    <definedName name="_af9" hidden="1">"c1432"</definedName>
    <definedName name="_am1" hidden="1">{#N/A,#N/A,TRUE,"Pro Forma";#N/A,#N/A,TRUE,"PF_Bal";#N/A,#N/A,TRUE,"PF_INC";#N/A,#N/A,TRUE,"CBE";#N/A,#N/A,TRUE,"SWK"}</definedName>
    <definedName name="_as1" hidden="1">{"comp1",#N/A,FALSE,"COMPS";"footnotes",#N/A,FALSE,"COMPS"}</definedName>
    <definedName name="_ASM1">{9}</definedName>
    <definedName name="_ASM2">{9}</definedName>
    <definedName name="_bdm.02E29E7B1053433EA3CCCBE4E5141596.edm" hidden="1">[4]Sheet1!$A:$IV</definedName>
    <definedName name="_bdm.04C5AA2600C748D9976A3AFD2C93DCC8.edm" hidden="1">'[5]PT ranges'!$A:$IV</definedName>
    <definedName name="_bdm.0653F925CEFF4235B0E47B4A9E32BF06.edm" hidden="1">'[6]Drought Tolerant Corn'!$A:$IV</definedName>
    <definedName name="_bdm.078682DCAB16450A85FD74463F1BD950.edm" hidden="1">[5]Benchmarks_All_green2!$A:$IV</definedName>
    <definedName name="_bdm.11ACF68E12E84DEC85A4F7F6170C1192.edm" hidden="1">'[6]Base, Bull, Bear'!$A:$IV</definedName>
    <definedName name="_bdm.1571518A11C24C97A38D4DE75B053AFD.edm" hidden="1">[7]ImpliedValueGap!$A:$IV</definedName>
    <definedName name="_bdm.18648CE7D7374A9493CD98BD470140A1.edm" hidden="1">'[8]Front page benchmarks_9x3'!$A:$IV</definedName>
    <definedName name="_bdm.19A8D364E53543C88276280D6F015454.edm" hidden="1">'[8]Front page benchmarks_6x5'!$A:$IV</definedName>
    <definedName name="_bdm.19FA01FD14714E5B8C39F064B7BEEA9E.edm" hidden="1">'[6]Insect Protected Soybeans'!$A:$IV</definedName>
    <definedName name="_bdm.1AF4D27A0D474BF185C5A9CD1C5EAE38.edm" hidden="1">[5]FCFBreakout!$A:$IV</definedName>
    <definedName name="_bdm.1D18DF6CFA684AC680C55077554D7B94.edm" hidden="1">'[9]exh 11'!$A:$IV</definedName>
    <definedName name="_bdm.1DF4B3E45DCE4C2A9D635C38C907064B.edm" hidden="1">'[10]2010 by segment'!$A:$IV</definedName>
    <definedName name="_bdm.1E9FDF00342E4981B340488FB450FE5C.edm" hidden="1">[11]Guidance!$A:$IV</definedName>
    <definedName name="_bdm.20547D978E4244BABBA1685A4319ADB8.edm" hidden="1">'[6]Vistive III Soybeans'!$A:$IV</definedName>
    <definedName name="_bdm.261112BAE8204F8280374C78A1E02552.edm" hidden="1" xml:space="preserve"> [5]C1000!$A:$IV</definedName>
    <definedName name="_bdm.27D6534ED2D94BC49A5D0622B99BFA1C.edm" hidden="1">[5]Stack3!$A:$IV</definedName>
    <definedName name="_bdm.2C84A3B80B434D40BBF2FCC060EC8AA8.edm" hidden="1">[8]Benchmarks_All_gray2!$A:$IV</definedName>
    <definedName name="_bdm.2E67EE077920481EAD22E06729917489.edm" hidden="1">'[5]Financial Summary 2'!$A:$IV</definedName>
    <definedName name="_bdm.30A25297C082446BA0EB64516D20D033.edm" hidden="1">[11]DCF!$A:$IV</definedName>
    <definedName name="_bdm.34C4DAD029D048F19B9531FEFBB3F150.edm" hidden="1">'[8]Sector yardstick_OLD'!$A:$IV</definedName>
    <definedName name="_bdm.366416D132E9473EBC9264C3384F125F.edm" hidden="1">[5]debt2equity!$A:$IV</definedName>
    <definedName name="_bdm.3A4640437D01437A8C06A4E0C5EBC434.edm" hidden="1">[11]Variance!$A:$IV</definedName>
    <definedName name="_bdm.3C6FEB15B3724B629EB475F3DDABB357.edm" hidden="1">[12]NOPAT!$A:$IV</definedName>
    <definedName name="_bdm.3FB8BE64D2964A24B1498FEB92064258.edm" hidden="1">[5]Benchmarks_All_green1!$A:$IV</definedName>
    <definedName name="_bdm.418638C7AAD843FFAE8A28CD0C61E862.edm" hidden="1">[7]Recommendations!$A:$IV</definedName>
    <definedName name="_bdm.42F67CCC3C1C45638B5EC98256E90947.edm" hidden="1">'[13]Good 12-00 (2)'!$A:$IV</definedName>
    <definedName name="_bdm.44C4106DCB464E51951B6B466B6FD355.edm" hidden="1">'[9]exh 14'!$A:$IV</definedName>
    <definedName name="_bdm.453A889421374585A44D397776A28F15.edm" hidden="1">'[5]Consensus Snapshot table'!$A:$IV</definedName>
    <definedName name="_bdm.46D56600DB7840728F138544F8E425DB.edm" hidden="1">'[13]Good 11-36'!$A:$IV</definedName>
    <definedName name="_bdm.4DF0A33C9B6D46E5A0B6CFDAB0046B18.edm" hidden="1">'[14]MON Top 10'!$A:$IV</definedName>
    <definedName name="_bdm.507D8D2867AB48E79834FFAAA18F4579.edm" hidden="1">[5]debt2ebitda!$A:$IV</definedName>
    <definedName name="_bdm.55798541B9994E74B8C9163FD6ABCE05.edm" hidden="1">'[9]exh 12'!$A:$IV</definedName>
    <definedName name="_bdm.5663C836E2BC44BDB51381FA53AD897E.edm" hidden="1">'[6]YieldGard VT Pro'!$A:$IV</definedName>
    <definedName name="_bdm.5D685B7C6E1841F0AEA8317EB4425264.edm" hidden="1">'[8]Front page benchmarks_6x3'!$A:$IV</definedName>
    <definedName name="_bdm.5E705965181543A591C6C0C699609B83.edm" hidden="1">'[6]Monsanto Model'!$A:$IV</definedName>
    <definedName name="_bdm.6039955D54404AA987EDA2B99F035F29.edm" hidden="1">'[6]Higher Yielding Soybeans'!$A:$IV</definedName>
    <definedName name="_bdm.60A1016E4A5045B0B4BE42FB21AAF6D6.edm" hidden="1">'[13]Good 11-50'!$A:$IV</definedName>
    <definedName name="_bdm.62FAA1C41ADF47D6B5A8BD08A09D77F1.edm" hidden="1">'[6]Omega 3 Soybeans'!$A:$IV</definedName>
    <definedName name="_bdm.6469693EEE2841B6AE43A0CC0FCD709D.edm" hidden="1">[5]FCF!$A:$IV</definedName>
    <definedName name="_bdm.65F3CDFC8D9546818CF804EB8D87D5E0.edm" hidden="1">'[6]Drought Tolerant Cotton'!$A:$IV</definedName>
    <definedName name="_bdm.6D50F6FF11E04B4281266DEA9438E7BB.edm" hidden="1">[11]Preview!$A:$IV</definedName>
    <definedName name="_bdm.7212FA5D34CB4D328DBE314E8AC58B0A.edm" hidden="1">'[6]Dicamba - Tolerant Soybeans'!$A:$IV</definedName>
    <definedName name="_bdm.75CD7042B4C5449095D0FEAF568F54D3.edm" hidden="1">'[5]EPS ranges'!$A:$IV</definedName>
    <definedName name="_bdm.78BD86300FBF4248A5D5485BBAB2A12B.edm" hidden="1">[15]Feedstocks!$A:$IV</definedName>
    <definedName name="_bdm.79A82830118C44EA80EDBBD7679B7A20.edm" hidden="1">'[6]Higher Yield Canola'!$A:$IV</definedName>
    <definedName name="_bdm.7D890F2226B34DCA9CB5A77D3B3202AF.edm" hidden="1">'[16]Relative Valuation table_OLD'!$A:$IV</definedName>
    <definedName name="_bdm.95D97703F0B44275930D649261210A38.edm" hidden="1">[5]C1000!$A:$IV</definedName>
    <definedName name="_bdm.986DF0CFD4EC49059F5ED39C1C52ACBE.edm" hidden="1">'[5]RNOA waterfall'!$A:$IV</definedName>
    <definedName name="_bdm.9F4E04C01857407C983991AE261A4C55.edm" hidden="1">'[5]Financial Summary 1'!$A:$IV</definedName>
    <definedName name="_bdm.AECA246EF2AF489CB05303397C716DD4.edm" hidden="1">'[9]exh 10'!$A:$IV</definedName>
    <definedName name="_bdm.AFE59AE19DE446B38EC5DCE5D51B1454.edm" hidden="1">'[6]Higher Yielding Corn'!$A:$IV</definedName>
    <definedName name="_bdm.B40CF78862D94AD1A97F8AC3BE0744EA.edm" hidden="1">'[6]Roundup Ready 2 Yield'!$A:$IV</definedName>
    <definedName name="_bdm.B727C068333D4E91AB243DFD683C26A6.edm" hidden="1">'[6]Nitrogen Corn'!$A:$IV</definedName>
    <definedName name="_bdm.B90526878F0C47C1A286CDFCC6498C27.edm" hidden="1">[11]ccGro!$A:$IV</definedName>
    <definedName name="_bdm.BBE3C6B83FCD4BC2ACDE8742A674C78D.edm" hidden="1">[5]ProfMap!$A:$IV</definedName>
    <definedName name="_bdm.BC30BD55116F49D1A197F40879DC527D.edm" hidden="1">'[5]Relative Valuation table'!$A:$IV</definedName>
    <definedName name="_bdm.C13E978D53524E969BBFAD5BBE2152D4.edm" hidden="1">'[9]exh 1 and 5'!$A:$IV</definedName>
    <definedName name="_bdm.C272E86CB6DD4F5880828379DCC2FB29.edm" hidden="1">'[6]MON DCF'!$A:$IV</definedName>
    <definedName name="_bdm.C7C6FBA36F39444B8BCEC128D5B7F931.edm" hidden="1">'[13]Sheet3 (5)'!$A:$IV</definedName>
    <definedName name="_bdm.C8F18C8F8948425C91A935BF3E4FB313.edm" hidden="1">[5]Stack1!$A:$IV</definedName>
    <definedName name="_bdm.C95218118DED45C898E0CA5A74BCA5EE.edm" hidden="1">[7]PeerGroupBenchmark_ALT!$A:$IV</definedName>
    <definedName name="_bdm.CA0C704210A94C66BD5F6061790DB6BE.edm" hidden="1">'[9]exh 15'!$A:$IV</definedName>
    <definedName name="_bdm.CEDAC45096C642BBB377014B8A128FA8.edm" hidden="1">'[6]High Oil Soybeans'!$A:$IV</definedName>
    <definedName name="_bdm.CEE1C536021043C99F704AAB5CCCCC21.edm" hidden="1">'[5]Range or Recs'!$A:$IV</definedName>
    <definedName name="_bdm.D1906E8CFECF4D27A34711559B5FD808.edm" hidden="1">[12]ROE!$A:$IV</definedName>
    <definedName name="_bdm.D35E7E7C923D49759F062D3C711F4FE4.edm" hidden="1">'[9]exh 3'!$A:$IV</definedName>
    <definedName name="_bdm.D7B1773E398A4684BD173569BD29528E.edm" hidden="1">[6]SmartStax!$A:$IV</definedName>
    <definedName name="_bdm.DA8A582FC220480EA4A5F2EB1C054A57.edm" hidden="1">[17]Graphs!$A:$IV</definedName>
    <definedName name="_bdm.E0EF58331C44448FA34C7A723D54486B.edm" hidden="1">[8]Benchmarks_All_gray1!$A:$IV</definedName>
    <definedName name="_bdm.E1DF16FB2B5046DEAF5B79DB3D248DAD.edm" hidden="1">[5]Stack4!$A:$IV</definedName>
    <definedName name="_bdm.E282A148E1B34FAC820DF3BE9C378E20.edm" hidden="1">[5]Stack2!$A:$IV</definedName>
    <definedName name="_bdm.E326F959E4274B4CAF3FC1F9ACBB28A4.edm" hidden="1">[5]PeerGroupBenchmark_ALT!$A:$IV</definedName>
    <definedName name="_bdm.E3C4B65DD09C428E9C563B4367E37CD8.edm" hidden="1">[1]DCF!$A:$IV</definedName>
    <definedName name="_bdm.E7C012BD9E96411DBF8A2EA3DB332F8D.edm" hidden="1">[1]OP!$A:$IV</definedName>
    <definedName name="_bdm.E7D57D873EF34D8DA9DF4B27EB54CB68.edm" hidden="1">'[9]exh 9'!$A:$IV</definedName>
    <definedName name="_bdm.F10A135B228447E4B56BA8269EFE4612.edm" hidden="1">[5]dividends!$A:$IV</definedName>
    <definedName name="_bdm.F33B2FB3A8FD4562A9119CE2F61C29B7.edm" hidden="1">'[5]profit margins'!$A:$IV</definedName>
    <definedName name="_bdm.F7B9585296F64BD596FDD7BDFFF656B9.edm" hidden="1">[11]Changes!$A:$IV</definedName>
    <definedName name="_f1" hidden="1">{"assumption cash",#N/A,TRUE,"Merger";"has gets cash",#N/A,TRUE,"Merger";"accretion dilution",#N/A,TRUE,"Merger";"comparison credit stats",#N/A,TRUE,"Merger";"pf credit stats",#N/A,TRUE,"Merger";"pf sheets",#N/A,TRUE,"Merger"}</definedName>
    <definedName name="_fy2001">'[18]5 yr Sales and Earnings'!$C$1:$C$170</definedName>
    <definedName name="_ik1" hidden="1">{"casespecific",#N/A,FALSE,"Assumptions"}</definedName>
    <definedName name="_Key1" hidden="1">[19]単独!$U$1</definedName>
    <definedName name="_Order1">255</definedName>
    <definedName name="_Order2" hidden="1">0</definedName>
    <definedName name="_P1">[20]Bio!$A$5:$S$293</definedName>
    <definedName name="_P2">[20]Bio!$A$5:$P$293</definedName>
    <definedName name="_ppp1">{"Client Name or Project Name"}</definedName>
    <definedName name="_rb10">{"Client Name or Project Name"}</definedName>
    <definedName name="_rb12">{9}</definedName>
    <definedName name="_rb13" hidden="1">{"'Breakup 01 Euro'!$A$3:$I$30"}</definedName>
    <definedName name="_rb15" hidden="1">"c1449"</definedName>
    <definedName name="_rb16" hidden="1">"c1343"</definedName>
    <definedName name="_rb17" hidden="1">"c1341"</definedName>
    <definedName name="_rb18" hidden="1">"c1340"</definedName>
    <definedName name="_rb19" hidden="1">"c1344"</definedName>
    <definedName name="_rb20" hidden="1">"c1342"</definedName>
    <definedName name="_rb21" hidden="1">"c1591"</definedName>
    <definedName name="_rb22" hidden="1">"c1346"</definedName>
    <definedName name="_rb23" hidden="1">"c2133"</definedName>
    <definedName name="_rb24" hidden="1">"c1349"</definedName>
    <definedName name="_rb25" hidden="1">"c1350"</definedName>
    <definedName name="_rb26" hidden="1">"c1458"</definedName>
    <definedName name="_rb27" hidden="1">"c116"</definedName>
    <definedName name="_rb28" hidden="1">"c1351"</definedName>
    <definedName name="_rb29" hidden="1">"c1355"</definedName>
    <definedName name="_rb30" hidden="1">"c1357"</definedName>
    <definedName name="_rb31" hidden="1">"c1358"</definedName>
    <definedName name="_rb32" hidden="1">"c1359"</definedName>
    <definedName name="_rb33" hidden="1">"c1362"</definedName>
    <definedName name="_rb34" hidden="1">"c1363"</definedName>
    <definedName name="_rb35" hidden="1">"c1364"</definedName>
    <definedName name="_rb36" hidden="1">"c1365"</definedName>
    <definedName name="_rb37" hidden="1">"c1447"</definedName>
    <definedName name="_rb38" hidden="1">"c1356"</definedName>
    <definedName name="_rb39" hidden="1">"c1360"</definedName>
    <definedName name="_rb40" hidden="1">"c1361"</definedName>
    <definedName name="_rb41" hidden="1">"c1520"</definedName>
    <definedName name="_rb42" hidden="1">"c1367"</definedName>
    <definedName name="_rb43" hidden="1">"c1366"</definedName>
    <definedName name="_rb44" hidden="1">"c1369"</definedName>
    <definedName name="_rb45" hidden="1">"c1370"</definedName>
    <definedName name="_rb46" hidden="1">"c1371"</definedName>
    <definedName name="_rb47" hidden="1">"c1348"</definedName>
    <definedName name="_rb48" hidden="1">"c1451"</definedName>
    <definedName name="_rb49" hidden="1">"c1390"</definedName>
    <definedName name="_rb5">{9}</definedName>
    <definedName name="_rb50" hidden="1">"c1428"</definedName>
    <definedName name="_rb51" hidden="1">"c1426"</definedName>
    <definedName name="_rb52" hidden="1">"c1427"</definedName>
    <definedName name="_rb53" hidden="1">"c1429"</definedName>
    <definedName name="_rb54" hidden="1">"c1897"</definedName>
    <definedName name="_rb55" hidden="1">"c1459"</definedName>
    <definedName name="_rb56" hidden="1">"c1405"</definedName>
    <definedName name="_rb57" hidden="1">"c1406"</definedName>
    <definedName name="_rb58" hidden="1">"c1376"</definedName>
    <definedName name="_rb59" hidden="1">"c1377"</definedName>
    <definedName name="_rb60" hidden="1">"c1380"</definedName>
    <definedName name="_rb61" hidden="1">"c1446"</definedName>
    <definedName name="_rb62" hidden="1">"c1378"</definedName>
    <definedName name="_rb63" hidden="1">"c1395"</definedName>
    <definedName name="_rb64" hidden="1">"c1396"</definedName>
    <definedName name="_rb65" hidden="1">"c1375"</definedName>
    <definedName name="_rb66" hidden="1">"c1407"</definedName>
    <definedName name="_rb67" hidden="1">"c1383"</definedName>
    <definedName name="_rb68" hidden="1">"c1393"</definedName>
    <definedName name="_rb69" hidden="1">"c1384"</definedName>
    <definedName name="_rb70" hidden="1">"c1391"</definedName>
    <definedName name="_rb71" hidden="1">"c1386"</definedName>
    <definedName name="_rb72" hidden="1">"c1387"</definedName>
    <definedName name="_rb73" hidden="1">"c1388"</definedName>
    <definedName name="_rb74" hidden="1">"c1389"</definedName>
    <definedName name="_rb75" hidden="1">"c1437"</definedName>
    <definedName name="_rb76" hidden="1">"c1394"</definedName>
    <definedName name="_rb77" hidden="1">"c1368"</definedName>
    <definedName name="_rb78" hidden="1">"c1397"</definedName>
    <definedName name="_rb79" hidden="1">"c1398"</definedName>
    <definedName name="_rb8">{9}</definedName>
    <definedName name="_rb9">{9}</definedName>
    <definedName name="_Regression_Int" hidden="1">1</definedName>
    <definedName name="_rt1" hidden="1">"c1392"</definedName>
    <definedName name="_rt10" hidden="1">"c1409"</definedName>
    <definedName name="_rt11" hidden="1">"c1453"</definedName>
    <definedName name="_rt12" hidden="1">"c1410"</definedName>
    <definedName name="_rt14" hidden="1">"c2128"</definedName>
    <definedName name="_rt15" hidden="1">"c1457"</definedName>
    <definedName name="_rt16" hidden="1">"c1414"</definedName>
    <definedName name="_rt17" hidden="1">"c1416"</definedName>
    <definedName name="_rt18" hidden="1">"c1415"</definedName>
    <definedName name="_rt19" hidden="1">"c1418"</definedName>
    <definedName name="_rt2" hidden="1">"c1399"</definedName>
    <definedName name="_rt20" hidden="1">"c1412"</definedName>
    <definedName name="_rt21" hidden="1">"c1413"</definedName>
    <definedName name="_rt22" hidden="1">"c1452"</definedName>
    <definedName name="_rt24" hidden="1">"c1379"</definedName>
    <definedName name="_rt25" hidden="1">"c1402"</definedName>
    <definedName name="_rt26" hidden="1">"c1417"</definedName>
    <definedName name="_rt27" hidden="1">"c1419"</definedName>
    <definedName name="_rt28" hidden="1">"c1420"</definedName>
    <definedName name="_rt29" hidden="1">"c1421"</definedName>
    <definedName name="_rt3" hidden="1">"c1400"</definedName>
    <definedName name="_rt30" hidden="1">"c1422"</definedName>
    <definedName name="_rt31" hidden="1">"c1347"</definedName>
    <definedName name="_rt32" hidden="1">"c1425"</definedName>
    <definedName name="_rt4" hidden="1">"c1401"</definedName>
    <definedName name="_rt5" hidden="1">"c1423"</definedName>
    <definedName name="_rt6" hidden="1">"c1448"</definedName>
    <definedName name="_rt7" hidden="1">"c1403"</definedName>
    <definedName name="_rt8" hidden="1">"c1404"</definedName>
    <definedName name="_rt9" hidden="1">"c1408"</definedName>
    <definedName name="_Sort" hidden="1">[19]単独!$A$512:$AC$552</definedName>
    <definedName name="_t1" hidden="1">{"Client is",#N/A,FALSE,"Client"}</definedName>
    <definedName name="a" hidden="1">[19]ｾｸﾞﾒﾝﾄ!$E$165:$I$165</definedName>
    <definedName name="abc"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localSheetId="5" hidden="1">{#N/A,#N/A,TRUE,"Historicals";#N/A,#N/A,TRUE,"Charts";#N/A,#N/A,TRUE,"Forecasts"}</definedName>
    <definedName name="Actual" hidden="1">{#N/A,#N/A,TRUE,"Historicals";#N/A,#N/A,TRUE,"Charts";#N/A,#N/A,TRUE,"Forecasts"}</definedName>
    <definedName name="AdditionalInstructions">IndexInformation!$B$42</definedName>
    <definedName name="Address" localSheetId="1">ImportantDisclosures!$A$2:$A$2</definedName>
    <definedName name="af" hidden="1">"c1430"</definedName>
    <definedName name="AllTables">{9}</definedName>
    <definedName name="alltables1">{9}</definedName>
    <definedName name="ANA" localSheetId="10">ModPubIndex!$A$7</definedName>
    <definedName name="anscount" hidden="1">1</definedName>
    <definedName name="ASM">{9}</definedName>
    <definedName name="ASMM2">{9}</definedName>
    <definedName name="Authors" localSheetId="1">ImportantDisclosures!$A$7</definedName>
    <definedName name="Authors" localSheetId="9">IndexInformation!$B$18</definedName>
    <definedName name="b" hidden="1">[19]ｾｸﾞﾒﾝﾄ!$E$167:$I$167</definedName>
    <definedName name="BRO" localSheetId="10">ModPubIndex!$A$1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hoiceOfChem">{"Client Name or Project Name"}</definedName>
    <definedName name="Choices_Wrapper">#N/A</definedName>
    <definedName name="copy">{9}</definedName>
    <definedName name="copy2">{9}</definedName>
    <definedName name="CopyrightStamp">ImportantDisclosures!$A$27</definedName>
    <definedName name="COU" localSheetId="10">ModPubIndex!$A$5</definedName>
    <definedName name="CQEnd" localSheetId="9">IndexInformation!$B$31</definedName>
    <definedName name="Currency" localSheetId="9">IndexInformation!$B$24</definedName>
    <definedName name="Current_Year">'[21]Page 7'!$AH$34</definedName>
    <definedName name="Current_Year2">'[21]Page 8'!$AH$34</definedName>
    <definedName name="CurrentStockPrice" localSheetId="9">IndexInformation!$B$23</definedName>
    <definedName name="CurrQtrEPS" localSheetId="9">IndexInformation!$B$29</definedName>
    <definedName name="CurrYearEPS" localSheetId="9">IndexInformation!$B$11</definedName>
    <definedName name="CurrYearTotalRevenue" localSheetId="9">IndexInformation!$B$10</definedName>
    <definedName name="CurrYearTotalRevenueActual" localSheetId="9">IndexInformation!$B$32</definedName>
    <definedName name="CUSIP" localSheetId="9">IndexInformation!$B$20</definedName>
    <definedName name="CYEnd" localSheetId="9">IndexInformation!$B$30</definedName>
    <definedName name="_xlnm.Database">[0]!_xlnm.Database</definedName>
    <definedName name="Date" localSheetId="1">ImportantDisclosures!$A$8</definedName>
    <definedName name="Deleted" localSheetId="9">IndexInformation!$B$27</definedName>
    <definedName name="Description" localSheetId="9">IndexInformation!$B$7</definedName>
    <definedName name="DEVELOPMENT">5</definedName>
    <definedName name="Discipline" localSheetId="9">IndexInformation!$B$3</definedName>
    <definedName name="DISCIPLINE" localSheetId="10">ModPubIndex!$A$12</definedName>
    <definedName name="DisclosuresText">ImportantDisclosures!$A$22</definedName>
    <definedName name="Distribution" localSheetId="9">IndexInformation!$B$26</definedName>
    <definedName name="DistTable" localSheetId="1">ImportantDisclosures!#REF!</definedName>
    <definedName name="DistTablePreamble" localSheetId="1">ImportantDisclosures!#REF!</definedName>
    <definedName name="DOCDAT" localSheetId="10">ModPubIndex!$A$2</definedName>
    <definedName name="DOCTIME" localSheetId="10">ModPubIndex!$A$3</definedName>
    <definedName name="DocType" localSheetId="9">IndexInformation!$B$5</definedName>
    <definedName name="DYNO">"TARGET"</definedName>
    <definedName name="EMAIL_ALERT" localSheetId="10">ModPubIndex!$A$10</definedName>
    <definedName name="EmailAlert" localSheetId="9">IndexInformation!$B$28</definedName>
    <definedName name="EquityAdjustments">0</definedName>
    <definedName name="EquityEmployeeStockOwnershipPlan">0</definedName>
    <definedName name="EquityPaidInCapital">0</definedName>
    <definedName name="EquityTreasuryStock">0</definedName>
    <definedName name="ev.Calculation" hidden="1">-4135</definedName>
    <definedName name="ev.Initialized" hidden="1">FALSE</definedName>
    <definedName name="Exhibit_4">"QSALES1"</definedName>
    <definedName name="ｆ" hidden="1">"iQShowAnnual"</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ig1_table">[21]Data!$A$41:$F$353</definedName>
    <definedName name="Fig2_table">[21]Data!$A$361:$F$397</definedName>
    <definedName name="FINCriteriaType">1</definedName>
    <definedName name="FiveYearGrowthRate" localSheetId="9">IndexInformation!$B$16</definedName>
    <definedName name="fmv_04">{"Client Name or Project Name"}</definedName>
    <definedName name="FollowingYearEPS" localSheetId="9">IndexInformation!$B$15</definedName>
    <definedName name="FollowingYearTotalRevenue" localSheetId="9">IndexInformation!$B$14</definedName>
    <definedName name="FollowingYearTotalRevenueActual" localSheetId="9">IndexInformation!$B$34</definedName>
    <definedName name="four" hidden="1">'[5]chart-sales'!$A:$IV</definedName>
    <definedName name="grehq"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Guidanc2"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guidance1">{9}</definedName>
    <definedName name="HL" localSheetId="10">ModPubIndex!$A$8</definedName>
    <definedName name="hn.ModelVersion" hidden="1">1</definedName>
    <definedName name="hn.NoUpload" hidden="1">0</definedName>
    <definedName name="HspLogonApplication">"PLANS"</definedName>
    <definedName name="HspLogonDomain">"NORTH_AMERICA"</definedName>
    <definedName name="HspLogonServer">"garganey"</definedName>
    <definedName name="HspLogonUserName">"PLANNING"</definedName>
    <definedName name="HTML_CodePage" hidden="1">1252</definedName>
    <definedName name="HTML_Control" hidden="1">{"'Breakup 01 Euro'!$A$3:$I$30"}</definedName>
    <definedName name="HTML_Description" hidden="1">""</definedName>
    <definedName name="HTML_Email" hidden="1">""</definedName>
    <definedName name="HTML_Header" hidden="1">"Breakup 01 Euro"</definedName>
    <definedName name="HTML_LastUpdate" hidden="1">"27/02/2001"</definedName>
    <definedName name="HTML_LineAfter" hidden="1">FALSE</definedName>
    <definedName name="HTML_LineBefore" hidden="1">FALSE</definedName>
    <definedName name="HTML_Name" hidden="1">"jonasa"</definedName>
    <definedName name="HTML_OBDlg2" hidden="1">TRUE</definedName>
    <definedName name="HTML_OBDlg4" hidden="1">TRUE</definedName>
    <definedName name="HTML_OS" hidden="1">0</definedName>
    <definedName name="HTML_PathFile" hidden="1">"L:\AUTOS\XLDATA\Jonas\other\DCX_Sop.htm"</definedName>
    <definedName name="HTML_Title" hidden="1">"DAIC-INC"</definedName>
    <definedName name="Img_ML_3c7g1a7g" hidden="1">"IMG_12"</definedName>
    <definedName name="Img_ML_5h6q3g8u" hidden="1">"IMG_12"</definedName>
    <definedName name="Img_ML_6y9f7y3n" hidden="1">"IMG_12"</definedName>
    <definedName name="Img_ML_7g5e5e2b" hidden="1">"IMG_12"</definedName>
    <definedName name="Img_ML_8h7g3c9i" hidden="1">"IMG_12"</definedName>
    <definedName name="Img_ML_8h7g4d4d" hidden="1">"IMG_10"</definedName>
    <definedName name="IncomeEPSFullyDiluted">0</definedName>
    <definedName name="IncomeEPSPrimary">0</definedName>
    <definedName name="IncomeEPSRegular">0</definedName>
    <definedName name="IND" localSheetId="10">ModPubIndex!$A$9</definedName>
    <definedName name="Industry" localSheetId="1">ImportantDisclosures!$A$12</definedName>
    <definedName name="IndustryId">IndexInformation!$B$40</definedName>
    <definedName name="IndustryRating" localSheetId="1">ImportantDisclosures!$A$13</definedName>
    <definedName name="IQ" hidden="1">"c413"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PAYOUT_RATIO" hidden="1">"c3492"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38859.8503356481</definedName>
    <definedName name="IQ_REVISION_DATE__1" hidden="1">38859.8503356481</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9">IndexInformation!$B$8</definedName>
    <definedName name="LanguageCode">IndexInformation!$B$38</definedName>
    <definedName name="LastCell" localSheetId="1">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mcount" hidden="1">1</definedName>
    <definedName name="Linking_1" localSheetId="5">EUROIMMUN!$A$23:$J$91</definedName>
    <definedName name="Linking_14">IS!$A$7:$BU$83</definedName>
    <definedName name="Linking_15">OrgRev!$CS$22:$DN$36</definedName>
    <definedName name="Linking_16">IS!$A$7:$CA$83</definedName>
    <definedName name="Linking_17">EUROIMMUN!$A$23:$E$80</definedName>
    <definedName name="Linking_18">OrgRev!$CS$43:$DN$57</definedName>
    <definedName name="Linking_19">OrgRev!$CS$22:$DO$36</definedName>
    <definedName name="Linking_2" localSheetId="5">EUROIMMUN!$A$2:$I$91</definedName>
    <definedName name="Linking_2">#REF!</definedName>
    <definedName name="Linking_20">OrgRev!$CS$43:$DO$57</definedName>
    <definedName name="Linking_3">OrgRev!$CS$5:$DM$19</definedName>
    <definedName name="Linking_33">OrgRev!$CS$5:$DU$19</definedName>
    <definedName name="Linking_34">OrgRev!$CS$22:$DP$36</definedName>
    <definedName name="Linking_35">OrgRev!$CS$43:$DP$57</definedName>
    <definedName name="Linking_38">IS!$A$7:$CG$83</definedName>
    <definedName name="Linking_39">ProFormaRevBuild!$A$7:$CG$74</definedName>
    <definedName name="Linking_4">"1Q08"</definedName>
    <definedName name="Linking_41">ProFormaRevBuild!$A$7:$CM$22</definedName>
    <definedName name="Linking_43">OrgRev!$CS$22:$DQ$36</definedName>
    <definedName name="Linking_44">OrgRev!$CS$43:$DQ$57</definedName>
    <definedName name="Linking_7">OrgRev!$CS$5:$DM$21</definedName>
    <definedName name="Linking_8">OrgRev!$CS$5:$DQ$19</definedName>
    <definedName name="Linking_Range_1" localSheetId="5">EUROIMMUN!$A$2:$I$108</definedName>
    <definedName name="Linking_Range_1">[22]DCF!$G$56:$Q$66</definedName>
    <definedName name="Linking_Range_10">CFS!$A$7:$BC$66</definedName>
    <definedName name="Linking_Range_100">CFS!$A$7:$BI$56</definedName>
    <definedName name="Linking_Range_101">#REF!</definedName>
    <definedName name="Linking_Range_102">#REF!</definedName>
    <definedName name="Linking_Range_104">OrgRev!$A$5:$BO$52</definedName>
    <definedName name="Linking_Range_105">BS!$A$7:$BO$72</definedName>
    <definedName name="Linking_Range_106">CFS!$A$7:$BO$66</definedName>
    <definedName name="Linking_Range_109">OrgRev!$A$5:$BU$50</definedName>
    <definedName name="Linking_Range_110">OrgRev!$A$5:$BO$50</definedName>
    <definedName name="Linking_Range_111">BS!$A$7:$BO$78</definedName>
    <definedName name="Linking_Range_112">#REF!</definedName>
    <definedName name="Linking_Range_113">OrgRev!$A$5:$BU$27</definedName>
    <definedName name="Linking_Range_114" localSheetId="3">ProFormaRevBuild!$A$7:$CA$74</definedName>
    <definedName name="Linking_Range_115">BS!$A$7:$CA$78</definedName>
    <definedName name="Linking_Range_13">'[22]Q Variance'!$D$7:$Q$37</definedName>
    <definedName name="Linking_Range_14">#REF!</definedName>
    <definedName name="Linking_Range_16">'[22]Earnings Charts'!$H$17:$I$38</definedName>
    <definedName name="Linking_Range_17">#REF!</definedName>
    <definedName name="Linking_Range_18">BS!$A$7:$BC$42</definedName>
    <definedName name="Linking_Range_19">CFS!$A$7:$BC$57</definedName>
    <definedName name="Linking_Range_20">'[22]Earnings Charts'!$Q$50:$X$90</definedName>
    <definedName name="Linking_Range_209">[23]Sheet1!$O$7:$S$17</definedName>
    <definedName name="Linking_Range_26">OrgRev!$A$5:$AK$24</definedName>
    <definedName name="Linking_Range_27">OrgRev!$A$5:$BC$24</definedName>
    <definedName name="Linking_Range_28">#REF!</definedName>
    <definedName name="Linking_Range_29">BS!$A$7:$AQ$42</definedName>
    <definedName name="Linking_Range_3">[22]BBB!$B$1:$E$32</definedName>
    <definedName name="Linking_Range_30">CFS!$A$7:$AQ$66</definedName>
    <definedName name="Linking_Range_32">#REF!</definedName>
    <definedName name="Linking_Range_33">CFS!$A$7:$BC$56</definedName>
    <definedName name="Linking_Range_35">#REF!</definedName>
    <definedName name="Linking_Range_36">CFS!$A$7:$BC$60</definedName>
    <definedName name="Linking_Range_37">CFS!$A$7:$BC$61</definedName>
    <definedName name="Linking_Range_39">OrgRev!$A$6:$BC$24</definedName>
    <definedName name="Linking_Range_4" localSheetId="5">EUROIMMUN!$A$2:$I$91</definedName>
    <definedName name="Linking_Range_45">#REF!</definedName>
    <definedName name="Linking_Range_47">BS!$A$7:$BO$42</definedName>
    <definedName name="Linking_Range_48">CFS!$A$7:$BO$56</definedName>
    <definedName name="Linking_Range_5" localSheetId="5">EUROIMMUN!$A$23:$J$91</definedName>
    <definedName name="Linking_Range_50">#REF!</definedName>
    <definedName name="Linking_Range_51">#REF!</definedName>
    <definedName name="Linking_Range_52">BS!$A$7:$AW$42</definedName>
    <definedName name="Linking_Range_53">CFS!$A$7:$AW$56</definedName>
    <definedName name="Linking_Range_54">CFS!$A$7:$AW$61</definedName>
    <definedName name="Linking_Range_59">#REF!</definedName>
    <definedName name="Linking_Range_60">#REF!</definedName>
    <definedName name="Linking_Range_64">BS!$A$7:$AW$48</definedName>
    <definedName name="Linking_Range_65">BS!$A$7:$BC$48</definedName>
    <definedName name="Linking_Range_66" localSheetId="3">ProFormaRevBuild!$A$7:$BC$74</definedName>
    <definedName name="Linking_Range_68" localSheetId="3">ProFormaRevBuild!$A$7:$BO$74</definedName>
    <definedName name="Linking_Range_71">#REF!</definedName>
    <definedName name="Linking_Range_72" localSheetId="3">ProFormaRevBuild!$A$7:$BU$74</definedName>
    <definedName name="Linking_Range_73">BS!$A$7:$BU$42</definedName>
    <definedName name="Linking_Range_74">CFS!$A$7:$BU$56</definedName>
    <definedName name="Linking_Range_75" localSheetId="3">ProFormaRevBuild!$A$7:$BU$91</definedName>
    <definedName name="Linking_Range_76">BS!$A$7:$BU$48</definedName>
    <definedName name="Linking_Range_8">#REF!</definedName>
    <definedName name="Linking_Range_85">#REF!</definedName>
    <definedName name="Linking_Range_86" localSheetId="3">ProFormaRevBuild!$A$4:$BI$91</definedName>
    <definedName name="Linking_Range_89">#REF!</definedName>
    <definedName name="Linking_Range_9">BS!$A$7:$BC$65</definedName>
    <definedName name="Linking_Range_91">OrgRev!$CS$5:$DI$23</definedName>
    <definedName name="Linking_Range_92">OrgRev!$CS$5:$DI$36</definedName>
    <definedName name="Linking_Range_93">OrgRev!$CS$5:$DI$19</definedName>
    <definedName name="Linking_Range_96">#REF!</definedName>
    <definedName name="Linking_Range_97">#REF!</definedName>
    <definedName name="Linking_Range_98" localSheetId="3">ProFormaRevBuild!$A$7:$BI$74</definedName>
    <definedName name="Linking_Range_99">BS!$A$7:$BI$42</definedName>
    <definedName name="Linking_Text_1">'[24]Q Variance'!$D$8</definedName>
    <definedName name="Linking_Text_2">[25]Growth_Drivers!$BC$65</definedName>
    <definedName name="Linking_Text_49">[1]Inputs!$U$300</definedName>
    <definedName name="Linking_Text_50">[1]Inputs!$V$300</definedName>
    <definedName name="Linking_Text_51">[1]Inputs!$X$280</definedName>
    <definedName name="Linking_Text_52">[1]Inputs!$X$425</definedName>
    <definedName name="Linking_Text_53">[1]Inputs!$T$425</definedName>
    <definedName name="Linking_Text_54">'[1]MWA RR'!$C$11</definedName>
    <definedName name="Linking_Text_55">[1]Summary!$X$70</definedName>
    <definedName name="Linking_Text_56">[1]Summary!$Y$70</definedName>
    <definedName name="Linking_Text_57">[1]DCF!$E$39</definedName>
    <definedName name="Linking_Text_58">[1]DCF!$N$22</definedName>
    <definedName name="Linking_Text_59">[1]DCF!$N$23</definedName>
    <definedName name="Linking_Text_60">[1]DCF!$C$56</definedName>
    <definedName name="Linking_Text_61">[1]DCF!$C$53</definedName>
    <definedName name="Linking_Text_62">[1]DCF!$C$44</definedName>
    <definedName name="Linking_Text_63">[1]DCF!$G$39</definedName>
    <definedName name="Linking_Text_64">[1]IS!$T$77</definedName>
    <definedName name="Linking_Text_65">[1]DCF!$F$39</definedName>
    <definedName name="Linking_Text_66">[1]IS!$T$42</definedName>
    <definedName name="Linking_Text_67">[1]DCF!$C$54</definedName>
    <definedName name="MacroVersion" localSheetId="9">IndexInformation!$B$1</definedName>
    <definedName name="ML_3e2q4k7i">[26]Sheet1!$A$4:$E$20</definedName>
    <definedName name="ML_6f2p1m9g">[26]Sheet1!$A$4:$D$20</definedName>
    <definedName name="ML_7n6h3t1t">[26]Sheet1!$A$4:$E$16</definedName>
    <definedName name="ML_8j3w6p4c">[26]Sheet1!$A$4:$D$21</definedName>
    <definedName name="ML_Table_1">'[26]Summary Count'!$A$3:$K$83</definedName>
    <definedName name="ML_Table_2">'[26]Total Count'!$A$3:$V$90</definedName>
    <definedName name="ML_Table_3">'[26]Summary Count'!$A$3:$K$89</definedName>
    <definedName name="ModelPrice" localSheetId="1">ImportantDisclosures!$A$14</definedName>
    <definedName name="MonitorRow">1</definedName>
    <definedName name="Multiplier" localSheetId="9">IndexInformation!$B$35</definedName>
    <definedName name="NetIncome">{"Client Name or Project Name"}</definedName>
    <definedName name="new" hidden="1">[27]Sheet1!$A:$IV</definedName>
    <definedName name="newDCF">{"Client Name or Project Name"}</definedName>
    <definedName name="newname14">{9}</definedName>
    <definedName name="newname18">{9}</definedName>
    <definedName name="newname19">{9}</definedName>
    <definedName name="newname20">{"Client Name or Project Name"}</definedName>
    <definedName name="newname22">{9}</definedName>
    <definedName name="newname23" hidden="1">{"'Breakup 01 Euro'!$A$3:$I$30"}</definedName>
    <definedName name="newname25" hidden="1">39244.4711574074</definedName>
    <definedName name="newname26">{"Client Name or Project Name"}</definedName>
    <definedName name="newname28">{"Client Name or Project Name"}</definedName>
    <definedName name="newname29">{"Client Name or Project Name"}</definedName>
    <definedName name="newname30">{"Client Name or Project Name"}</definedName>
    <definedName name="newname31">{126}</definedName>
    <definedName name="newname32">{1}</definedName>
    <definedName name="newname33">{0}</definedName>
    <definedName name="newname34">{126}</definedName>
    <definedName name="newname35">{"Client Name or Project Name"}</definedName>
    <definedName name="newname36">{"Client Name or Project Name"}</definedName>
    <definedName name="newname37">{"Client Name or Project Name"}</definedName>
    <definedName name="newname38">{"Client Name or Project Name"}</definedName>
    <definedName name="newname39">{"Client Name or Project Name"}</definedName>
    <definedName name="newname40">{"Client Name or Project Name"}</definedName>
    <definedName name="newname41">{"Client Name or Project Name"}</definedName>
    <definedName name="newname42">{"Client Name or Project Name"}</definedName>
    <definedName name="newname43">{"Client Name or Project Name"}</definedName>
    <definedName name="newProjectName">{"Client Name or Project Name"}</definedName>
    <definedName name="NewProjName">{"Client Name or Project Name"}</definedName>
    <definedName name="newstone">{"Client Name or Project Name"}</definedName>
    <definedName name="NextYearEPS" localSheetId="9">IndexInformation!$B$13</definedName>
    <definedName name="NextYearTotalRevenue" localSheetId="9">IndexInformation!$B$12</definedName>
    <definedName name="NextYearTotalRevenueActual" localSheetId="9">IndexInformation!$B$33</definedName>
    <definedName name="NoIdeaWhatToDo">{"Client Name or Project Name"}</definedName>
    <definedName name="Normalized_Income_Statement">"IS_Annual"</definedName>
    <definedName name="num">{126}</definedName>
    <definedName name="NumCUSIP">{1}</definedName>
    <definedName name="NumCUSIPMissing">{0}</definedName>
    <definedName name="NumInst">{126}</definedName>
    <definedName name="NVCURR">[28]I!$B$1:$U$51</definedName>
    <definedName name="ObjectType">IndexInformation!$B$37</definedName>
    <definedName name="one" hidden="1">'[5]chart-EBIT'!$A:$IV</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over_15_years">0.1</definedName>
    <definedName name="Page1_data">[21]Data!$A$2:$IV$4</definedName>
    <definedName name="Page2_table">[21]Data!$A$8:$D$34</definedName>
    <definedName name="Page3_Description1">'[21]Page 3'!$D$4</definedName>
    <definedName name="Page3_Description2">'[21]Page 3'!$M$13</definedName>
    <definedName name="Page3_Description3">'[21]Page 3'!$U$21</definedName>
    <definedName name="Page3_Description4">'[21]Page 3'!$AG$33</definedName>
    <definedName name="Page3_Description5">'[21]Page 3'!$AO$41</definedName>
    <definedName name="Page3_Description6">'[21]Page 3'!$AW$49</definedName>
    <definedName name="Page3_Table1">'[21]Page 3'!$D$5:$P$56</definedName>
    <definedName name="Page4_Table">'[21]Page 4'!$D$8:$L$69</definedName>
    <definedName name="Page4_Year1">'[21]Page 4'!$E$5</definedName>
    <definedName name="Page4_Year2">'[21]Page 4'!$I$5</definedName>
    <definedName name="Page5_Table">'[21]Page 5'!$D$8:$L$69</definedName>
    <definedName name="Page5_Year1">'[21]Page 5'!$E$5</definedName>
    <definedName name="Page5_Year2">'[21]Page 5'!$I$5</definedName>
    <definedName name="Page6_Table">'[21]Page 6'!$D$8:$L$67</definedName>
    <definedName name="Page6_Table_Total">'[21]Page 6'!$Q$59:$W$60</definedName>
    <definedName name="Page6_Table_web">'[21]Page 6'!$D$8:$L$70</definedName>
    <definedName name="Page6_Year1">'[21]Page 6'!$E$5</definedName>
    <definedName name="Page6_Year2">'[21]Page 6'!$I$5</definedName>
    <definedName name="Page7_SubTable1">'[21]Page 7'!$B$5:$D$63</definedName>
    <definedName name="Page7_SubTable2">'[21]Page 7'!$F$5:$H$63</definedName>
    <definedName name="Page7_SubTable3">'[21]Page 7'!$J$5:$L$63</definedName>
    <definedName name="Page7_SubTable4">'[21]Page 7'!$N$5:$P$63</definedName>
    <definedName name="Page7_SubTable5">'[21]Page 7'!$R$5:$T$63</definedName>
    <definedName name="Page8_SubTable1">'[21]Page 8'!$B$5:$D$63</definedName>
    <definedName name="Page8_SubTable2">'[21]Page 8'!$F$5:$H$63</definedName>
    <definedName name="Page8_SubTable3">'[21]Page 8'!$J$5:$L$63</definedName>
    <definedName name="Page8_SubTable4">'[21]Page 8'!$N$5:$P$63</definedName>
    <definedName name="Page8_SubTable5">'[21]Page 8'!$R$5:$T$63</definedName>
    <definedName name="PANA" localSheetId="10">ModPubIndex!$A$11</definedName>
    <definedName name="PathName" localSheetId="9">IndexInformation!$B$25</definedName>
    <definedName name="PPP">{"Client Name or Project Name"}</definedName>
    <definedName name="Previous_Year">'[21]Page 7'!$B$2</definedName>
    <definedName name="Previous_Year2">'[21]Page 8'!$B$2</definedName>
    <definedName name="_xlnm.Print_Area" localSheetId="6">BS!$A$1:$BO$53</definedName>
    <definedName name="_xlnm.Print_Area" localSheetId="7">CFS!$A$2:$BT$66</definedName>
    <definedName name="_xlnm.Print_Area" localSheetId="8">Debt!$A$2:$BI$37</definedName>
    <definedName name="_xlnm.Print_Area" localSheetId="5">EUROIMMUN!$A$2:$I$102</definedName>
    <definedName name="_xlnm.Print_Area" localSheetId="2">IS!$A$2:$CG$154</definedName>
    <definedName name="_xlnm.Print_Area" localSheetId="4">OrgRev!$A$2:$CA$53</definedName>
    <definedName name="_xlnm.Print_Area" localSheetId="3">ProFormaRevBuild!$A$1:$CG$93</definedName>
    <definedName name="_xlnm.Print_Area">[29]CENMODEL!#REF!</definedName>
    <definedName name="_xlnm.Print_Titles">"Formula removed, name can be deleted."</definedName>
    <definedName name="PRODUCT" localSheetId="10">ModPubIndex!$A$6</definedName>
    <definedName name="ProjectName" localSheetId="8">{"Client Name or Project Name"}</definedName>
    <definedName name="ProjectName" localSheetId="5">{"Client Name or Project Name"}</definedName>
    <definedName name="ProjectName">{"Client Name or Project Name"}</definedName>
    <definedName name="ProjectName_1">{"Client Name or Project Name"}</definedName>
    <definedName name="ProjectName_2">{"Client Name or Project Name"}</definedName>
    <definedName name="ProjectName_Options">{"Client Name or Project Name"}</definedName>
    <definedName name="ProjectName2">{"Client Name or Project Name"}</definedName>
    <definedName name="projectnamez">{"Client Name or Project Name"}</definedName>
    <definedName name="pronames">{"Client Name or Project Name"}</definedName>
    <definedName name="PSYM" localSheetId="10">ModPubIndex!$A$4</definedName>
    <definedName name="PUB_UserID" hidden="1">"MAYERX"</definedName>
    <definedName name="PublishDate" localSheetId="9">IndexInformation!$B$2</definedName>
    <definedName name="qqq">{9}</definedName>
    <definedName name="QtrDts">[30]Dates!$A$2:$IV$5,[30]Dates!$A$9:$IV$12,[30]Dates!$A$16:$IV$19,[30]Dates!$A$23:$IV$26,[30]Dates!$A$30:$IV$33,[30]Dates!$A$37:$IV$40,[30]Dates!$A$44:$IV$47,[30]Dates!$A$51:$IV$54,[30]Dates!$A$58:$IV$61,[30]Dates!$A$65:$IV$68,[30]Dates!$A$72:$IV$75,[30]Dates!$A$79:$IV$82,[30]Dates!$A$86:$IV$89,[30]Dates!$A$93:$IV$96,[30]Dates!$A$100:$IV$103,[30]Dates!$A$107:$IV$110,[30]Dates!$A$114:$IV$117,[30]Dates!$A$121:$IV$124,[30]Dates!$A$128:$IV$131,[30]Dates!$A$135:$IV$138</definedName>
    <definedName name="Rating" localSheetId="9">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port_Type">[21]Page1!$E$2</definedName>
    <definedName name="ResearchTopic" localSheetId="9">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9">IndexInformation!$B$21</definedName>
    <definedName name="RiskAutoStopPercChange">1.5</definedName>
    <definedName name="RiskCollectDistributionSamples">2</definedName>
    <definedName name="RiskExcelReportsGoInNewWorkbook">TRUE</definedName>
    <definedName name="RiskExcelReportsToGenerate">1024</definedName>
    <definedName name="RiskFixedSeed">923</definedName>
    <definedName name="RiskGenerateExcelReportsAtEndOfSimulation">FALSE</definedName>
    <definedName name="RiskHasSettings">TRUE</definedName>
    <definedName name="RiskMinimizeOnStart">TRUE</definedName>
    <definedName name="RiskMonitorConvergence">FALSE</definedName>
    <definedName name="RiskNumIterations">10000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SADts">[30]Dates!$A$6:$IV$7,[30]Dates!$A$13:$IV$14,[30]Dates!$A$20:$IV$21,[30]Dates!$A$27:$IV$28,[30]Dates!$A$34:$IV$35,[30]Dates!$A$41:$IV$42,[30]Dates!$A$48:$IV$49,[30]Dates!$A$55:$IV$56,[30]Dates!$A$62:$IV$63,[30]Dates!$A$69:$IV$70,[30]Dates!$A$76:$IV$77,[30]Dates!$A$83:$IV$84,[30]Dates!$A$90:$IV$91,[30]Dates!$A$97:$IV$98,[30]Dates!$A$104:$IV$105,[30]Dates!$A$111:$IV$112,[30]Dates!$A$118:$IV$119,[30]Dates!$A$125:$IV$126,[30]Dates!$A$132:$IV$133,[30]Dates!$A$139:$IV$140</definedName>
    <definedName name="SecondROI">{"Client Name or Project Name"}</definedName>
    <definedName name="SECSettlement" localSheetId="1">ImportantDisclosures!#REF!</definedName>
    <definedName name="SEDOL" localSheetId="9">IndexInformation!$B$22</definedName>
    <definedName name="sencount" hidden="1">2</definedName>
    <definedName name="Share_Price">[31]Breakdown!$D$6</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urceDefined" localSheetId="1">ImportantDisclosures!$A$19</definedName>
    <definedName name="Space">"          "</definedName>
    <definedName name="Spaces">"      "</definedName>
    <definedName name="Stand1">{"Client Name or Project Name"}</definedName>
    <definedName name="state">{"Client Name or Project Name"}</definedName>
    <definedName name="States">{"Client Name or Project Name"}</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1">ImportantDisclosures!$A$11</definedName>
    <definedName name="SubjectCode" localSheetId="9">IndexInformation!$B$6</definedName>
    <definedName name="SubmitterUserId">IndexInformation!$B$39</definedName>
    <definedName name="SUPPRESSED" localSheetId="10">ModPubIndex!$A$13</definedName>
    <definedName name="Table_16">"GENEYE"</definedName>
    <definedName name="Tarceva.new">{"Client Name or Project Name"}</definedName>
    <definedName name="TargetPrice" localSheetId="1">ImportantDisclosures!$A$15</definedName>
    <definedName name="TemplateRegion">IndexInformation!$B$36</definedName>
    <definedName name="three" hidden="1">'[5]chart-all3'!$A:$IV</definedName>
    <definedName name="Ticker" localSheetId="1">ImportantDisclosures!$A$10</definedName>
    <definedName name="TickerRegion">IndexInformation!$B$41</definedName>
    <definedName name="Tickers" localSheetId="9">IndexInformation!$B$19</definedName>
    <definedName name="tones">{"Client Name or Project Name"}</definedName>
    <definedName name="trc_XLS_DATASHEET_ProtectDate">35417.7656018519</definedName>
    <definedName name="two" hidden="1">'[5]chart-EPS'!$A:$IV</definedName>
    <definedName name="UpdateReason" localSheetId="9">IndexInformation!$B$17</definedName>
    <definedName name="USRegDisclosures" localSheetId="1">ImportantDisclosures!#REF!</definedName>
    <definedName name="v" hidden="1">[19]ｾｸﾞﾒﾝﾄ!$E$164:$I$164</definedName>
    <definedName name="Validation">"MAM"</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W">[19]単独!$AR$14:$AR$18</definedName>
    <definedName name="wrn.2._.pagers." localSheetId="5" hidden="1">{"Cover",#N/A,FALSE,"Cover";"Summary",#N/A,FALSE,"Summarpage"}</definedName>
    <definedName name="wrn.2._.pagers." hidden="1">{"Cover",#N/A,FALSE,"Cover";"Summary",#N/A,FALSE,"Summarpage"}</definedName>
    <definedName name="wrn.allpages." localSheetId="5" hidden="1">{#N/A,#N/A,TRUE,"Historicals";#N/A,#N/A,TRUE,"Charts";#N/A,#N/A,TRUE,"Forecasts"}</definedName>
    <definedName name="wrn.allpages." hidden="1">{#N/A,#N/A,TRUE,"Historicals";#N/A,#N/A,TRUE,"Charts";#N/A,#N/A,TRUE,"Forecasts"}</definedName>
    <definedName name="wrn.Complete."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localSheetId="5"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MOBIL." localSheetId="5" hidden="1">{"quarter",#N/A,FALSE,"MOB"}</definedName>
    <definedName name="wrn.MOBIL." hidden="1">{"quarter",#N/A,FALSE,"MOB"}</definedName>
    <definedName name="wrn.Pulp." localSheetId="5" hidden="1">{"Pulp Production",#N/A,FALSE,"Pulp";"Pulp Earnings",#N/A,FALSE,"Pulp"}</definedName>
    <definedName name="wrn.Pulp." hidden="1">{"Pulp Production",#N/A,FALSE,"Pulp";"Pulp Earnings",#N/A,FALSE,"Pulp"}</definedName>
  </definedNames>
  <calcPr calcId="145621"/>
</workbook>
</file>

<file path=xl/calcChain.xml><?xml version="1.0" encoding="utf-8"?>
<calcChain xmlns="http://schemas.openxmlformats.org/spreadsheetml/2006/main">
  <c r="CL28" i="40" l="1"/>
  <c r="CK28" i="40"/>
  <c r="CJ28" i="40"/>
  <c r="CI28" i="40"/>
  <c r="CF28" i="40"/>
  <c r="CE28" i="40"/>
  <c r="CD28" i="40"/>
  <c r="CC28" i="40"/>
  <c r="BZ28" i="40"/>
  <c r="BY28" i="40"/>
  <c r="BX28" i="40"/>
  <c r="BW28" i="40"/>
  <c r="BT28" i="40"/>
  <c r="BS28" i="40"/>
  <c r="BR28" i="40"/>
  <c r="BQ28" i="40"/>
  <c r="BS15" i="40"/>
  <c r="BT15" i="40" s="1"/>
  <c r="BU15" i="40" s="1"/>
  <c r="BW15" i="40" s="1"/>
  <c r="BX15" i="40" s="1"/>
  <c r="BY15" i="40" s="1"/>
  <c r="BZ15" i="40" s="1"/>
  <c r="CA15" i="40" s="1"/>
  <c r="CC15" i="40" s="1"/>
  <c r="CD15" i="40" s="1"/>
  <c r="CE15" i="40" s="1"/>
  <c r="CF15" i="40" s="1"/>
  <c r="CG15" i="40" s="1"/>
  <c r="CI15" i="40" s="1"/>
  <c r="CJ15" i="40" s="1"/>
  <c r="CK15" i="40" s="1"/>
  <c r="CL15" i="40" s="1"/>
  <c r="CM15" i="40" s="1"/>
  <c r="S166" i="66" l="1"/>
  <c r="Y166" i="66"/>
  <c r="CM13" i="66" l="1"/>
  <c r="CM10" i="66"/>
  <c r="CM16" i="66" s="1"/>
  <c r="CG13" i="66"/>
  <c r="CG10" i="66"/>
  <c r="CG16" i="66" s="1"/>
  <c r="CA13" i="66"/>
  <c r="CA10" i="66"/>
  <c r="CA16" i="66" s="1"/>
  <c r="BU13" i="66"/>
  <c r="BU10" i="66"/>
  <c r="BU16" i="66" l="1"/>
  <c r="BN10" i="40"/>
  <c r="BQ47" i="67"/>
  <c r="BN36" i="40" l="1"/>
  <c r="BN35" i="40"/>
  <c r="BN33" i="40"/>
  <c r="BN32" i="40"/>
  <c r="BN29" i="40"/>
  <c r="BN26" i="40"/>
  <c r="BN25" i="40"/>
  <c r="BN24" i="40"/>
  <c r="BN23" i="40"/>
  <c r="BN22" i="40"/>
  <c r="BN17" i="40"/>
  <c r="BN14" i="40"/>
  <c r="BN155" i="12"/>
  <c r="BN154" i="12"/>
  <c r="BN153" i="12"/>
  <c r="BN150" i="12"/>
  <c r="BN149" i="12"/>
  <c r="BN148" i="12"/>
  <c r="BN147" i="12"/>
  <c r="BN146" i="12"/>
  <c r="BN145" i="12"/>
  <c r="BN126" i="12"/>
  <c r="BO126" i="12" s="1"/>
  <c r="BN129" i="12"/>
  <c r="BM129" i="12"/>
  <c r="BL129" i="12"/>
  <c r="BK129" i="12"/>
  <c r="BO127" i="12"/>
  <c r="BN122" i="12"/>
  <c r="BN119" i="12"/>
  <c r="BO119" i="12"/>
  <c r="BO100" i="12"/>
  <c r="BN110" i="12"/>
  <c r="BN102" i="12" s="1"/>
  <c r="BN104" i="12"/>
  <c r="BN90" i="12"/>
  <c r="BM90" i="12"/>
  <c r="BL90" i="12"/>
  <c r="BN87" i="12"/>
  <c r="BM87" i="12"/>
  <c r="BL87" i="12"/>
  <c r="BN82" i="12"/>
  <c r="BM82" i="12"/>
  <c r="BL82" i="12"/>
  <c r="BK82" i="12"/>
  <c r="BN71" i="12"/>
  <c r="BT71" i="12" s="1"/>
  <c r="BZ71" i="12" s="1"/>
  <c r="CF71" i="12" s="1"/>
  <c r="CL71" i="12" s="1"/>
  <c r="BN70" i="12"/>
  <c r="BT70" i="12" s="1"/>
  <c r="BZ70" i="12" s="1"/>
  <c r="CF70" i="12" s="1"/>
  <c r="CL70" i="12" s="1"/>
  <c r="BN48" i="12"/>
  <c r="BN46" i="12"/>
  <c r="BN89" i="11"/>
  <c r="BO12" i="66"/>
  <c r="BO9" i="66"/>
  <c r="BN96" i="66"/>
  <c r="BN97" i="66" s="1"/>
  <c r="BN95" i="66"/>
  <c r="BN98" i="66"/>
  <c r="BO95" i="66"/>
  <c r="BO13" i="66"/>
  <c r="BO10" i="66"/>
  <c r="BO44" i="67"/>
  <c r="BN28" i="40" l="1"/>
  <c r="BN151" i="12"/>
  <c r="BN158" i="12" s="1"/>
  <c r="BN156" i="12"/>
  <c r="BN47" i="12"/>
  <c r="BN37" i="40"/>
  <c r="BM125" i="12"/>
  <c r="BM128" i="12" s="1"/>
  <c r="BN125" i="12"/>
  <c r="BN128" i="12" s="1"/>
  <c r="BL125" i="12"/>
  <c r="BL128" i="12" s="1"/>
  <c r="BO96" i="66"/>
  <c r="BO97" i="66" s="1"/>
  <c r="AB107" i="69" l="1"/>
  <c r="AC107" i="69" s="1"/>
  <c r="AD107" i="69" s="1"/>
  <c r="W107" i="69"/>
  <c r="X107" i="69" s="1"/>
  <c r="Y107" i="69" s="1"/>
  <c r="O107" i="69"/>
  <c r="N107" i="69"/>
  <c r="M107" i="69"/>
  <c r="T107" i="69"/>
  <c r="S107" i="69"/>
  <c r="R107" i="69"/>
  <c r="BQ40" i="66" l="1"/>
  <c r="BQ39" i="66"/>
  <c r="BN39" i="66"/>
  <c r="BM39" i="66"/>
  <c r="BL39" i="66"/>
  <c r="BK39" i="66"/>
  <c r="S106" i="69" l="1"/>
  <c r="BY39" i="66" s="1"/>
  <c r="BY40" i="66" s="1"/>
  <c r="Q106" i="69"/>
  <c r="M106" i="69"/>
  <c r="BR39" i="66" s="1"/>
  <c r="BR40" i="66" s="1"/>
  <c r="N106" i="69"/>
  <c r="BS39" i="66" s="1"/>
  <c r="BS40" i="66" s="1"/>
  <c r="O106" i="69"/>
  <c r="BT39" i="66" s="1"/>
  <c r="BT40" i="66" s="1"/>
  <c r="L106" i="69"/>
  <c r="G109" i="69"/>
  <c r="T106" i="69" l="1"/>
  <c r="R106" i="69"/>
  <c r="X106" i="69"/>
  <c r="V106" i="69"/>
  <c r="BW39" i="66"/>
  <c r="L109" i="69"/>
  <c r="BZ39" i="66" l="1"/>
  <c r="BZ40" i="66" s="1"/>
  <c r="Y106" i="69"/>
  <c r="BX39" i="66"/>
  <c r="BX40" i="66" s="1"/>
  <c r="W106" i="69"/>
  <c r="AC106" i="69"/>
  <c r="CK39" i="66" s="1"/>
  <c r="CE39" i="66"/>
  <c r="CE40" i="66" s="1"/>
  <c r="BW40" i="66"/>
  <c r="CC39" i="66"/>
  <c r="AA106" i="69"/>
  <c r="CI39" i="66" s="1"/>
  <c r="DQ24" i="13"/>
  <c r="DQ25" i="13"/>
  <c r="DQ26" i="13"/>
  <c r="DQ27" i="13"/>
  <c r="BO140" i="66"/>
  <c r="BO139" i="66"/>
  <c r="BO138" i="66"/>
  <c r="BO137" i="66"/>
  <c r="CK40" i="66" l="1"/>
  <c r="CF39" i="66"/>
  <c r="CF40" i="66" s="1"/>
  <c r="AD106" i="69"/>
  <c r="CL39" i="66" s="1"/>
  <c r="CL40" i="66" s="1"/>
  <c r="CA39" i="66"/>
  <c r="CD39" i="66"/>
  <c r="CD40" i="66" s="1"/>
  <c r="AB106" i="69"/>
  <c r="CJ39" i="66" s="1"/>
  <c r="CC40" i="66"/>
  <c r="CI40" i="66"/>
  <c r="CJ40" i="66" l="1"/>
  <c r="CG39" i="66"/>
  <c r="CG40" i="66" s="1"/>
  <c r="CM39" i="66"/>
  <c r="CM40" i="66" l="1"/>
  <c r="BN148" i="66"/>
  <c r="BN147" i="66"/>
  <c r="BN146" i="66"/>
  <c r="BN145" i="66"/>
  <c r="DQ45" i="13"/>
  <c r="DQ46" i="13"/>
  <c r="DQ47" i="13"/>
  <c r="DQ48" i="13"/>
  <c r="DQ49" i="13"/>
  <c r="BO166" i="66"/>
  <c r="BO165" i="66"/>
  <c r="BO164" i="66"/>
  <c r="BO163" i="66"/>
  <c r="BO162" i="66"/>
  <c r="BQ89" i="11" l="1"/>
  <c r="CJ64" i="67"/>
  <c r="CK64" i="67" s="1"/>
  <c r="CL64" i="67" s="1"/>
  <c r="CD64" i="67"/>
  <c r="CE64" i="67" s="1"/>
  <c r="CF64" i="67" s="1"/>
  <c r="BX64" i="67"/>
  <c r="BY64" i="67" s="1"/>
  <c r="BZ64" i="67" s="1"/>
  <c r="BN149" i="67"/>
  <c r="BN48" i="66"/>
  <c r="BN140" i="67"/>
  <c r="BN139" i="67"/>
  <c r="BO143" i="67"/>
  <c r="BO139" i="67"/>
  <c r="BO138" i="67"/>
  <c r="BO137" i="67"/>
  <c r="BO136" i="67"/>
  <c r="BO135" i="67"/>
  <c r="BO133" i="67"/>
  <c r="BO127" i="67"/>
  <c r="BO126" i="67"/>
  <c r="BO125" i="67"/>
  <c r="BO124" i="67"/>
  <c r="BO123" i="67"/>
  <c r="BO122" i="67"/>
  <c r="BO121" i="67"/>
  <c r="BO119" i="67"/>
  <c r="BN128" i="67"/>
  <c r="BN125" i="67"/>
  <c r="BN100" i="67"/>
  <c r="BN108" i="67"/>
  <c r="BN34" i="67"/>
  <c r="BO140" i="67" l="1"/>
  <c r="BM89" i="11" l="1"/>
  <c r="BM36" i="40"/>
  <c r="BM35" i="40"/>
  <c r="BM29" i="40"/>
  <c r="BM26" i="40"/>
  <c r="BM25" i="40"/>
  <c r="BM24" i="40"/>
  <c r="BM23" i="40"/>
  <c r="BM22" i="40"/>
  <c r="BM14" i="40"/>
  <c r="BM122" i="12"/>
  <c r="BN117" i="12" s="1"/>
  <c r="BM110" i="12"/>
  <c r="BM102" i="12" s="1"/>
  <c r="BN97" i="12" s="1"/>
  <c r="BM104" i="12"/>
  <c r="BM71" i="12"/>
  <c r="BS71" i="12" s="1"/>
  <c r="BY71" i="12" s="1"/>
  <c r="CE71" i="12" s="1"/>
  <c r="CK71" i="12" s="1"/>
  <c r="BM70" i="12"/>
  <c r="BS70" i="12" s="1"/>
  <c r="BY70" i="12" s="1"/>
  <c r="CE70" i="12" s="1"/>
  <c r="CK70" i="12" s="1"/>
  <c r="BM48" i="12"/>
  <c r="BM46" i="12"/>
  <c r="BN120" i="12" l="1"/>
  <c r="BN121" i="12"/>
  <c r="BM28" i="40"/>
  <c r="BM37" i="40"/>
  <c r="BM47" i="12"/>
  <c r="BM99" i="66"/>
  <c r="BM98" i="66"/>
  <c r="BM97" i="66"/>
  <c r="BL173" i="12" l="1"/>
  <c r="BK173" i="12"/>
  <c r="BH173" i="12"/>
  <c r="BG173" i="12"/>
  <c r="BF173" i="12"/>
  <c r="BE173" i="12"/>
  <c r="BB173" i="12"/>
  <c r="BA173" i="12"/>
  <c r="AZ173" i="12"/>
  <c r="AY173" i="12"/>
  <c r="AV173" i="12"/>
  <c r="AU173" i="12"/>
  <c r="AT173" i="12"/>
  <c r="AS173" i="12"/>
  <c r="AP173" i="12"/>
  <c r="AO173" i="12"/>
  <c r="AN173" i="12"/>
  <c r="AM173" i="12"/>
  <c r="AJ173" i="12"/>
  <c r="AI173" i="12"/>
  <c r="AH173" i="12"/>
  <c r="AG173" i="12"/>
  <c r="AD173" i="12"/>
  <c r="AC173" i="12"/>
  <c r="AB173" i="12"/>
  <c r="AA173" i="12"/>
  <c r="X173" i="12"/>
  <c r="W173" i="12"/>
  <c r="V173" i="12"/>
  <c r="U173" i="12"/>
  <c r="R173" i="12"/>
  <c r="Q173" i="12"/>
  <c r="P173" i="12"/>
  <c r="O173" i="12"/>
  <c r="L173" i="12"/>
  <c r="K173" i="12"/>
  <c r="J173" i="12"/>
  <c r="I173" i="12"/>
  <c r="F173" i="12"/>
  <c r="E173" i="12"/>
  <c r="D173" i="12"/>
  <c r="C173" i="12"/>
  <c r="BH183" i="12" l="1"/>
  <c r="BG183" i="12"/>
  <c r="BF183" i="12"/>
  <c r="BE183" i="12"/>
  <c r="BH181" i="12"/>
  <c r="BG181" i="12"/>
  <c r="BF181" i="12"/>
  <c r="BE181" i="12"/>
  <c r="BB183" i="12"/>
  <c r="BA183" i="12"/>
  <c r="AZ183" i="12"/>
  <c r="AY183" i="12"/>
  <c r="BB181" i="12"/>
  <c r="BA181" i="12"/>
  <c r="AZ181" i="12"/>
  <c r="AY181" i="12"/>
  <c r="AV183" i="12"/>
  <c r="AU183" i="12"/>
  <c r="AT183" i="12"/>
  <c r="AS183" i="12"/>
  <c r="AV181" i="12"/>
  <c r="AU181" i="12"/>
  <c r="AT181" i="12"/>
  <c r="AS181" i="12"/>
  <c r="AP183" i="12"/>
  <c r="AO183" i="12"/>
  <c r="AN183" i="12"/>
  <c r="AM183" i="12"/>
  <c r="AP181" i="12"/>
  <c r="AO181" i="12"/>
  <c r="AN181" i="12"/>
  <c r="AM181" i="12"/>
  <c r="AJ183" i="12"/>
  <c r="AI183" i="12"/>
  <c r="AH183" i="12"/>
  <c r="AG183" i="12"/>
  <c r="AJ181" i="12"/>
  <c r="AI181" i="12"/>
  <c r="AH181" i="12"/>
  <c r="AG181" i="12"/>
  <c r="AD183" i="12"/>
  <c r="AC183" i="12"/>
  <c r="AB183" i="12"/>
  <c r="AA183" i="12"/>
  <c r="X183" i="12"/>
  <c r="W183" i="12"/>
  <c r="V183" i="12"/>
  <c r="U183" i="12"/>
  <c r="R183" i="12"/>
  <c r="Q183" i="12"/>
  <c r="P183" i="12"/>
  <c r="O183" i="12"/>
  <c r="L183" i="12"/>
  <c r="K183" i="12"/>
  <c r="J183" i="12"/>
  <c r="I183" i="12"/>
  <c r="F183" i="12"/>
  <c r="E183" i="12"/>
  <c r="D183" i="12"/>
  <c r="C183" i="12"/>
  <c r="BK183" i="12" l="1"/>
  <c r="BK181" i="12"/>
  <c r="BL183" i="12"/>
  <c r="BL181" i="12"/>
  <c r="BM162" i="66" l="1"/>
  <c r="BM163" i="66"/>
  <c r="BM164" i="66"/>
  <c r="BM165" i="66"/>
  <c r="BM166" i="66"/>
  <c r="BM161" i="66"/>
  <c r="BM98" i="67" l="1"/>
  <c r="BM100" i="67" l="1"/>
  <c r="BM95" i="67" s="1"/>
  <c r="DP45" i="13"/>
  <c r="DP46" i="13"/>
  <c r="DP47" i="13"/>
  <c r="DP48" i="13"/>
  <c r="DP49" i="13"/>
  <c r="DP24" i="13"/>
  <c r="DP25" i="13"/>
  <c r="DP26" i="13"/>
  <c r="DP27" i="13"/>
  <c r="BM34" i="67"/>
  <c r="BM140" i="66"/>
  <c r="BM148" i="66" s="1"/>
  <c r="BM145" i="66"/>
  <c r="BM146" i="66"/>
  <c r="BM147" i="66"/>
  <c r="BM128" i="67"/>
  <c r="BM140" i="67"/>
  <c r="BM12" i="67"/>
  <c r="DU14" i="13" l="1"/>
  <c r="DT14" i="13"/>
  <c r="DS14" i="13"/>
  <c r="DR14" i="13"/>
  <c r="BL19" i="13" l="1"/>
  <c r="BK19" i="13"/>
  <c r="BY43" i="66" l="1"/>
  <c r="BZ43" i="66"/>
  <c r="BW43" i="66"/>
  <c r="BX43" i="66"/>
  <c r="CL14" i="13" l="1"/>
  <c r="CK14" i="13"/>
  <c r="CJ14" i="13"/>
  <c r="CI14" i="13"/>
  <c r="CF14" i="13"/>
  <c r="CE14" i="13"/>
  <c r="CK39" i="13" s="1"/>
  <c r="CD14" i="13"/>
  <c r="CJ39" i="13" s="1"/>
  <c r="CC14" i="13"/>
  <c r="BZ14" i="13"/>
  <c r="BY14" i="13"/>
  <c r="BX14" i="13"/>
  <c r="BW14" i="13"/>
  <c r="CD43" i="66"/>
  <c r="CJ43" i="66" s="1"/>
  <c r="CC43" i="66"/>
  <c r="CF43" i="66"/>
  <c r="CL43" i="66" s="1"/>
  <c r="CE43" i="66"/>
  <c r="CK43" i="66" s="1"/>
  <c r="BO43" i="66"/>
  <c r="BU43" i="66"/>
  <c r="CL39" i="13" l="1"/>
  <c r="CI39" i="13"/>
  <c r="CF39" i="13"/>
  <c r="CE39" i="13"/>
  <c r="CD39" i="13"/>
  <c r="CC39" i="13"/>
  <c r="CG43" i="66"/>
  <c r="CI43" i="66"/>
  <c r="CM43" i="66" s="1"/>
  <c r="CA41" i="66"/>
  <c r="CA43" i="66"/>
  <c r="BU44" i="66"/>
  <c r="CM44" i="66" l="1"/>
  <c r="CG44" i="66"/>
  <c r="CA44" i="66"/>
  <c r="BL36" i="40" l="1"/>
  <c r="BL14" i="40"/>
  <c r="BL29" i="40"/>
  <c r="BL26" i="40"/>
  <c r="BL25" i="40"/>
  <c r="BL24" i="40"/>
  <c r="BL23" i="40"/>
  <c r="BL22" i="40"/>
  <c r="BL155" i="12"/>
  <c r="BL154" i="12"/>
  <c r="BL153" i="12"/>
  <c r="BL150" i="12"/>
  <c r="BL149" i="12"/>
  <c r="BL148" i="12"/>
  <c r="BL147" i="12"/>
  <c r="BL146" i="12"/>
  <c r="BL145" i="12"/>
  <c r="BL122" i="12"/>
  <c r="BM117" i="12" s="1"/>
  <c r="BM120" i="12" s="1"/>
  <c r="BL110" i="12"/>
  <c r="BL104" i="12"/>
  <c r="BL102" i="12"/>
  <c r="BM97" i="12" s="1"/>
  <c r="BL71" i="12"/>
  <c r="BR71" i="12" s="1"/>
  <c r="BX71" i="12" s="1"/>
  <c r="CD71" i="12" s="1"/>
  <c r="CJ71" i="12" s="1"/>
  <c r="BL70" i="12"/>
  <c r="BR70" i="12" s="1"/>
  <c r="BX70" i="12" s="1"/>
  <c r="CD70" i="12" s="1"/>
  <c r="CJ70" i="12" s="1"/>
  <c r="BL48" i="12"/>
  <c r="BL46" i="12"/>
  <c r="BL171" i="12" s="1"/>
  <c r="BM121" i="12" l="1"/>
  <c r="BL151" i="12"/>
  <c r="BL47" i="12"/>
  <c r="BL156" i="12"/>
  <c r="BL28" i="40"/>
  <c r="BL89" i="11"/>
  <c r="BL73" i="11"/>
  <c r="BL72" i="11"/>
  <c r="BL71" i="11"/>
  <c r="BL51" i="11"/>
  <c r="BL48" i="11"/>
  <c r="BL46" i="11"/>
  <c r="BL45" i="11"/>
  <c r="BL44" i="11"/>
  <c r="BL42" i="11"/>
  <c r="BL41" i="11"/>
  <c r="BL43" i="11"/>
  <c r="BL39" i="11"/>
  <c r="BL38" i="11"/>
  <c r="BL34" i="11"/>
  <c r="BL31" i="11"/>
  <c r="BL32" i="11"/>
  <c r="BL30" i="11"/>
  <c r="BL29" i="11"/>
  <c r="BL25" i="11"/>
  <c r="BL23" i="11"/>
  <c r="BL22" i="11"/>
  <c r="BL21" i="11"/>
  <c r="BL20" i="11"/>
  <c r="BL17" i="11"/>
  <c r="BL16" i="11"/>
  <c r="BL18" i="11"/>
  <c r="BL15" i="11"/>
  <c r="BL14" i="11"/>
  <c r="BL13" i="11"/>
  <c r="BL10" i="11"/>
  <c r="BL9" i="11"/>
  <c r="BL40" i="11"/>
  <c r="BL11" i="11"/>
  <c r="BL99" i="66"/>
  <c r="BL98" i="66"/>
  <c r="BL97" i="66"/>
  <c r="BM15" i="11" l="1"/>
  <c r="BN15" i="11" s="1"/>
  <c r="BM31" i="11"/>
  <c r="BN31" i="11" s="1"/>
  <c r="BM43" i="11"/>
  <c r="BN43" i="11" s="1"/>
  <c r="BM40" i="11"/>
  <c r="BN40" i="11" s="1"/>
  <c r="BM14" i="11"/>
  <c r="BN14" i="11" s="1"/>
  <c r="BM17" i="11"/>
  <c r="BN17" i="11" s="1"/>
  <c r="BM32" i="11"/>
  <c r="BN32" i="11" s="1"/>
  <c r="BM39" i="11"/>
  <c r="BN39" i="11" s="1"/>
  <c r="BM44" i="11"/>
  <c r="BN44" i="11" s="1"/>
  <c r="BM51" i="11"/>
  <c r="BN51" i="11" s="1"/>
  <c r="BM9" i="11"/>
  <c r="BN9" i="11" s="1"/>
  <c r="BM25" i="11"/>
  <c r="BN25" i="11" s="1"/>
  <c r="BM71" i="11"/>
  <c r="BN71" i="11" s="1"/>
  <c r="BM10" i="11"/>
  <c r="BN10" i="11" s="1"/>
  <c r="BM18" i="11"/>
  <c r="BN18" i="11" s="1"/>
  <c r="BN29" i="11"/>
  <c r="BN98" i="12" s="1"/>
  <c r="BN101" i="12" s="1"/>
  <c r="BM34" i="11"/>
  <c r="BN34" i="11"/>
  <c r="BM41" i="11"/>
  <c r="BN41" i="11"/>
  <c r="BM46" i="11"/>
  <c r="BN46" i="11"/>
  <c r="BM72" i="11"/>
  <c r="BM82" i="11" s="1"/>
  <c r="BM83" i="11" s="1"/>
  <c r="BN72" i="11"/>
  <c r="BM45" i="11"/>
  <c r="BM88" i="11" s="1"/>
  <c r="BM87" i="11" s="1"/>
  <c r="BM11" i="11"/>
  <c r="BN11" i="11"/>
  <c r="BM13" i="11"/>
  <c r="BN13" i="11" s="1"/>
  <c r="BM16" i="11"/>
  <c r="BN16" i="11"/>
  <c r="BM30" i="11"/>
  <c r="BN30" i="11" s="1"/>
  <c r="BM38" i="11"/>
  <c r="BN38" i="11"/>
  <c r="BM42" i="11"/>
  <c r="BN42" i="11" s="1"/>
  <c r="BM48" i="11"/>
  <c r="BN48" i="11"/>
  <c r="BM73" i="11"/>
  <c r="BN73" i="11" s="1"/>
  <c r="BM21" i="11"/>
  <c r="BN21" i="11" s="1"/>
  <c r="BM22" i="11"/>
  <c r="BN22" i="11" s="1"/>
  <c r="BM23" i="11"/>
  <c r="BN23" i="11" s="1"/>
  <c r="BM20" i="11"/>
  <c r="BN20" i="11" s="1"/>
  <c r="BM29" i="11"/>
  <c r="BM98" i="12" s="1"/>
  <c r="BL105" i="12"/>
  <c r="BL107" i="12" s="1"/>
  <c r="BM105" i="12"/>
  <c r="BL88" i="11"/>
  <c r="BL87" i="11" s="1"/>
  <c r="BL98" i="12"/>
  <c r="BL158" i="12"/>
  <c r="BN45" i="11" l="1"/>
  <c r="BN88" i="11" s="1"/>
  <c r="BM101" i="12"/>
  <c r="BM106" i="12"/>
  <c r="BM107" i="12"/>
  <c r="CC7" i="40"/>
  <c r="CI7" i="40" s="1"/>
  <c r="CH27" i="13"/>
  <c r="CH26" i="13"/>
  <c r="CH24" i="13"/>
  <c r="CL23" i="13"/>
  <c r="CK23" i="13"/>
  <c r="CJ23" i="13"/>
  <c r="CI23" i="13"/>
  <c r="CH23" i="13"/>
  <c r="CL22" i="13"/>
  <c r="CK22" i="13"/>
  <c r="CJ22" i="13"/>
  <c r="CI22" i="13"/>
  <c r="CH22" i="13"/>
  <c r="CL21" i="13"/>
  <c r="CK21" i="13"/>
  <c r="CJ21" i="13"/>
  <c r="CI21" i="13"/>
  <c r="CH21" i="13"/>
  <c r="CL20" i="13"/>
  <c r="CK20" i="13"/>
  <c r="CJ20" i="13"/>
  <c r="CI20" i="13"/>
  <c r="CH20" i="13"/>
  <c r="CL19" i="13"/>
  <c r="CK19" i="13"/>
  <c r="CJ19" i="13"/>
  <c r="CI19" i="13"/>
  <c r="CH19" i="13"/>
  <c r="CH15" i="13"/>
  <c r="CL11" i="13"/>
  <c r="CK11" i="13"/>
  <c r="CJ11" i="13"/>
  <c r="CI11" i="13"/>
  <c r="CH11" i="13"/>
  <c r="CH10" i="13"/>
  <c r="CL9" i="13"/>
  <c r="CK9" i="13"/>
  <c r="CJ9" i="13"/>
  <c r="CI9" i="13"/>
  <c r="CH9" i="13"/>
  <c r="CL8" i="13"/>
  <c r="CK8" i="13"/>
  <c r="CJ8" i="13"/>
  <c r="CI8" i="13"/>
  <c r="CH8" i="13"/>
  <c r="CB27" i="13"/>
  <c r="CB26" i="13"/>
  <c r="CB24" i="13"/>
  <c r="CF23" i="13"/>
  <c r="CE23" i="13"/>
  <c r="CD23" i="13"/>
  <c r="CC23" i="13"/>
  <c r="CB23" i="13"/>
  <c r="CF22" i="13"/>
  <c r="CE22" i="13"/>
  <c r="CD22" i="13"/>
  <c r="CC22" i="13"/>
  <c r="CB22" i="13"/>
  <c r="CF21" i="13"/>
  <c r="CE21" i="13"/>
  <c r="CD21" i="13"/>
  <c r="CC21" i="13"/>
  <c r="CB21" i="13"/>
  <c r="CF20" i="13"/>
  <c r="CE20" i="13"/>
  <c r="CD20" i="13"/>
  <c r="CC20" i="13"/>
  <c r="CB20" i="13"/>
  <c r="CF19" i="13"/>
  <c r="CE19" i="13"/>
  <c r="CD19" i="13"/>
  <c r="CC19" i="13"/>
  <c r="CB19" i="13"/>
  <c r="CB15" i="13"/>
  <c r="CF11" i="13"/>
  <c r="CE11" i="13"/>
  <c r="CD11" i="13"/>
  <c r="CC11" i="13"/>
  <c r="CB11" i="13"/>
  <c r="CB10" i="13"/>
  <c r="CF9" i="13"/>
  <c r="CE9" i="13"/>
  <c r="CD9" i="13"/>
  <c r="CC9" i="13"/>
  <c r="CB9" i="13"/>
  <c r="CF8" i="13"/>
  <c r="CE8" i="13"/>
  <c r="CD8" i="13"/>
  <c r="CC8" i="13"/>
  <c r="CB8" i="13"/>
  <c r="CL148" i="67"/>
  <c r="CK148" i="67"/>
  <c r="CJ148" i="67"/>
  <c r="CI148" i="67"/>
  <c r="CM113" i="67"/>
  <c r="CM111" i="67"/>
  <c r="CM109" i="67"/>
  <c r="CM100" i="67"/>
  <c r="CM99" i="67"/>
  <c r="CM29" i="67"/>
  <c r="CM28" i="67"/>
  <c r="CM16" i="67"/>
  <c r="CF148" i="67"/>
  <c r="CE148" i="67"/>
  <c r="CD148" i="67"/>
  <c r="CC148" i="67"/>
  <c r="CG113" i="67"/>
  <c r="CG111" i="67"/>
  <c r="CG109" i="67"/>
  <c r="CG100" i="67"/>
  <c r="CG99" i="67"/>
  <c r="CG29" i="67"/>
  <c r="CG28" i="67"/>
  <c r="CG16" i="67"/>
  <c r="CL72" i="66"/>
  <c r="CK72" i="66"/>
  <c r="CJ72" i="66"/>
  <c r="CI72" i="66"/>
  <c r="CL48" i="66"/>
  <c r="CK48" i="66"/>
  <c r="CJ48" i="66"/>
  <c r="CI48" i="66"/>
  <c r="CL16" i="66"/>
  <c r="CK16" i="66"/>
  <c r="CJ16" i="66"/>
  <c r="CI16" i="66"/>
  <c r="CF72" i="66"/>
  <c r="CE72" i="66"/>
  <c r="CD72" i="66"/>
  <c r="CC72" i="66"/>
  <c r="CF48" i="66"/>
  <c r="CE48" i="66"/>
  <c r="CD48" i="66"/>
  <c r="CC48" i="66"/>
  <c r="CF16" i="66"/>
  <c r="CE16" i="66"/>
  <c r="CD16" i="66"/>
  <c r="CC16" i="66"/>
  <c r="CM88" i="11"/>
  <c r="CM51" i="11"/>
  <c r="CM48" i="11"/>
  <c r="CL45" i="11"/>
  <c r="CK45" i="11"/>
  <c r="CJ45" i="11"/>
  <c r="CI45" i="11"/>
  <c r="CM43" i="11"/>
  <c r="CM42" i="11"/>
  <c r="CM41" i="11"/>
  <c r="CM40" i="11"/>
  <c r="CM34" i="11"/>
  <c r="CM32" i="11"/>
  <c r="CM31" i="11"/>
  <c r="CM30" i="11"/>
  <c r="CM25" i="11"/>
  <c r="CM17" i="11"/>
  <c r="CM16" i="11"/>
  <c r="CM13" i="11"/>
  <c r="CG88" i="11"/>
  <c r="CG51" i="11"/>
  <c r="CG48" i="11"/>
  <c r="CF45" i="11"/>
  <c r="CE45" i="11"/>
  <c r="CD45" i="11"/>
  <c r="CC45" i="11"/>
  <c r="CG43" i="11"/>
  <c r="CG42" i="11"/>
  <c r="CG41" i="11"/>
  <c r="CG40" i="11"/>
  <c r="CG34" i="11"/>
  <c r="CG32" i="11"/>
  <c r="CG31" i="11"/>
  <c r="CG30" i="11"/>
  <c r="CG25" i="11"/>
  <c r="CG17" i="11"/>
  <c r="CG16" i="11"/>
  <c r="CG13" i="11"/>
  <c r="CM128" i="12"/>
  <c r="CM127" i="12"/>
  <c r="CL126" i="12"/>
  <c r="CK126" i="12"/>
  <c r="CJ126" i="12"/>
  <c r="CI126" i="12"/>
  <c r="CM121" i="12"/>
  <c r="CJ120" i="12"/>
  <c r="CK120" i="12" s="1"/>
  <c r="CL120" i="12" s="1"/>
  <c r="CL118" i="12"/>
  <c r="CK118" i="12"/>
  <c r="CJ118" i="12"/>
  <c r="CI118" i="12"/>
  <c r="CM107" i="12"/>
  <c r="CJ106" i="12"/>
  <c r="CK106" i="12" s="1"/>
  <c r="CL106" i="12" s="1"/>
  <c r="CM101" i="12"/>
  <c r="CL100" i="12"/>
  <c r="CK100" i="12"/>
  <c r="CJ100" i="12"/>
  <c r="CI100" i="12"/>
  <c r="CJ99" i="12"/>
  <c r="CK99" i="12" s="1"/>
  <c r="CM91" i="12"/>
  <c r="CG128" i="12"/>
  <c r="CG127" i="12"/>
  <c r="CF126" i="12"/>
  <c r="CE126" i="12"/>
  <c r="CD126" i="12"/>
  <c r="CC126" i="12"/>
  <c r="CG121" i="12"/>
  <c r="CD120" i="12"/>
  <c r="CE120" i="12" s="1"/>
  <c r="CF118" i="12"/>
  <c r="CE118" i="12"/>
  <c r="CD118" i="12"/>
  <c r="CC118" i="12"/>
  <c r="CG107" i="12"/>
  <c r="CD106" i="12"/>
  <c r="CE106" i="12" s="1"/>
  <c r="CF106" i="12" s="1"/>
  <c r="CG101" i="12"/>
  <c r="CF100" i="12"/>
  <c r="CE100" i="12"/>
  <c r="CD100" i="12"/>
  <c r="CC100" i="12"/>
  <c r="CD99" i="12"/>
  <c r="CE99" i="12" s="1"/>
  <c r="CG91" i="12"/>
  <c r="CL72" i="40"/>
  <c r="CK72" i="40"/>
  <c r="CJ72" i="40"/>
  <c r="CI72" i="40"/>
  <c r="CL51" i="40"/>
  <c r="CK51" i="40"/>
  <c r="CJ51" i="40"/>
  <c r="CI51" i="40"/>
  <c r="CL39" i="11"/>
  <c r="CK39" i="11"/>
  <c r="CJ39" i="11"/>
  <c r="CI39" i="11"/>
  <c r="CF72" i="40"/>
  <c r="CE72" i="40"/>
  <c r="CD72" i="40"/>
  <c r="CC72" i="40"/>
  <c r="CF51" i="40"/>
  <c r="CE51" i="40"/>
  <c r="CD51" i="40"/>
  <c r="CC51" i="40"/>
  <c r="CF39" i="11"/>
  <c r="CE39" i="11"/>
  <c r="CD39" i="11"/>
  <c r="CC39" i="11"/>
  <c r="BN87" i="11" l="1"/>
  <c r="CG45" i="11"/>
  <c r="CL36" i="13"/>
  <c r="CK36" i="13"/>
  <c r="CI36" i="13"/>
  <c r="CJ36" i="13"/>
  <c r="CJ44" i="13"/>
  <c r="CM45" i="11"/>
  <c r="CM126" i="12"/>
  <c r="CM39" i="11"/>
  <c r="CG39" i="11"/>
  <c r="CC38" i="11"/>
  <c r="CE38" i="11"/>
  <c r="CI38" i="11"/>
  <c r="CK38" i="11"/>
  <c r="CD38" i="11"/>
  <c r="CF38" i="11"/>
  <c r="CJ38" i="11"/>
  <c r="CL38" i="11"/>
  <c r="CL33" i="13"/>
  <c r="CL34" i="13"/>
  <c r="CK44" i="13"/>
  <c r="CI46" i="13"/>
  <c r="CK48" i="13"/>
  <c r="CJ46" i="13"/>
  <c r="CI33" i="13"/>
  <c r="CK34" i="13"/>
  <c r="CJ45" i="13"/>
  <c r="CL47" i="13"/>
  <c r="CL48" i="13"/>
  <c r="CI34" i="13"/>
  <c r="CL45" i="13"/>
  <c r="CJ48" i="13"/>
  <c r="CJ34" i="13"/>
  <c r="CI44" i="13"/>
  <c r="CI45" i="13"/>
  <c r="CL46" i="13"/>
  <c r="CK45" i="13"/>
  <c r="CK46" i="13"/>
  <c r="CI48" i="13"/>
  <c r="CK47" i="13"/>
  <c r="CJ33" i="13"/>
  <c r="CL44" i="13"/>
  <c r="CI47" i="13"/>
  <c r="CJ47" i="13"/>
  <c r="CK33" i="13"/>
  <c r="CG126" i="12"/>
  <c r="CL99" i="12"/>
  <c r="CM100" i="12"/>
  <c r="CM118" i="12"/>
  <c r="CF99" i="12"/>
  <c r="CF120" i="12"/>
  <c r="CG100" i="12"/>
  <c r="CG118" i="12"/>
  <c r="CG38" i="11" l="1"/>
  <c r="CM38" i="11"/>
  <c r="BI60" i="67"/>
  <c r="BH60" i="67"/>
  <c r="BG60" i="67"/>
  <c r="BF60" i="67"/>
  <c r="BE60" i="67"/>
  <c r="BC60" i="67"/>
  <c r="BB60" i="67"/>
  <c r="BA60" i="67"/>
  <c r="AZ60" i="67"/>
  <c r="AY60" i="67"/>
  <c r="AW60" i="67"/>
  <c r="AV60" i="67"/>
  <c r="AU60" i="67"/>
  <c r="AT60" i="67"/>
  <c r="AS60" i="67"/>
  <c r="BL140" i="66" l="1"/>
  <c r="BK140" i="66" l="1"/>
  <c r="BL161" i="66" l="1"/>
  <c r="BK161" i="66"/>
  <c r="BG166" i="66" l="1"/>
  <c r="BG165" i="66"/>
  <c r="BG164" i="66"/>
  <c r="BG163" i="66"/>
  <c r="BG162" i="66"/>
  <c r="BA166" i="66"/>
  <c r="BA165" i="66"/>
  <c r="BA164" i="66"/>
  <c r="BA163" i="66"/>
  <c r="BA162" i="66"/>
  <c r="BM23" i="13" l="1"/>
  <c r="BM22" i="13"/>
  <c r="BM21" i="13"/>
  <c r="BM20" i="13"/>
  <c r="BM19" i="13"/>
  <c r="CS11" i="13" l="1"/>
  <c r="CS19" i="13" s="1"/>
  <c r="CX14" i="13"/>
  <c r="CY14" i="13"/>
  <c r="CZ14" i="13"/>
  <c r="DA14" i="13"/>
  <c r="DB14" i="13"/>
  <c r="DC14" i="13"/>
  <c r="DD14" i="13"/>
  <c r="DE14" i="13"/>
  <c r="DF14" i="13"/>
  <c r="DG14" i="13"/>
  <c r="DH14" i="13"/>
  <c r="DI14" i="13"/>
  <c r="DJ14" i="13"/>
  <c r="DK14" i="13"/>
  <c r="DL14" i="13"/>
  <c r="DM14" i="13"/>
  <c r="DN14" i="13"/>
  <c r="DO14" i="13"/>
  <c r="DP14" i="13"/>
  <c r="DQ14" i="13"/>
  <c r="CS15" i="13"/>
  <c r="CS18" i="13"/>
  <c r="CX23" i="13"/>
  <c r="CY23" i="13"/>
  <c r="CZ23" i="13"/>
  <c r="DA23" i="13"/>
  <c r="DB23" i="13"/>
  <c r="DC23" i="13"/>
  <c r="DD23" i="13"/>
  <c r="DE23" i="13"/>
  <c r="DF23" i="13"/>
  <c r="DG23" i="13"/>
  <c r="DH23" i="13"/>
  <c r="DI23" i="13"/>
  <c r="DJ23" i="13"/>
  <c r="DK23" i="13"/>
  <c r="DL23" i="13"/>
  <c r="DM23" i="13"/>
  <c r="DN23" i="13"/>
  <c r="DO23" i="13"/>
  <c r="DP23" i="13"/>
  <c r="DQ23" i="13"/>
  <c r="CT24" i="13"/>
  <c r="CU24" i="13"/>
  <c r="CV24" i="13"/>
  <c r="CW24" i="13"/>
  <c r="CX24" i="13"/>
  <c r="CY24" i="13"/>
  <c r="CZ24" i="13"/>
  <c r="DA24" i="13"/>
  <c r="DB24" i="13"/>
  <c r="DC24" i="13"/>
  <c r="DD24" i="13"/>
  <c r="DE24" i="13"/>
  <c r="DF24" i="13"/>
  <c r="DG24" i="13"/>
  <c r="DH24" i="13"/>
  <c r="DI24" i="13"/>
  <c r="DJ24" i="13"/>
  <c r="DK24" i="13"/>
  <c r="DL24" i="13"/>
  <c r="DP33" i="13" s="1"/>
  <c r="DM24" i="13"/>
  <c r="DQ33" i="13" s="1"/>
  <c r="DN24" i="13"/>
  <c r="DO24" i="13"/>
  <c r="CT25" i="13"/>
  <c r="CU25" i="13"/>
  <c r="CV25" i="13"/>
  <c r="CW25" i="13"/>
  <c r="CX25" i="13"/>
  <c r="CY25" i="13"/>
  <c r="CZ25" i="13"/>
  <c r="DA25" i="13"/>
  <c r="DB25" i="13"/>
  <c r="DC25" i="13"/>
  <c r="DD25" i="13"/>
  <c r="DE25" i="13"/>
  <c r="DF25" i="13"/>
  <c r="DG25" i="13"/>
  <c r="DH25" i="13"/>
  <c r="DI25" i="13"/>
  <c r="DJ25" i="13"/>
  <c r="DK25" i="13"/>
  <c r="DL25" i="13"/>
  <c r="DP34" i="13" s="1"/>
  <c r="DM25" i="13"/>
  <c r="DQ34" i="13" s="1"/>
  <c r="DN25" i="13"/>
  <c r="DO25" i="13"/>
  <c r="CT26" i="13"/>
  <c r="CU26" i="13"/>
  <c r="CV26" i="13"/>
  <c r="CW26" i="13"/>
  <c r="CX26" i="13"/>
  <c r="CY26" i="13"/>
  <c r="CZ26" i="13"/>
  <c r="DA26" i="13"/>
  <c r="DB26" i="13"/>
  <c r="DC26" i="13"/>
  <c r="DD26" i="13"/>
  <c r="DE26" i="13"/>
  <c r="DF26" i="13"/>
  <c r="DG26" i="13"/>
  <c r="DH26" i="13"/>
  <c r="DI26" i="13"/>
  <c r="DJ26" i="13"/>
  <c r="DK26" i="13"/>
  <c r="DL26" i="13"/>
  <c r="DP35" i="13" s="1"/>
  <c r="DM26" i="13"/>
  <c r="DQ35" i="13" s="1"/>
  <c r="DN26" i="13"/>
  <c r="DO26" i="13"/>
  <c r="CT27" i="13"/>
  <c r="CU27" i="13"/>
  <c r="CV27" i="13"/>
  <c r="CW27" i="13"/>
  <c r="CX27" i="13"/>
  <c r="CY27" i="13"/>
  <c r="CZ27" i="13"/>
  <c r="DA27" i="13"/>
  <c r="DB27" i="13"/>
  <c r="DC27" i="13"/>
  <c r="DD27" i="13"/>
  <c r="DE27" i="13"/>
  <c r="DF27" i="13"/>
  <c r="DG27" i="13"/>
  <c r="DH27" i="13"/>
  <c r="DI27" i="13"/>
  <c r="DJ27" i="13"/>
  <c r="DK27" i="13"/>
  <c r="DL27" i="13"/>
  <c r="DP36" i="13" s="1"/>
  <c r="DM27" i="13"/>
  <c r="DQ36" i="13" s="1"/>
  <c r="DN27" i="13"/>
  <c r="DO27" i="13"/>
  <c r="DO36" i="13" s="1"/>
  <c r="DG32" i="13"/>
  <c r="DH32" i="13"/>
  <c r="DI32" i="13"/>
  <c r="DJ32" i="13"/>
  <c r="DK32" i="13"/>
  <c r="DL32" i="13"/>
  <c r="DM32" i="13"/>
  <c r="DN32" i="13"/>
  <c r="DO32" i="13"/>
  <c r="DP32" i="13"/>
  <c r="DQ32" i="13"/>
  <c r="CS33" i="13"/>
  <c r="CX33" i="13"/>
  <c r="CY33" i="13"/>
  <c r="CZ33" i="13"/>
  <c r="DA33" i="13"/>
  <c r="DB33" i="13"/>
  <c r="DC33" i="13"/>
  <c r="DD33" i="13"/>
  <c r="DE33" i="13"/>
  <c r="DF33" i="13"/>
  <c r="DG33" i="13"/>
  <c r="DH33" i="13"/>
  <c r="DI33" i="13"/>
  <c r="DJ33" i="13"/>
  <c r="DK33" i="13"/>
  <c r="DL33" i="13"/>
  <c r="DM33" i="13"/>
  <c r="DN33" i="13"/>
  <c r="DO33" i="13"/>
  <c r="CX34" i="13"/>
  <c r="CY34" i="13"/>
  <c r="CZ34" i="13"/>
  <c r="DA34" i="13"/>
  <c r="DB34" i="13"/>
  <c r="DC34" i="13"/>
  <c r="DD34" i="13"/>
  <c r="DE34" i="13"/>
  <c r="DF34" i="13"/>
  <c r="DG34" i="13"/>
  <c r="DH34" i="13"/>
  <c r="DI34" i="13"/>
  <c r="DJ34" i="13"/>
  <c r="DK34" i="13"/>
  <c r="DL34" i="13"/>
  <c r="DM34" i="13"/>
  <c r="DN34" i="13"/>
  <c r="DO34" i="13"/>
  <c r="CX35" i="13"/>
  <c r="CY35" i="13"/>
  <c r="CZ35" i="13"/>
  <c r="DA35" i="13"/>
  <c r="DB35" i="13"/>
  <c r="DC35" i="13"/>
  <c r="DD35" i="13"/>
  <c r="DE35" i="13"/>
  <c r="DF35" i="13"/>
  <c r="DG35" i="13"/>
  <c r="DH35" i="13"/>
  <c r="DI35" i="13"/>
  <c r="DJ35" i="13"/>
  <c r="DK35" i="13"/>
  <c r="DL35" i="13"/>
  <c r="DM35" i="13"/>
  <c r="DN35" i="13"/>
  <c r="DO35" i="13"/>
  <c r="CX36" i="13"/>
  <c r="CY36" i="13"/>
  <c r="CZ36" i="13"/>
  <c r="DA36" i="13"/>
  <c r="DB36" i="13"/>
  <c r="DC36" i="13"/>
  <c r="DD36" i="13"/>
  <c r="DE36" i="13"/>
  <c r="DF36" i="13"/>
  <c r="DG36" i="13"/>
  <c r="DH36" i="13"/>
  <c r="DI36" i="13"/>
  <c r="DJ36" i="13"/>
  <c r="DK36" i="13"/>
  <c r="DL36" i="13"/>
  <c r="DM36" i="13"/>
  <c r="DG44" i="13"/>
  <c r="DH44" i="13"/>
  <c r="DI44" i="13"/>
  <c r="DJ44" i="13"/>
  <c r="DK44" i="13"/>
  <c r="DL44" i="13"/>
  <c r="DM44" i="13"/>
  <c r="DN44" i="13"/>
  <c r="DO44" i="13"/>
  <c r="DP44" i="13"/>
  <c r="DQ44" i="13"/>
  <c r="CT45" i="13"/>
  <c r="CU45" i="13"/>
  <c r="CV45" i="13"/>
  <c r="CW45" i="13"/>
  <c r="CX45" i="13"/>
  <c r="CY45" i="13"/>
  <c r="CZ45" i="13"/>
  <c r="DA45" i="13"/>
  <c r="DB45" i="13"/>
  <c r="DB53" i="13" s="1"/>
  <c r="DC45" i="13"/>
  <c r="DC53" i="13" s="1"/>
  <c r="DD45" i="13"/>
  <c r="DD53" i="13" s="1"/>
  <c r="DE45" i="13"/>
  <c r="DE53" i="13" s="1"/>
  <c r="DF45" i="13"/>
  <c r="DF53" i="13" s="1"/>
  <c r="DG45" i="13"/>
  <c r="DH45" i="13"/>
  <c r="DH53" i="13" s="1"/>
  <c r="DI45" i="13"/>
  <c r="DI53" i="13" s="1"/>
  <c r="DJ45" i="13"/>
  <c r="DJ53" i="13" s="1"/>
  <c r="DK45" i="13"/>
  <c r="DK53" i="13" s="1"/>
  <c r="DL45" i="13"/>
  <c r="DP53" i="13" s="1"/>
  <c r="DM45" i="13"/>
  <c r="DN45" i="13"/>
  <c r="DN53" i="13" s="1"/>
  <c r="DO45" i="13"/>
  <c r="DO53" i="13" s="1"/>
  <c r="CT46" i="13"/>
  <c r="CU46" i="13"/>
  <c r="CV46" i="13"/>
  <c r="CW46" i="13"/>
  <c r="CX46" i="13"/>
  <c r="CX54" i="13" s="1"/>
  <c r="CY46" i="13"/>
  <c r="CY54" i="13" s="1"/>
  <c r="CZ46" i="13"/>
  <c r="CZ54" i="13" s="1"/>
  <c r="DA46" i="13"/>
  <c r="DA54" i="13" s="1"/>
  <c r="DB46" i="13"/>
  <c r="DB54" i="13" s="1"/>
  <c r="DC46" i="13"/>
  <c r="DC54" i="13" s="1"/>
  <c r="DD46" i="13"/>
  <c r="DE46" i="13"/>
  <c r="DE54" i="13" s="1"/>
  <c r="DF46" i="13"/>
  <c r="DF54" i="13" s="1"/>
  <c r="DG46" i="13"/>
  <c r="DG54" i="13" s="1"/>
  <c r="DH46" i="13"/>
  <c r="DH54" i="13" s="1"/>
  <c r="DI46" i="13"/>
  <c r="DI54" i="13" s="1"/>
  <c r="DJ46" i="13"/>
  <c r="DJ54" i="13" s="1"/>
  <c r="DK46" i="13"/>
  <c r="DK54" i="13" s="1"/>
  <c r="DL46" i="13"/>
  <c r="DP54" i="13" s="1"/>
  <c r="DM46" i="13"/>
  <c r="DN46" i="13"/>
  <c r="DN54" i="13" s="1"/>
  <c r="DO46" i="13"/>
  <c r="DO54" i="13" s="1"/>
  <c r="CT47" i="13"/>
  <c r="CU47" i="13"/>
  <c r="CV47" i="13"/>
  <c r="CW47" i="13"/>
  <c r="CX47" i="13"/>
  <c r="CX55" i="13" s="1"/>
  <c r="CY47" i="13"/>
  <c r="CY55" i="13" s="1"/>
  <c r="CZ47" i="13"/>
  <c r="CZ55" i="13" s="1"/>
  <c r="DA47" i="13"/>
  <c r="DA55" i="13" s="1"/>
  <c r="DB47" i="13"/>
  <c r="DB55" i="13" s="1"/>
  <c r="DC47" i="13"/>
  <c r="DC55" i="13" s="1"/>
  <c r="DD47" i="13"/>
  <c r="DD55" i="13" s="1"/>
  <c r="DE47" i="13"/>
  <c r="DF47" i="13"/>
  <c r="DG47" i="13"/>
  <c r="DH47" i="13"/>
  <c r="DI47" i="13"/>
  <c r="DI55" i="13" s="1"/>
  <c r="DJ47" i="13"/>
  <c r="DJ55" i="13" s="1"/>
  <c r="DK47" i="13"/>
  <c r="DK55" i="13" s="1"/>
  <c r="DL47" i="13"/>
  <c r="DM47" i="13"/>
  <c r="DN47" i="13"/>
  <c r="DN55" i="13" s="1"/>
  <c r="DO47" i="13"/>
  <c r="DO55" i="13" s="1"/>
  <c r="CT48" i="13"/>
  <c r="CU48" i="13"/>
  <c r="CV48" i="13"/>
  <c r="CW48" i="13"/>
  <c r="CX48" i="13"/>
  <c r="CX56" i="13" s="1"/>
  <c r="CY48" i="13"/>
  <c r="CY56" i="13" s="1"/>
  <c r="CZ48" i="13"/>
  <c r="DA48" i="13"/>
  <c r="DA56" i="13" s="1"/>
  <c r="DB48" i="13"/>
  <c r="DB56" i="13" s="1"/>
  <c r="DC48" i="13"/>
  <c r="DC56" i="13" s="1"/>
  <c r="DD48" i="13"/>
  <c r="DD56" i="13" s="1"/>
  <c r="DE48" i="13"/>
  <c r="DF48" i="13"/>
  <c r="DG48" i="13"/>
  <c r="DG56" i="13" s="1"/>
  <c r="DH48" i="13"/>
  <c r="DH56" i="13" s="1"/>
  <c r="DI48" i="13"/>
  <c r="DI56" i="13" s="1"/>
  <c r="DJ48" i="13"/>
  <c r="DK48" i="13"/>
  <c r="DK56" i="13" s="1"/>
  <c r="DL48" i="13"/>
  <c r="DP56" i="13" s="1"/>
  <c r="DM48" i="13"/>
  <c r="DQ56" i="13" s="1"/>
  <c r="DN48" i="13"/>
  <c r="DN56" i="13" s="1"/>
  <c r="DO48" i="13"/>
  <c r="DO56" i="13" s="1"/>
  <c r="CT49" i="13"/>
  <c r="CU49" i="13"/>
  <c r="CV49" i="13"/>
  <c r="CW49" i="13"/>
  <c r="CX49" i="13"/>
  <c r="CX57" i="13" s="1"/>
  <c r="CY49" i="13"/>
  <c r="CY57" i="13" s="1"/>
  <c r="CZ49" i="13"/>
  <c r="DA49" i="13"/>
  <c r="DA57" i="13" s="1"/>
  <c r="DB49" i="13"/>
  <c r="DC49" i="13"/>
  <c r="DC57" i="13" s="1"/>
  <c r="DD49" i="13"/>
  <c r="DD57" i="13" s="1"/>
  <c r="DE49" i="13"/>
  <c r="DE57" i="13" s="1"/>
  <c r="DF49" i="13"/>
  <c r="DG49" i="13"/>
  <c r="DH49" i="13"/>
  <c r="DI49" i="13"/>
  <c r="DI57" i="13" s="1"/>
  <c r="DJ49" i="13"/>
  <c r="DK49" i="13"/>
  <c r="DK57" i="13" s="1"/>
  <c r="DL49" i="13"/>
  <c r="DP57" i="13" s="1"/>
  <c r="DM49" i="13"/>
  <c r="DQ57" i="13" s="1"/>
  <c r="DN49" i="13"/>
  <c r="DO49" i="13"/>
  <c r="DO57" i="13" s="1"/>
  <c r="DG52" i="13"/>
  <c r="DH52" i="13"/>
  <c r="DI52" i="13"/>
  <c r="DJ52" i="13"/>
  <c r="DK52" i="13"/>
  <c r="DL52" i="13"/>
  <c r="DM52" i="13"/>
  <c r="DN52" i="13"/>
  <c r="DO52" i="13"/>
  <c r="DP52" i="13"/>
  <c r="DQ52" i="13"/>
  <c r="CY53" i="13"/>
  <c r="CZ53" i="13"/>
  <c r="DA53" i="13"/>
  <c r="BL166" i="66"/>
  <c r="BL165" i="66"/>
  <c r="BL164" i="66"/>
  <c r="BL163" i="66"/>
  <c r="BL162" i="66"/>
  <c r="BK166" i="66"/>
  <c r="BK165" i="66"/>
  <c r="BK164" i="66"/>
  <c r="BK163" i="66"/>
  <c r="BK162" i="66"/>
  <c r="BL23" i="13"/>
  <c r="BL22" i="13"/>
  <c r="BL21" i="13"/>
  <c r="BK23" i="13"/>
  <c r="BK22" i="13"/>
  <c r="BK21" i="13"/>
  <c r="DN57" i="13" l="1"/>
  <c r="DN36" i="13"/>
  <c r="DE56" i="13"/>
  <c r="CZ57" i="13"/>
  <c r="CZ56" i="13"/>
  <c r="DF57" i="13"/>
  <c r="DM54" i="13"/>
  <c r="DQ54" i="13"/>
  <c r="DM55" i="13"/>
  <c r="DQ55" i="13"/>
  <c r="DM53" i="13"/>
  <c r="DQ53" i="13"/>
  <c r="DF56" i="13"/>
  <c r="DL55" i="13"/>
  <c r="DP55" i="13"/>
  <c r="DM56" i="13"/>
  <c r="DG53" i="13"/>
  <c r="DH57" i="13"/>
  <c r="DJ56" i="13"/>
  <c r="DD54" i="13"/>
  <c r="CX53" i="13"/>
  <c r="DG57" i="13"/>
  <c r="DL56" i="13"/>
  <c r="DL54" i="13"/>
  <c r="DM57" i="13"/>
  <c r="DJ57" i="13"/>
  <c r="DL53" i="13"/>
  <c r="DL57" i="13"/>
  <c r="BL149" i="66" l="1"/>
  <c r="BL148" i="66"/>
  <c r="BL147" i="66"/>
  <c r="BL146" i="66"/>
  <c r="BL145" i="66"/>
  <c r="BL34" i="67" l="1"/>
  <c r="BL35" i="67"/>
  <c r="BL143" i="67"/>
  <c r="BL140" i="67"/>
  <c r="BL128" i="67"/>
  <c r="BL15" i="67"/>
  <c r="BL14" i="67"/>
  <c r="BL100" i="67"/>
  <c r="BL12" i="67"/>
  <c r="BZ23" i="13" l="1"/>
  <c r="CF48" i="13" s="1"/>
  <c r="BY23" i="13"/>
  <c r="CE48" i="13" s="1"/>
  <c r="BX23" i="13"/>
  <c r="CD48" i="13" s="1"/>
  <c r="BW23" i="13"/>
  <c r="CC48" i="13" s="1"/>
  <c r="BZ22" i="13"/>
  <c r="CF47" i="13" s="1"/>
  <c r="BY22" i="13"/>
  <c r="CE47" i="13" s="1"/>
  <c r="BX22" i="13"/>
  <c r="CD47" i="13" s="1"/>
  <c r="BW22" i="13"/>
  <c r="CC47" i="13" s="1"/>
  <c r="BZ21" i="13"/>
  <c r="CF46" i="13" s="1"/>
  <c r="BY21" i="13"/>
  <c r="CE46" i="13" s="1"/>
  <c r="BX21" i="13"/>
  <c r="CD46" i="13" s="1"/>
  <c r="BW21" i="13"/>
  <c r="CC46" i="13" s="1"/>
  <c r="BZ20" i="13"/>
  <c r="CF45" i="13" s="1"/>
  <c r="BY20" i="13"/>
  <c r="CE45" i="13" s="1"/>
  <c r="BX20" i="13"/>
  <c r="CD45" i="13" s="1"/>
  <c r="BW20" i="13"/>
  <c r="CC45" i="13" s="1"/>
  <c r="BZ19" i="13"/>
  <c r="CF44" i="13" s="1"/>
  <c r="BY19" i="13"/>
  <c r="CE44" i="13" s="1"/>
  <c r="BX19" i="13"/>
  <c r="CD44" i="13" s="1"/>
  <c r="BW19" i="13"/>
  <c r="CC44" i="13" s="1"/>
  <c r="BT23" i="13"/>
  <c r="BS23" i="13"/>
  <c r="BR23" i="13"/>
  <c r="BT22" i="13"/>
  <c r="BS22" i="13"/>
  <c r="BR22" i="13"/>
  <c r="BT21" i="13"/>
  <c r="BS21" i="13"/>
  <c r="BR21" i="13"/>
  <c r="BT20" i="13"/>
  <c r="BS20" i="13"/>
  <c r="BR20" i="13"/>
  <c r="BT19" i="13"/>
  <c r="BS19" i="13"/>
  <c r="BR19" i="13"/>
  <c r="BQ23" i="13"/>
  <c r="BQ22" i="13"/>
  <c r="BQ21" i="13"/>
  <c r="BQ20" i="13"/>
  <c r="BQ19" i="13"/>
  <c r="BN23" i="13"/>
  <c r="BO23" i="13" s="1"/>
  <c r="BN22" i="13"/>
  <c r="BO22" i="13" s="1"/>
  <c r="BN21" i="13"/>
  <c r="BO21" i="13" s="1"/>
  <c r="BN20" i="13"/>
  <c r="BN19" i="13"/>
  <c r="BO19" i="13" s="1"/>
  <c r="D85" i="69" l="1"/>
  <c r="E85" i="69" s="1"/>
  <c r="A88" i="69" l="1"/>
  <c r="A78" i="69" s="1"/>
  <c r="B53" i="69"/>
  <c r="B62" i="69" s="1"/>
  <c r="D43" i="69"/>
  <c r="E43" i="69" s="1"/>
  <c r="B42" i="69"/>
  <c r="B32" i="69"/>
  <c r="B26" i="69"/>
  <c r="BO39" i="66" s="1"/>
  <c r="B7" i="69"/>
  <c r="B6" i="69"/>
  <c r="B45" i="69" l="1"/>
  <c r="C29" i="69"/>
  <c r="C26" i="69" s="1"/>
  <c r="B54" i="69"/>
  <c r="B11" i="69"/>
  <c r="B60" i="69"/>
  <c r="D60" i="69"/>
  <c r="B84" i="69"/>
  <c r="B87" i="69" s="1"/>
  <c r="B36" i="69"/>
  <c r="B39" i="69" s="1"/>
  <c r="B40" i="69" s="1"/>
  <c r="B33" i="69"/>
  <c r="B43" i="69"/>
  <c r="B51" i="69"/>
  <c r="D29" i="69" l="1"/>
  <c r="D26" i="69" s="1"/>
  <c r="Q109" i="69" s="1"/>
  <c r="F3" i="69"/>
  <c r="G7" i="69" s="1"/>
  <c r="B67" i="69"/>
  <c r="C45" i="69"/>
  <c r="D45" i="69" s="1"/>
  <c r="E45" i="69" s="1"/>
  <c r="C84" i="69"/>
  <c r="C42" i="69"/>
  <c r="C36" i="69"/>
  <c r="C32" i="69"/>
  <c r="C27" i="69"/>
  <c r="E60" i="69"/>
  <c r="E29" i="69" l="1"/>
  <c r="E26" i="69" s="1"/>
  <c r="C67" i="69"/>
  <c r="B82" i="69"/>
  <c r="B80" i="69" s="1"/>
  <c r="C82" i="69"/>
  <c r="D82" i="69" s="1"/>
  <c r="E82" i="69" s="1"/>
  <c r="C39" i="69"/>
  <c r="C48" i="69"/>
  <c r="C50" i="69" s="1"/>
  <c r="C33" i="69"/>
  <c r="D42" i="69"/>
  <c r="D67" i="69" s="1"/>
  <c r="D84" i="69"/>
  <c r="D36" i="69"/>
  <c r="D32" i="69"/>
  <c r="D27" i="69"/>
  <c r="G11" i="69"/>
  <c r="F4" i="69"/>
  <c r="F18" i="69"/>
  <c r="V109" i="69" l="1"/>
  <c r="BW12" i="13"/>
  <c r="E84" i="69"/>
  <c r="E36" i="69"/>
  <c r="E32" i="69"/>
  <c r="E27" i="69"/>
  <c r="E42" i="69"/>
  <c r="E67" i="69" s="1"/>
  <c r="G18" i="69"/>
  <c r="C56" i="69"/>
  <c r="C53" i="69"/>
  <c r="D33" i="69"/>
  <c r="D48" i="69"/>
  <c r="D39" i="69"/>
  <c r="C77" i="69"/>
  <c r="C40" i="69"/>
  <c r="CF12" i="13" l="1"/>
  <c r="CE12" i="13"/>
  <c r="C54" i="69"/>
  <c r="D40" i="69"/>
  <c r="D77" i="69"/>
  <c r="D50" i="69"/>
  <c r="D53" i="69" s="1"/>
  <c r="D56" i="69"/>
  <c r="C59" i="69"/>
  <c r="C62" i="69" s="1"/>
  <c r="C87" i="69" s="1"/>
  <c r="C90" i="69" s="1"/>
  <c r="E48" i="69"/>
  <c r="E39" i="69"/>
  <c r="E33" i="69"/>
  <c r="C80" i="69"/>
  <c r="CD12" i="13" l="1"/>
  <c r="CC12" i="13"/>
  <c r="D54" i="69"/>
  <c r="C69" i="69"/>
  <c r="E56" i="69"/>
  <c r="E59" i="69" s="1"/>
  <c r="D59" i="69"/>
  <c r="D62" i="69" s="1"/>
  <c r="D87" i="69" s="1"/>
  <c r="E77" i="69"/>
  <c r="E40" i="69"/>
  <c r="D80" i="69"/>
  <c r="E50" i="69"/>
  <c r="E53" i="69" s="1"/>
  <c r="CC37" i="13" l="1"/>
  <c r="E62" i="69"/>
  <c r="E87" i="69" s="1"/>
  <c r="E54" i="69"/>
  <c r="D69" i="69"/>
  <c r="E80" i="69"/>
  <c r="E69" i="69" l="1"/>
  <c r="D90" i="69"/>
  <c r="E90" i="69" l="1"/>
  <c r="BA23" i="13" l="1"/>
  <c r="BA22" i="13"/>
  <c r="BA21" i="13"/>
  <c r="BA20" i="13"/>
  <c r="BA19" i="13"/>
  <c r="BA11" i="13"/>
  <c r="BA10" i="13"/>
  <c r="BA9" i="13"/>
  <c r="BA8" i="13"/>
  <c r="BG23" i="13"/>
  <c r="BG22" i="13"/>
  <c r="BG21" i="13"/>
  <c r="BG19" i="13"/>
  <c r="BH23" i="13"/>
  <c r="BH22" i="13"/>
  <c r="BH21" i="13"/>
  <c r="BH19" i="13"/>
  <c r="BF23" i="13"/>
  <c r="BE23" i="13"/>
  <c r="BF22" i="13"/>
  <c r="BE22" i="13"/>
  <c r="BF21" i="13"/>
  <c r="BE21" i="13"/>
  <c r="BF20" i="13"/>
  <c r="BE20" i="13"/>
  <c r="BF19" i="13"/>
  <c r="BE19" i="13"/>
  <c r="BB23" i="13"/>
  <c r="AZ23" i="13"/>
  <c r="AY23" i="13"/>
  <c r="BB22" i="13"/>
  <c r="AZ22" i="13"/>
  <c r="AY22" i="13"/>
  <c r="BB21" i="13"/>
  <c r="AZ21" i="13"/>
  <c r="AY21" i="13"/>
  <c r="BB20" i="13"/>
  <c r="AZ20" i="13"/>
  <c r="AY20" i="13"/>
  <c r="BB19" i="13"/>
  <c r="AZ19" i="13"/>
  <c r="AY19" i="13"/>
  <c r="AV23" i="13"/>
  <c r="AU23" i="13"/>
  <c r="AT23" i="13"/>
  <c r="AS23" i="13"/>
  <c r="AV22" i="13"/>
  <c r="AU22" i="13"/>
  <c r="AT22" i="13"/>
  <c r="AS22" i="13"/>
  <c r="AV21" i="13"/>
  <c r="AU21" i="13"/>
  <c r="AT21" i="13"/>
  <c r="AS21" i="13"/>
  <c r="AV20" i="13"/>
  <c r="AU20" i="13"/>
  <c r="AT20" i="13"/>
  <c r="AS20" i="13"/>
  <c r="AV19" i="13"/>
  <c r="AU19" i="13"/>
  <c r="AT19" i="13"/>
  <c r="AS19" i="13"/>
  <c r="AP23" i="13"/>
  <c r="AO23" i="13"/>
  <c r="AN23" i="13"/>
  <c r="AM23" i="13"/>
  <c r="AP22" i="13"/>
  <c r="AO22" i="13"/>
  <c r="AN22" i="13"/>
  <c r="AM22" i="13"/>
  <c r="AP21" i="13"/>
  <c r="AO21" i="13"/>
  <c r="AN21" i="13"/>
  <c r="AM21" i="13"/>
  <c r="AP20" i="13"/>
  <c r="AO20" i="13"/>
  <c r="AN20" i="13"/>
  <c r="AM20" i="13"/>
  <c r="AP19" i="13"/>
  <c r="AO19" i="13"/>
  <c r="AN19" i="13"/>
  <c r="AM19" i="13"/>
  <c r="AJ23" i="13"/>
  <c r="AI23" i="13"/>
  <c r="AH23" i="13"/>
  <c r="AJ22" i="13"/>
  <c r="AI22" i="13"/>
  <c r="AH22" i="13"/>
  <c r="AJ21" i="13"/>
  <c r="AI21" i="13"/>
  <c r="AH21" i="13"/>
  <c r="AJ20" i="13"/>
  <c r="AI20" i="13"/>
  <c r="AH20" i="13"/>
  <c r="AJ19" i="13"/>
  <c r="AI19" i="13"/>
  <c r="AH19" i="13"/>
  <c r="AG23" i="13"/>
  <c r="AG22" i="13"/>
  <c r="AG21" i="13"/>
  <c r="AG20" i="13"/>
  <c r="AG19" i="13"/>
  <c r="BI19" i="13" l="1"/>
  <c r="BI23" i="13"/>
  <c r="BC20" i="13"/>
  <c r="BI21" i="13"/>
  <c r="BC21" i="13"/>
  <c r="BC19" i="13"/>
  <c r="BC23" i="13"/>
  <c r="BC22" i="13"/>
  <c r="BI22" i="13"/>
  <c r="AJ67" i="66"/>
  <c r="AI67" i="66"/>
  <c r="AH67" i="66"/>
  <c r="AG67" i="66"/>
  <c r="AJ61" i="66"/>
  <c r="AI61" i="66"/>
  <c r="AH61" i="66"/>
  <c r="AG61" i="66"/>
  <c r="AJ59" i="66"/>
  <c r="AI59" i="66"/>
  <c r="AH59" i="66"/>
  <c r="AG59" i="66"/>
  <c r="AK61" i="66" l="1"/>
  <c r="AK67" i="66"/>
  <c r="AK59" i="66"/>
  <c r="AP67" i="66" l="1"/>
  <c r="AV67" i="66" s="1"/>
  <c r="AO67" i="66"/>
  <c r="AU67" i="66" s="1"/>
  <c r="AN67" i="66"/>
  <c r="AT67" i="66" s="1"/>
  <c r="AM67" i="66"/>
  <c r="AS67" i="66" s="1"/>
  <c r="AW67" i="66" l="1"/>
  <c r="AQ67" i="66"/>
  <c r="BK99" i="66"/>
  <c r="BK97" i="66"/>
  <c r="BK98" i="66"/>
  <c r="BK36" i="40"/>
  <c r="BO36" i="40" s="1"/>
  <c r="BO37" i="40" s="1"/>
  <c r="BK35" i="40"/>
  <c r="BO35" i="40" s="1"/>
  <c r="BK32" i="40"/>
  <c r="BK33" i="40"/>
  <c r="BK14" i="40"/>
  <c r="BK145" i="12"/>
  <c r="BK146" i="12"/>
  <c r="BK147" i="12"/>
  <c r="BK148" i="12"/>
  <c r="BK149" i="12"/>
  <c r="BK150" i="12"/>
  <c r="BK153" i="12"/>
  <c r="BK154" i="12"/>
  <c r="BK155" i="12"/>
  <c r="BK122" i="12"/>
  <c r="BL117" i="12" s="1"/>
  <c r="BL120" i="12" s="1"/>
  <c r="BK110" i="12"/>
  <c r="BK102" i="12" s="1"/>
  <c r="BL97" i="12" s="1"/>
  <c r="BK105" i="12"/>
  <c r="BK98" i="12"/>
  <c r="BO98" i="12" s="1"/>
  <c r="BK71" i="12"/>
  <c r="BQ71" i="12" s="1"/>
  <c r="BW71" i="12" s="1"/>
  <c r="CC71" i="12" s="1"/>
  <c r="CI71" i="12" s="1"/>
  <c r="BK70" i="12"/>
  <c r="BQ70" i="12" s="1"/>
  <c r="BW70" i="12" s="1"/>
  <c r="CC70" i="12" s="1"/>
  <c r="CI70" i="12" s="1"/>
  <c r="BK48" i="12"/>
  <c r="BK46" i="12"/>
  <c r="BK171" i="12" s="1"/>
  <c r="BK89" i="11"/>
  <c r="BK88" i="11"/>
  <c r="BO88" i="11" s="1"/>
  <c r="BK82" i="11"/>
  <c r="BK83" i="11" s="1"/>
  <c r="BK45" i="67"/>
  <c r="BK156" i="12" l="1"/>
  <c r="BK151" i="12"/>
  <c r="BL101" i="12"/>
  <c r="BL106" i="12"/>
  <c r="BL121" i="12"/>
  <c r="BK37" i="40"/>
  <c r="BK87" i="11"/>
  <c r="BK47" i="12"/>
  <c r="BI166" i="66"/>
  <c r="BI165" i="66"/>
  <c r="BI164" i="66"/>
  <c r="BI163" i="66"/>
  <c r="BI162" i="66"/>
  <c r="BC166" i="66"/>
  <c r="BC165" i="66"/>
  <c r="BC164" i="66"/>
  <c r="BC163" i="66"/>
  <c r="BC162" i="66"/>
  <c r="AW166" i="66"/>
  <c r="AW165" i="66"/>
  <c r="AW164" i="66"/>
  <c r="AW163" i="66"/>
  <c r="AW162" i="66"/>
  <c r="AW161" i="66"/>
  <c r="AQ166" i="66"/>
  <c r="AQ165" i="66"/>
  <c r="AQ164" i="66"/>
  <c r="AQ163" i="66"/>
  <c r="AQ161" i="66"/>
  <c r="AK166" i="66"/>
  <c r="AK165" i="66"/>
  <c r="AK164" i="66"/>
  <c r="AK163" i="66"/>
  <c r="AK161" i="66"/>
  <c r="AE166" i="66"/>
  <c r="AE165" i="66"/>
  <c r="AE164" i="66"/>
  <c r="AE163" i="66"/>
  <c r="AE161" i="66"/>
  <c r="BK158" i="12" l="1"/>
  <c r="BG11" i="13"/>
  <c r="BG9" i="13"/>
  <c r="BK149" i="66" l="1"/>
  <c r="BK148" i="66"/>
  <c r="BK147" i="66"/>
  <c r="BK146" i="66"/>
  <c r="BK145" i="66"/>
  <c r="BK140" i="67"/>
  <c r="BK128" i="67"/>
  <c r="BO128" i="67" s="1"/>
  <c r="BK12" i="67"/>
  <c r="BK15" i="67"/>
  <c r="BK9" i="67"/>
  <c r="BZ148" i="67" l="1"/>
  <c r="BY148" i="67"/>
  <c r="BX148" i="67"/>
  <c r="BW148" i="67"/>
  <c r="BE11" i="66" l="1"/>
  <c r="BE118" i="67" s="1"/>
  <c r="CA29" i="67" l="1"/>
  <c r="BE32" i="40"/>
  <c r="BF32" i="40"/>
  <c r="BG32" i="40"/>
  <c r="BH32" i="40"/>
  <c r="BI32" i="40" l="1"/>
  <c r="A23" i="13"/>
  <c r="A22" i="13"/>
  <c r="A21" i="13"/>
  <c r="A20" i="13"/>
  <c r="A19" i="13"/>
  <c r="A11" i="13"/>
  <c r="A10" i="13"/>
  <c r="A9" i="13"/>
  <c r="A8" i="13"/>
  <c r="BA49" i="66"/>
  <c r="BH36" i="40" l="1"/>
  <c r="BG36" i="40"/>
  <c r="BF36" i="40"/>
  <c r="BE36" i="40"/>
  <c r="BB36" i="40"/>
  <c r="BA36" i="40"/>
  <c r="AY36" i="40"/>
  <c r="AV36" i="40"/>
  <c r="AU36" i="40"/>
  <c r="AT36" i="40"/>
  <c r="AS36" i="40"/>
  <c r="AP36" i="40"/>
  <c r="AO36" i="40"/>
  <c r="AN36" i="40"/>
  <c r="AM36" i="40"/>
  <c r="AJ36" i="40"/>
  <c r="AI36" i="40"/>
  <c r="AH36" i="40"/>
  <c r="AG36" i="40"/>
  <c r="BH33" i="40"/>
  <c r="BG33" i="40"/>
  <c r="BF33" i="40"/>
  <c r="BE33" i="40"/>
  <c r="BB33" i="40"/>
  <c r="BA33" i="40"/>
  <c r="AZ33" i="40"/>
  <c r="AY33" i="40"/>
  <c r="AV33" i="40"/>
  <c r="AU33" i="40"/>
  <c r="AT33" i="40"/>
  <c r="AS33" i="40"/>
  <c r="AP33" i="40"/>
  <c r="AO33" i="40"/>
  <c r="AN33" i="40"/>
  <c r="AM33" i="40"/>
  <c r="AJ33" i="40"/>
  <c r="AI33" i="40"/>
  <c r="AH33" i="40"/>
  <c r="AG33" i="40"/>
  <c r="L12" i="66"/>
  <c r="K12" i="66"/>
  <c r="J12" i="66"/>
  <c r="I12" i="66"/>
  <c r="L9" i="66"/>
  <c r="K9" i="66"/>
  <c r="J9" i="66"/>
  <c r="I9" i="66"/>
  <c r="F12" i="66"/>
  <c r="E12" i="66"/>
  <c r="D12" i="66"/>
  <c r="C12" i="66"/>
  <c r="F9" i="66"/>
  <c r="E9" i="66"/>
  <c r="D9" i="66"/>
  <c r="C9" i="66"/>
  <c r="C45" i="66" s="1"/>
  <c r="AK36" i="40" l="1"/>
  <c r="AQ36" i="40"/>
  <c r="AW36" i="40"/>
  <c r="BI36" i="40"/>
  <c r="BZ11" i="13" l="1"/>
  <c r="BY11" i="13"/>
  <c r="BX11" i="13"/>
  <c r="BW11" i="13"/>
  <c r="BW70" i="13"/>
  <c r="BZ9" i="13"/>
  <c r="BY9" i="13"/>
  <c r="BX9" i="13"/>
  <c r="BW9" i="13"/>
  <c r="BZ8" i="13"/>
  <c r="BY8" i="13"/>
  <c r="BX8" i="13"/>
  <c r="BW8" i="13"/>
  <c r="BT11" i="13"/>
  <c r="BS11" i="13"/>
  <c r="BR11" i="13"/>
  <c r="BQ11" i="13"/>
  <c r="BT70" i="13"/>
  <c r="BS70" i="13"/>
  <c r="BR70" i="13"/>
  <c r="BQ70" i="13"/>
  <c r="BT9" i="13"/>
  <c r="BS9" i="13"/>
  <c r="BR9" i="13"/>
  <c r="BQ9" i="13"/>
  <c r="BT8" i="13"/>
  <c r="BS8" i="13"/>
  <c r="BR8" i="13"/>
  <c r="BV27" i="13"/>
  <c r="BV26" i="13"/>
  <c r="BV24" i="13"/>
  <c r="BV23" i="13"/>
  <c r="BV22" i="13"/>
  <c r="BV21" i="13"/>
  <c r="BV20" i="13"/>
  <c r="BV19" i="13"/>
  <c r="BV15" i="13"/>
  <c r="BV11" i="13"/>
  <c r="BV10" i="13"/>
  <c r="BV9" i="13"/>
  <c r="BV8" i="13"/>
  <c r="BH11" i="13"/>
  <c r="BE11" i="13"/>
  <c r="BG10" i="13"/>
  <c r="BE10" i="13"/>
  <c r="BH9" i="13"/>
  <c r="BE9" i="13"/>
  <c r="AY11" i="13"/>
  <c r="AY10" i="13"/>
  <c r="AY9" i="13"/>
  <c r="AY8" i="13"/>
  <c r="AV11" i="13"/>
  <c r="AU11" i="13"/>
  <c r="AT11" i="13"/>
  <c r="AS11" i="13"/>
  <c r="AV10" i="13"/>
  <c r="AU10" i="13"/>
  <c r="AT10" i="13"/>
  <c r="AS10" i="13"/>
  <c r="AV9" i="13"/>
  <c r="AU9" i="13"/>
  <c r="AT9" i="13"/>
  <c r="AS9" i="13"/>
  <c r="AV8" i="13"/>
  <c r="AU8" i="13"/>
  <c r="AT8" i="13"/>
  <c r="AS8" i="13"/>
  <c r="AP11" i="13"/>
  <c r="AO11" i="13"/>
  <c r="AN11" i="13"/>
  <c r="AM11" i="13"/>
  <c r="AP10" i="13"/>
  <c r="AO10" i="13"/>
  <c r="AN10" i="13"/>
  <c r="AM10" i="13"/>
  <c r="AP9" i="13"/>
  <c r="AO9" i="13"/>
  <c r="AN9" i="13"/>
  <c r="AM9" i="13"/>
  <c r="AP8" i="13"/>
  <c r="AO8" i="13"/>
  <c r="AN8" i="13"/>
  <c r="AM8" i="13"/>
  <c r="CD33" i="13" l="1"/>
  <c r="CF33" i="13"/>
  <c r="CD34" i="13"/>
  <c r="CF34" i="13"/>
  <c r="CC36" i="13"/>
  <c r="CE36" i="13"/>
  <c r="CC33" i="13"/>
  <c r="CE33" i="13"/>
  <c r="CC34" i="13"/>
  <c r="CE34" i="13"/>
  <c r="CD36" i="13"/>
  <c r="CF36" i="13"/>
  <c r="AJ76" i="13"/>
  <c r="AP68" i="13"/>
  <c r="AI76" i="13"/>
  <c r="AM68" i="13"/>
  <c r="AO68" i="13"/>
  <c r="AM71" i="13"/>
  <c r="AM73" i="13"/>
  <c r="AO73" i="13"/>
  <c r="AM74" i="13"/>
  <c r="AO74" i="13"/>
  <c r="AM77" i="13"/>
  <c r="AO77" i="13"/>
  <c r="AS77" i="13"/>
  <c r="AU77" i="13"/>
  <c r="AY77" i="13"/>
  <c r="BA77" i="13"/>
  <c r="AH76" i="13"/>
  <c r="AN68" i="13"/>
  <c r="AN71" i="13"/>
  <c r="AN73" i="13"/>
  <c r="AP73" i="13"/>
  <c r="AN74" i="13"/>
  <c r="AP74" i="13"/>
  <c r="AN77" i="13"/>
  <c r="AP77" i="13"/>
  <c r="AT77" i="13"/>
  <c r="AV77" i="13"/>
  <c r="AJ10" i="13"/>
  <c r="AI10" i="13"/>
  <c r="AH10" i="13"/>
  <c r="AJ9" i="13"/>
  <c r="AI9" i="13"/>
  <c r="AH9" i="13"/>
  <c r="AG10" i="13"/>
  <c r="AG9" i="13"/>
  <c r="AI69" i="13" l="1"/>
  <c r="AG69" i="13"/>
  <c r="AH69" i="13"/>
  <c r="AJ69" i="13"/>
  <c r="AI70" i="13"/>
  <c r="AG76" i="13"/>
  <c r="AG70" i="13"/>
  <c r="AH70" i="13"/>
  <c r="AJ70" i="13"/>
  <c r="AA45" i="66" l="1"/>
  <c r="AY49" i="66" l="1"/>
  <c r="BH82" i="12" l="1"/>
  <c r="BG82" i="12"/>
  <c r="BF82" i="12"/>
  <c r="BE82" i="12"/>
  <c r="BB82" i="12"/>
  <c r="BA82" i="12"/>
  <c r="AZ82" i="12"/>
  <c r="AY82" i="12"/>
  <c r="BH71" i="12"/>
  <c r="BG71" i="12"/>
  <c r="BF71" i="12"/>
  <c r="BE71" i="12"/>
  <c r="BB71" i="12"/>
  <c r="BA71" i="12"/>
  <c r="AZ71" i="12"/>
  <c r="AY71" i="12"/>
  <c r="BH70" i="12"/>
  <c r="BG70" i="12"/>
  <c r="BF70" i="12"/>
  <c r="BE70" i="12"/>
  <c r="BB70" i="12"/>
  <c r="BA70" i="12"/>
  <c r="AZ70" i="12"/>
  <c r="AY70" i="12"/>
  <c r="BH48" i="12"/>
  <c r="BG48" i="12"/>
  <c r="BF48" i="12"/>
  <c r="BE48" i="12"/>
  <c r="BB48" i="12"/>
  <c r="BA48" i="12"/>
  <c r="AY48" i="12"/>
  <c r="AV48" i="12"/>
  <c r="AU48" i="12"/>
  <c r="AT48" i="12"/>
  <c r="AS48" i="12"/>
  <c r="AP48" i="12"/>
  <c r="AO48" i="12"/>
  <c r="AN48" i="12"/>
  <c r="AM48" i="12"/>
  <c r="AJ48" i="12"/>
  <c r="AI48" i="12"/>
  <c r="AH48" i="12"/>
  <c r="AG48" i="12"/>
  <c r="AY35" i="67" l="1"/>
  <c r="AY33" i="67" s="1"/>
  <c r="BH15" i="67" l="1"/>
  <c r="BG15" i="67"/>
  <c r="BF15" i="67"/>
  <c r="BE15" i="67"/>
  <c r="BH14" i="67"/>
  <c r="BG14" i="67"/>
  <c r="BF14" i="67"/>
  <c r="BE14" i="67"/>
  <c r="BB15" i="67"/>
  <c r="BB14" i="67"/>
  <c r="BA15" i="67"/>
  <c r="BA14" i="67"/>
  <c r="AZ15" i="67"/>
  <c r="AZ14" i="67"/>
  <c r="BF11" i="67"/>
  <c r="BI10" i="67"/>
  <c r="BG11" i="67"/>
  <c r="BI9" i="67"/>
  <c r="AY15" i="67"/>
  <c r="AY14" i="67"/>
  <c r="BI143" i="67"/>
  <c r="BC143" i="67"/>
  <c r="AW143" i="67"/>
  <c r="AQ143" i="67"/>
  <c r="AK143" i="67"/>
  <c r="AE143" i="67"/>
  <c r="Y143" i="67"/>
  <c r="R143" i="67"/>
  <c r="S143" i="67" s="1"/>
  <c r="L143" i="67"/>
  <c r="M143" i="67" s="1"/>
  <c r="F143" i="67"/>
  <c r="G143" i="67" s="1"/>
  <c r="BH140" i="67"/>
  <c r="BG140" i="67"/>
  <c r="BF140" i="67"/>
  <c r="BE140" i="67"/>
  <c r="BB140" i="67"/>
  <c r="BA140" i="67"/>
  <c r="AZ140" i="67"/>
  <c r="AY140" i="67"/>
  <c r="AV140" i="67"/>
  <c r="AU140" i="67"/>
  <c r="AT140" i="67"/>
  <c r="AS140" i="67"/>
  <c r="AP140" i="67"/>
  <c r="AO140" i="67"/>
  <c r="AN140" i="67"/>
  <c r="AM140" i="67"/>
  <c r="AI140" i="67"/>
  <c r="AH140" i="67"/>
  <c r="AG140" i="67"/>
  <c r="AD140" i="67"/>
  <c r="AC140" i="67"/>
  <c r="AB140" i="67"/>
  <c r="AA140" i="67"/>
  <c r="X140" i="67"/>
  <c r="W140" i="67"/>
  <c r="V140" i="67"/>
  <c r="U140" i="67"/>
  <c r="Q140" i="67"/>
  <c r="P140" i="67"/>
  <c r="O140" i="67"/>
  <c r="K140" i="67"/>
  <c r="J140" i="67"/>
  <c r="I140" i="67"/>
  <c r="E140" i="67"/>
  <c r="D140" i="67"/>
  <c r="C140" i="67"/>
  <c r="BI139" i="67"/>
  <c r="BC139" i="67"/>
  <c r="AW139" i="67"/>
  <c r="AQ139" i="67"/>
  <c r="AK139" i="67"/>
  <c r="AE139" i="67"/>
  <c r="Y139" i="67"/>
  <c r="R139" i="67"/>
  <c r="S139" i="67" s="1"/>
  <c r="L139" i="67"/>
  <c r="M139" i="67" s="1"/>
  <c r="F139" i="67"/>
  <c r="G139" i="67" s="1"/>
  <c r="BI138" i="67"/>
  <c r="BC138" i="67"/>
  <c r="AW138" i="67"/>
  <c r="AQ138" i="67"/>
  <c r="AJ138" i="67"/>
  <c r="AJ140" i="67" s="1"/>
  <c r="AE138" i="67"/>
  <c r="Y138" i="67"/>
  <c r="S138" i="67"/>
  <c r="M138" i="67"/>
  <c r="F138" i="67"/>
  <c r="G138" i="67" s="1"/>
  <c r="BI137" i="67"/>
  <c r="BC137" i="67"/>
  <c r="AW137" i="67"/>
  <c r="AQ137" i="67"/>
  <c r="AK137" i="67"/>
  <c r="AE137" i="67"/>
  <c r="Y137" i="67"/>
  <c r="R137" i="67"/>
  <c r="S137" i="67" s="1"/>
  <c r="M137" i="67"/>
  <c r="G137" i="67"/>
  <c r="BI136" i="67"/>
  <c r="BC136" i="67"/>
  <c r="AW136" i="67"/>
  <c r="AQ136" i="67"/>
  <c r="AK136" i="67"/>
  <c r="AE136" i="67"/>
  <c r="Y136" i="67"/>
  <c r="R136" i="67"/>
  <c r="S136" i="67" s="1"/>
  <c r="L136" i="67"/>
  <c r="F136" i="67"/>
  <c r="G136" i="67" s="1"/>
  <c r="BI135" i="67"/>
  <c r="BC135" i="67"/>
  <c r="AW135" i="67"/>
  <c r="AQ135" i="67"/>
  <c r="AK135" i="67"/>
  <c r="AE135" i="67"/>
  <c r="Y135" i="67"/>
  <c r="S135" i="67"/>
  <c r="M135" i="67"/>
  <c r="G135" i="67"/>
  <c r="BI133" i="67"/>
  <c r="BC133" i="67"/>
  <c r="AW133" i="67"/>
  <c r="AQ133" i="67"/>
  <c r="AK133" i="67"/>
  <c r="AE133" i="67"/>
  <c r="Y133" i="67"/>
  <c r="S133" i="67"/>
  <c r="M133" i="67"/>
  <c r="G133" i="67"/>
  <c r="BH128" i="67"/>
  <c r="BG128" i="67"/>
  <c r="BF128" i="67"/>
  <c r="BE128" i="67"/>
  <c r="BB128" i="67"/>
  <c r="BA128" i="67"/>
  <c r="AZ128" i="67"/>
  <c r="AY128" i="67"/>
  <c r="AV128" i="67"/>
  <c r="AU128" i="67"/>
  <c r="AT128" i="67"/>
  <c r="AS128" i="67"/>
  <c r="AP128" i="67"/>
  <c r="AO128" i="67"/>
  <c r="AN128" i="67"/>
  <c r="AM128" i="67"/>
  <c r="AJ128" i="67"/>
  <c r="AI128" i="67"/>
  <c r="AH128" i="67"/>
  <c r="AG128" i="67"/>
  <c r="AD128" i="67"/>
  <c r="AC128" i="67"/>
  <c r="AB128" i="67"/>
  <c r="AA128" i="67"/>
  <c r="X128" i="67"/>
  <c r="W128" i="67"/>
  <c r="V128" i="67"/>
  <c r="U128" i="67"/>
  <c r="Q128" i="67"/>
  <c r="P128" i="67"/>
  <c r="O128" i="67"/>
  <c r="K128" i="67"/>
  <c r="J128" i="67"/>
  <c r="I128" i="67"/>
  <c r="BI127" i="67"/>
  <c r="BC127" i="67"/>
  <c r="AW127" i="67"/>
  <c r="AQ127" i="67"/>
  <c r="AK127" i="67"/>
  <c r="AE127" i="67"/>
  <c r="Y127" i="67"/>
  <c r="R127" i="67"/>
  <c r="S127" i="67" s="1"/>
  <c r="L127" i="67"/>
  <c r="M127" i="67" s="1"/>
  <c r="F127" i="67"/>
  <c r="G127" i="67" s="1"/>
  <c r="BI126" i="67"/>
  <c r="BC126" i="67"/>
  <c r="AW126" i="67"/>
  <c r="AQ126" i="67"/>
  <c r="AK126" i="67"/>
  <c r="AE126" i="67"/>
  <c r="Y126" i="67"/>
  <c r="S126" i="67"/>
  <c r="M126" i="67"/>
  <c r="G126" i="67"/>
  <c r="BI125" i="67"/>
  <c r="BC125" i="67"/>
  <c r="AW125" i="67"/>
  <c r="AQ125" i="67"/>
  <c r="AK125" i="67"/>
  <c r="AE125" i="67"/>
  <c r="Y125" i="67"/>
  <c r="S125" i="67"/>
  <c r="M125" i="67"/>
  <c r="E125" i="67"/>
  <c r="E128" i="67" s="1"/>
  <c r="D125" i="67"/>
  <c r="D128" i="67" s="1"/>
  <c r="C125" i="67"/>
  <c r="BI124" i="67"/>
  <c r="BC124" i="67"/>
  <c r="AW124" i="67"/>
  <c r="AQ124" i="67"/>
  <c r="AK124" i="67"/>
  <c r="AE124" i="67"/>
  <c r="Y124" i="67"/>
  <c r="R124" i="67"/>
  <c r="S124" i="67" s="1"/>
  <c r="L124" i="67"/>
  <c r="M124" i="67" s="1"/>
  <c r="F124" i="67"/>
  <c r="G124" i="67" s="1"/>
  <c r="BI123" i="67"/>
  <c r="BC123" i="67"/>
  <c r="AW123" i="67"/>
  <c r="AQ123" i="67"/>
  <c r="AK123" i="67"/>
  <c r="BI122" i="67"/>
  <c r="BC122" i="67"/>
  <c r="AW122" i="67"/>
  <c r="AQ122" i="67"/>
  <c r="AK122" i="67"/>
  <c r="AE122" i="67"/>
  <c r="Y122" i="67"/>
  <c r="R122" i="67"/>
  <c r="L122" i="67"/>
  <c r="M122" i="67" s="1"/>
  <c r="F122" i="67"/>
  <c r="G122" i="67" s="1"/>
  <c r="BI121" i="67"/>
  <c r="BC121" i="67"/>
  <c r="AW121" i="67"/>
  <c r="AQ121" i="67"/>
  <c r="AK121" i="67"/>
  <c r="AE121" i="67"/>
  <c r="Y121" i="67"/>
  <c r="S121" i="67"/>
  <c r="M121" i="67"/>
  <c r="G121" i="67"/>
  <c r="BI119" i="67"/>
  <c r="BC119" i="67"/>
  <c r="AW119" i="67"/>
  <c r="AQ119" i="67"/>
  <c r="AK119" i="67"/>
  <c r="AE119" i="67"/>
  <c r="Y119" i="67"/>
  <c r="S119" i="67"/>
  <c r="M119" i="67"/>
  <c r="G119" i="67"/>
  <c r="BE120" i="67"/>
  <c r="CA113" i="67"/>
  <c r="BU113" i="67"/>
  <c r="BO113" i="67"/>
  <c r="BI113" i="67"/>
  <c r="BC113" i="67"/>
  <c r="AW113" i="67"/>
  <c r="AM113" i="67"/>
  <c r="AQ113" i="67" s="1"/>
  <c r="AK113" i="67"/>
  <c r="AD113" i="67"/>
  <c r="AE113" i="67" s="1"/>
  <c r="Y113" i="67"/>
  <c r="S113" i="67"/>
  <c r="M113" i="67"/>
  <c r="G113" i="67"/>
  <c r="BC112" i="67"/>
  <c r="AW112" i="67"/>
  <c r="AP112" i="67"/>
  <c r="AQ112" i="67" s="1"/>
  <c r="AK112" i="67"/>
  <c r="AD112" i="67"/>
  <c r="AE112" i="67" s="1"/>
  <c r="Y112" i="67"/>
  <c r="R112" i="67"/>
  <c r="S112" i="67" s="1"/>
  <c r="M112" i="67"/>
  <c r="G112" i="67"/>
  <c r="CA111" i="67"/>
  <c r="BU111" i="67"/>
  <c r="BO111" i="67"/>
  <c r="AS111" i="67"/>
  <c r="AW111" i="67" s="1"/>
  <c r="AM111" i="67"/>
  <c r="AQ111" i="67" s="1"/>
  <c r="AK111" i="67"/>
  <c r="AE111" i="67"/>
  <c r="Y111" i="67"/>
  <c r="S111" i="67"/>
  <c r="M111" i="67"/>
  <c r="G111" i="67"/>
  <c r="BI110" i="67"/>
  <c r="BC110" i="67"/>
  <c r="AW110" i="67"/>
  <c r="AQ110" i="67"/>
  <c r="AK110" i="67"/>
  <c r="AE110" i="67"/>
  <c r="Y110" i="67"/>
  <c r="S110" i="67"/>
  <c r="M110" i="67"/>
  <c r="C110" i="67"/>
  <c r="G110" i="67" s="1"/>
  <c r="CA109" i="67"/>
  <c r="BU109" i="67"/>
  <c r="BO109" i="67"/>
  <c r="BI109" i="67"/>
  <c r="BC109" i="67"/>
  <c r="AW109" i="67"/>
  <c r="AQ109" i="67"/>
  <c r="AK109" i="67"/>
  <c r="AD109" i="67"/>
  <c r="AE109" i="67" s="1"/>
  <c r="Y109" i="67"/>
  <c r="S109" i="67"/>
  <c r="G109" i="67"/>
  <c r="BI108" i="67"/>
  <c r="AS108" i="67"/>
  <c r="AW108" i="67" s="1"/>
  <c r="AQ108" i="67"/>
  <c r="AH108" i="67"/>
  <c r="AK108" i="67" s="1"/>
  <c r="AD108" i="67"/>
  <c r="AE108" i="67" s="1"/>
  <c r="Y108" i="67"/>
  <c r="S108" i="67"/>
  <c r="M108" i="67"/>
  <c r="F108" i="67"/>
  <c r="D108" i="67"/>
  <c r="D37" i="67" s="1"/>
  <c r="C108" i="67"/>
  <c r="BI107" i="67"/>
  <c r="BC107" i="67"/>
  <c r="AW107" i="67"/>
  <c r="AQ107" i="67"/>
  <c r="AK107" i="67"/>
  <c r="AD107" i="67"/>
  <c r="AE107" i="67" s="1"/>
  <c r="Y107" i="67"/>
  <c r="R107" i="67"/>
  <c r="S107" i="67" s="1"/>
  <c r="M107" i="67"/>
  <c r="G107" i="67"/>
  <c r="BI106" i="67"/>
  <c r="BC106" i="67"/>
  <c r="AW106" i="67"/>
  <c r="AQ106" i="67"/>
  <c r="AK106" i="67"/>
  <c r="AD106" i="67"/>
  <c r="AE106" i="67" s="1"/>
  <c r="Y106" i="67"/>
  <c r="R106" i="67"/>
  <c r="S106" i="67" s="1"/>
  <c r="M106" i="67"/>
  <c r="G106" i="67"/>
  <c r="CA100" i="67"/>
  <c r="BU100" i="67"/>
  <c r="BO100" i="67"/>
  <c r="BH100" i="67"/>
  <c r="BF100" i="67"/>
  <c r="BE100" i="67"/>
  <c r="BB100" i="67"/>
  <c r="BB95" i="67" s="1"/>
  <c r="BB101" i="67" s="1"/>
  <c r="BB31" i="67" s="1"/>
  <c r="AZ100" i="67"/>
  <c r="AY100" i="67"/>
  <c r="AV100" i="67"/>
  <c r="AT100" i="67"/>
  <c r="AT95" i="67" s="1"/>
  <c r="AT101" i="67" s="1"/>
  <c r="AT31" i="67" s="1"/>
  <c r="AS100" i="67"/>
  <c r="AP100" i="67"/>
  <c r="AP95" i="67" s="1"/>
  <c r="AP101" i="67" s="1"/>
  <c r="AP31" i="67" s="1"/>
  <c r="AN100" i="67"/>
  <c r="AM100" i="67"/>
  <c r="AM95" i="67" s="1"/>
  <c r="AM101" i="67" s="1"/>
  <c r="AM31" i="67" s="1"/>
  <c r="AJ100" i="67"/>
  <c r="AK100" i="67" s="1"/>
  <c r="AD100" i="67"/>
  <c r="AE100" i="67" s="1"/>
  <c r="X100" i="67"/>
  <c r="Y100" i="67" s="1"/>
  <c r="S100" i="67"/>
  <c r="M100" i="67"/>
  <c r="F100" i="67"/>
  <c r="E100" i="67"/>
  <c r="D100" i="67"/>
  <c r="D95" i="67" s="1"/>
  <c r="D101" i="67" s="1"/>
  <c r="D31" i="67" s="1"/>
  <c r="C100" i="67"/>
  <c r="CA99" i="67"/>
  <c r="BU99" i="67"/>
  <c r="BO99" i="67"/>
  <c r="BI99" i="67"/>
  <c r="BC99" i="67"/>
  <c r="AW99" i="67"/>
  <c r="AQ99" i="67"/>
  <c r="AI99" i="67"/>
  <c r="AK99" i="67" s="1"/>
  <c r="AD99" i="67"/>
  <c r="AE99" i="67" s="1"/>
  <c r="X99" i="67"/>
  <c r="Y99" i="67" s="1"/>
  <c r="R99" i="67"/>
  <c r="S99" i="67" s="1"/>
  <c r="M99" i="67"/>
  <c r="G99" i="67"/>
  <c r="BK98" i="67"/>
  <c r="BI98" i="67"/>
  <c r="BC98" i="67"/>
  <c r="AW98" i="67"/>
  <c r="AQ98" i="67"/>
  <c r="AK98" i="67"/>
  <c r="AE98" i="67"/>
  <c r="X98" i="67"/>
  <c r="Y98" i="67" s="1"/>
  <c r="S98" i="67"/>
  <c r="M98" i="67"/>
  <c r="F98" i="67"/>
  <c r="BQ97" i="67"/>
  <c r="BI97" i="67"/>
  <c r="AZ97" i="67"/>
  <c r="BC97" i="67" s="1"/>
  <c r="AW97" i="67"/>
  <c r="AQ97" i="67"/>
  <c r="AJ97" i="67"/>
  <c r="AI97" i="67"/>
  <c r="AH97" i="67"/>
  <c r="AG97" i="67"/>
  <c r="AG95" i="67" s="1"/>
  <c r="AG101" i="67" s="1"/>
  <c r="AG31" i="67" s="1"/>
  <c r="AC97" i="67"/>
  <c r="AC95" i="67" s="1"/>
  <c r="AC101" i="67" s="1"/>
  <c r="AC31" i="67" s="1"/>
  <c r="AA97" i="67"/>
  <c r="AA95" i="67" s="1"/>
  <c r="AA101" i="67" s="1"/>
  <c r="AA31" i="67" s="1"/>
  <c r="W97" i="67"/>
  <c r="R97" i="67"/>
  <c r="S97" i="67" s="1"/>
  <c r="M97" i="67"/>
  <c r="G97" i="67"/>
  <c r="BI96" i="67"/>
  <c r="AZ96" i="67"/>
  <c r="BC96" i="67" s="1"/>
  <c r="AW96" i="67"/>
  <c r="AQ96" i="67"/>
  <c r="AL96" i="67"/>
  <c r="AK96" i="67"/>
  <c r="AF96" i="67"/>
  <c r="AD96" i="67"/>
  <c r="AE96" i="67" s="1"/>
  <c r="X96" i="67"/>
  <c r="Y96" i="67" s="1"/>
  <c r="R96" i="67"/>
  <c r="S96" i="67" s="1"/>
  <c r="M96" i="67"/>
  <c r="G96" i="67"/>
  <c r="BH95" i="67"/>
  <c r="BH101" i="67" s="1"/>
  <c r="BH31" i="67" s="1"/>
  <c r="BG95" i="67"/>
  <c r="BG101" i="67" s="1"/>
  <c r="BG31" i="67" s="1"/>
  <c r="BE95" i="67"/>
  <c r="BE101" i="67" s="1"/>
  <c r="BE31" i="67" s="1"/>
  <c r="BA95" i="67"/>
  <c r="BA101" i="67" s="1"/>
  <c r="BA31" i="67" s="1"/>
  <c r="AY95" i="67"/>
  <c r="AY101" i="67" s="1"/>
  <c r="AY31" i="67" s="1"/>
  <c r="AV95" i="67"/>
  <c r="AV101" i="67" s="1"/>
  <c r="AV31" i="67" s="1"/>
  <c r="AU95" i="67"/>
  <c r="AU101" i="67" s="1"/>
  <c r="AU31" i="67" s="1"/>
  <c r="AS95" i="67"/>
  <c r="AO95" i="67"/>
  <c r="AO101" i="67" s="1"/>
  <c r="AO31" i="67" s="1"/>
  <c r="AN95" i="67"/>
  <c r="AN101" i="67" s="1"/>
  <c r="AN31" i="67" s="1"/>
  <c r="AJ95" i="67"/>
  <c r="AJ101" i="67" s="1"/>
  <c r="AJ31" i="67" s="1"/>
  <c r="AH95" i="67"/>
  <c r="AB95" i="67"/>
  <c r="AB101" i="67" s="1"/>
  <c r="AB31" i="67" s="1"/>
  <c r="V95" i="67"/>
  <c r="V101" i="67" s="1"/>
  <c r="V31" i="67" s="1"/>
  <c r="U95" i="67"/>
  <c r="U101" i="67" s="1"/>
  <c r="U31" i="67" s="1"/>
  <c r="Q95" i="67"/>
  <c r="Q101" i="67" s="1"/>
  <c r="Q31" i="67" s="1"/>
  <c r="P95" i="67"/>
  <c r="P101" i="67" s="1"/>
  <c r="P31" i="67" s="1"/>
  <c r="O95" i="67"/>
  <c r="O101" i="67" s="1"/>
  <c r="O31" i="67" s="1"/>
  <c r="L95" i="67"/>
  <c r="L101" i="67" s="1"/>
  <c r="L31" i="67" s="1"/>
  <c r="K95" i="67"/>
  <c r="K101" i="67" s="1"/>
  <c r="K31" i="67" s="1"/>
  <c r="J95" i="67"/>
  <c r="J101" i="67" s="1"/>
  <c r="J31" i="67" s="1"/>
  <c r="I95" i="67"/>
  <c r="I101" i="67" s="1"/>
  <c r="I31" i="67" s="1"/>
  <c r="E95" i="67"/>
  <c r="E101" i="67" s="1"/>
  <c r="E31" i="67" s="1"/>
  <c r="BE92" i="67"/>
  <c r="AY92" i="67"/>
  <c r="AY22" i="67" s="1"/>
  <c r="AS92" i="67"/>
  <c r="AM92" i="67"/>
  <c r="AM22" i="67" s="1"/>
  <c r="AI92" i="67"/>
  <c r="AI22" i="67" s="1"/>
  <c r="AH92" i="67"/>
  <c r="AH22" i="67" s="1"/>
  <c r="AG92" i="67"/>
  <c r="AG22" i="67" s="1"/>
  <c r="AA92" i="67"/>
  <c r="AA22" i="67" s="1"/>
  <c r="U92" i="67"/>
  <c r="U22" i="67" s="1"/>
  <c r="R92" i="67"/>
  <c r="R22" i="67" s="1"/>
  <c r="Q92" i="67"/>
  <c r="Q22" i="67" s="1"/>
  <c r="P92" i="67"/>
  <c r="P22" i="67" s="1"/>
  <c r="O92" i="67"/>
  <c r="O22" i="67" s="1"/>
  <c r="I92" i="67"/>
  <c r="I22" i="67" s="1"/>
  <c r="C92" i="67"/>
  <c r="C22" i="67" s="1"/>
  <c r="AE88" i="67"/>
  <c r="AD88" i="67" s="1"/>
  <c r="AA88" i="67"/>
  <c r="Y88" i="67"/>
  <c r="W88" i="67" s="1"/>
  <c r="X88" i="67"/>
  <c r="V88" i="67"/>
  <c r="U88" i="67"/>
  <c r="S88" i="67"/>
  <c r="Q88" i="67" s="1"/>
  <c r="M88" i="67"/>
  <c r="G88" i="67"/>
  <c r="E88" i="67" s="1"/>
  <c r="AE87" i="67"/>
  <c r="AG87" i="67" s="1"/>
  <c r="AH87" i="67" s="1"/>
  <c r="Y87" i="67"/>
  <c r="W87" i="67" s="1"/>
  <c r="X87" i="67"/>
  <c r="V87" i="67"/>
  <c r="U87" i="67"/>
  <c r="S87" i="67"/>
  <c r="P87" i="67" s="1"/>
  <c r="M87" i="67"/>
  <c r="K87" i="67" s="1"/>
  <c r="G87" i="67"/>
  <c r="F87" i="67" s="1"/>
  <c r="AG86" i="67"/>
  <c r="AH86" i="67" s="1"/>
  <c r="AI86" i="67" s="1"/>
  <c r="AE86" i="67"/>
  <c r="AC86" i="67"/>
  <c r="AA86" i="67"/>
  <c r="Y86" i="67"/>
  <c r="W86" i="67" s="1"/>
  <c r="S86" i="67"/>
  <c r="Q86" i="67" s="1"/>
  <c r="O86" i="67"/>
  <c r="M86" i="67"/>
  <c r="G86" i="67"/>
  <c r="D86" i="67" s="1"/>
  <c r="AH52" i="67"/>
  <c r="AH51" i="67" s="1"/>
  <c r="AH89" i="12" s="1"/>
  <c r="AG51" i="67"/>
  <c r="AG89" i="12" s="1"/>
  <c r="AA51" i="67"/>
  <c r="AA89" i="12" s="1"/>
  <c r="U51" i="67"/>
  <c r="U89" i="12" s="1"/>
  <c r="O51" i="67"/>
  <c r="O89" i="12" s="1"/>
  <c r="I51" i="67"/>
  <c r="I89" i="12" s="1"/>
  <c r="C51" i="67"/>
  <c r="C89" i="12" s="1"/>
  <c r="BI50" i="67"/>
  <c r="BH50" i="67"/>
  <c r="BG50" i="67"/>
  <c r="BF50" i="67"/>
  <c r="BE50" i="67"/>
  <c r="BC50" i="67"/>
  <c r="BB50" i="67"/>
  <c r="BA50" i="67"/>
  <c r="AY50" i="67"/>
  <c r="AW50" i="67"/>
  <c r="AU50" i="67"/>
  <c r="AT50" i="67"/>
  <c r="AS50" i="67"/>
  <c r="AQ50" i="67"/>
  <c r="AO50" i="67"/>
  <c r="AN50" i="67"/>
  <c r="AM50" i="67"/>
  <c r="AK50" i="67"/>
  <c r="AI50" i="67"/>
  <c r="AH50" i="67"/>
  <c r="AG50" i="67"/>
  <c r="AE50" i="67"/>
  <c r="AC50" i="67"/>
  <c r="AB50" i="67"/>
  <c r="AA50" i="67"/>
  <c r="Y50" i="67"/>
  <c r="W50" i="67"/>
  <c r="V50" i="67"/>
  <c r="U50" i="67"/>
  <c r="S50" i="67"/>
  <c r="Q50" i="67"/>
  <c r="P50" i="67"/>
  <c r="O50" i="67"/>
  <c r="M50" i="67"/>
  <c r="K50" i="67"/>
  <c r="J50" i="67"/>
  <c r="I50" i="67"/>
  <c r="G50" i="67"/>
  <c r="E50" i="67"/>
  <c r="D50" i="67"/>
  <c r="C50" i="67"/>
  <c r="AZ49" i="67"/>
  <c r="AJ47" i="67"/>
  <c r="AD47" i="67"/>
  <c r="X47" i="67"/>
  <c r="R47" i="67"/>
  <c r="L47" i="67"/>
  <c r="F47" i="67"/>
  <c r="BQ46" i="67"/>
  <c r="AJ46" i="67"/>
  <c r="AD46" i="67"/>
  <c r="X46" i="67"/>
  <c r="R46" i="67"/>
  <c r="L46" i="67"/>
  <c r="F46" i="67"/>
  <c r="X45" i="67"/>
  <c r="R45" i="67"/>
  <c r="L45" i="67"/>
  <c r="F45" i="67"/>
  <c r="BI44" i="67"/>
  <c r="BC44" i="67"/>
  <c r="AW44" i="67"/>
  <c r="AQ44" i="67"/>
  <c r="AK44" i="67"/>
  <c r="AE44" i="67"/>
  <c r="Y44" i="67"/>
  <c r="S44" i="67"/>
  <c r="M44" i="67"/>
  <c r="G44" i="67"/>
  <c r="BH37" i="67"/>
  <c r="BG37" i="67"/>
  <c r="BF37" i="67"/>
  <c r="BE37" i="67"/>
  <c r="BB37" i="67"/>
  <c r="BA37" i="67"/>
  <c r="AY37" i="67"/>
  <c r="AV37" i="67"/>
  <c r="AU37" i="67"/>
  <c r="AT37" i="67"/>
  <c r="AP37" i="67"/>
  <c r="AO37" i="67"/>
  <c r="AN37" i="67"/>
  <c r="AM37" i="67"/>
  <c r="AJ37" i="67"/>
  <c r="AI37" i="67"/>
  <c r="AG37" i="67"/>
  <c r="AC37" i="67"/>
  <c r="AB37" i="67"/>
  <c r="AA37" i="67"/>
  <c r="W37" i="67"/>
  <c r="V37" i="67"/>
  <c r="U37" i="67"/>
  <c r="Q37" i="67"/>
  <c r="P37" i="67"/>
  <c r="O37" i="67"/>
  <c r="L37" i="67"/>
  <c r="K37" i="67"/>
  <c r="J37" i="67"/>
  <c r="I37" i="67"/>
  <c r="F37" i="67"/>
  <c r="E37" i="67"/>
  <c r="BI35" i="67"/>
  <c r="BA35" i="67"/>
  <c r="AZ35" i="67"/>
  <c r="AW35" i="67"/>
  <c r="AQ35" i="67"/>
  <c r="AK35" i="67"/>
  <c r="AD35" i="67"/>
  <c r="AE35" i="67" s="1"/>
  <c r="X35" i="67"/>
  <c r="Y35" i="67" s="1"/>
  <c r="R35" i="67"/>
  <c r="S35" i="67" s="1"/>
  <c r="M35" i="67"/>
  <c r="G35" i="67"/>
  <c r="BI34" i="67"/>
  <c r="BH34" i="67"/>
  <c r="BE34" i="67"/>
  <c r="BB34" i="67"/>
  <c r="BB33" i="67" s="1"/>
  <c r="BA34" i="67"/>
  <c r="AZ34" i="67"/>
  <c r="AV34" i="67"/>
  <c r="AU34" i="67"/>
  <c r="AT34" i="67"/>
  <c r="AT33" i="67" s="1"/>
  <c r="AS34" i="67"/>
  <c r="AO34" i="67"/>
  <c r="AO33" i="67" s="1"/>
  <c r="AN34" i="67"/>
  <c r="AM34" i="67"/>
  <c r="AH34" i="67"/>
  <c r="AD34" i="67"/>
  <c r="AE34" i="67" s="1"/>
  <c r="W34" i="67"/>
  <c r="W33" i="67" s="1"/>
  <c r="V34" i="67"/>
  <c r="V33" i="67" s="1"/>
  <c r="U34" i="67"/>
  <c r="X34" i="67" s="1"/>
  <c r="R34" i="67"/>
  <c r="S34" i="67" s="1"/>
  <c r="I34" i="67"/>
  <c r="M34" i="67" s="1"/>
  <c r="G34" i="67"/>
  <c r="BH33" i="67"/>
  <c r="BG33" i="67"/>
  <c r="BF33" i="67"/>
  <c r="BE33" i="67"/>
  <c r="AZ33" i="67"/>
  <c r="AV33" i="67"/>
  <c r="AU33" i="67"/>
  <c r="AS33" i="67"/>
  <c r="AP33" i="67"/>
  <c r="AN33" i="67"/>
  <c r="AJ33" i="67"/>
  <c r="AI33" i="67"/>
  <c r="AG33" i="67"/>
  <c r="AC33" i="67"/>
  <c r="AB33" i="67"/>
  <c r="AA33" i="67"/>
  <c r="U33" i="67"/>
  <c r="Q33" i="67"/>
  <c r="P33" i="67"/>
  <c r="O33" i="67"/>
  <c r="L33" i="67"/>
  <c r="K33" i="67"/>
  <c r="J33" i="67"/>
  <c r="F33" i="67"/>
  <c r="E33" i="67"/>
  <c r="D33" i="67"/>
  <c r="C33" i="67"/>
  <c r="BU29" i="67"/>
  <c r="BO29" i="67"/>
  <c r="BI29" i="67"/>
  <c r="BC29" i="67"/>
  <c r="AW29" i="67"/>
  <c r="AQ29" i="67"/>
  <c r="AK29" i="67"/>
  <c r="AD29" i="67"/>
  <c r="AE29" i="67" s="1"/>
  <c r="V29" i="67"/>
  <c r="X29" i="67" s="1"/>
  <c r="R29" i="67"/>
  <c r="S29" i="67" s="1"/>
  <c r="L29" i="67"/>
  <c r="J29" i="67"/>
  <c r="I29" i="67"/>
  <c r="I25" i="67" s="1"/>
  <c r="E29" i="67"/>
  <c r="E25" i="67" s="1"/>
  <c r="D29" i="67"/>
  <c r="C29" i="67"/>
  <c r="CA28" i="67"/>
  <c r="BU28" i="67"/>
  <c r="BO28" i="67"/>
  <c r="BI28" i="67"/>
  <c r="BC28" i="67"/>
  <c r="AW28" i="67"/>
  <c r="AQ28" i="67"/>
  <c r="AK28" i="67"/>
  <c r="AE28" i="67"/>
  <c r="Y28" i="67"/>
  <c r="S28" i="67"/>
  <c r="M28" i="67"/>
  <c r="G28" i="67"/>
  <c r="BI27" i="67"/>
  <c r="BI33" i="40" s="1"/>
  <c r="BC27" i="67"/>
  <c r="BC33" i="40" s="1"/>
  <c r="AW27" i="67"/>
  <c r="AW33" i="40" s="1"/>
  <c r="AQ27" i="67"/>
  <c r="AQ33" i="40" s="1"/>
  <c r="AK27" i="67"/>
  <c r="AK33" i="40" s="1"/>
  <c r="AD27" i="67"/>
  <c r="AE27" i="67" s="1"/>
  <c r="AE33" i="40" s="1"/>
  <c r="X27" i="67"/>
  <c r="Y27" i="67" s="1"/>
  <c r="R27" i="67"/>
  <c r="S27" i="67" s="1"/>
  <c r="M27" i="67"/>
  <c r="G27" i="67"/>
  <c r="BI26" i="67"/>
  <c r="AZ26" i="67"/>
  <c r="BC26" i="67" s="1"/>
  <c r="AW26" i="67"/>
  <c r="AQ26" i="67"/>
  <c r="AK26" i="67"/>
  <c r="AD26" i="67"/>
  <c r="X26" i="67"/>
  <c r="R26" i="67"/>
  <c r="M26" i="67"/>
  <c r="F26" i="67"/>
  <c r="BH25" i="67"/>
  <c r="BG25" i="67"/>
  <c r="BF25" i="67"/>
  <c r="BE25" i="67"/>
  <c r="BB25" i="67"/>
  <c r="BA25" i="67"/>
  <c r="AY25" i="67"/>
  <c r="AV25" i="67"/>
  <c r="AU25" i="67"/>
  <c r="AT25" i="67"/>
  <c r="AS25" i="67"/>
  <c r="AP25" i="67"/>
  <c r="AO25" i="67"/>
  <c r="AN25" i="67"/>
  <c r="AM25" i="67"/>
  <c r="AJ25" i="67"/>
  <c r="AI25" i="67"/>
  <c r="AH25" i="67"/>
  <c r="AG25" i="67"/>
  <c r="AC25" i="67"/>
  <c r="AB25" i="67"/>
  <c r="AA25" i="67"/>
  <c r="W25" i="67"/>
  <c r="U25" i="67"/>
  <c r="Q25" i="67"/>
  <c r="P25" i="67"/>
  <c r="O25" i="67"/>
  <c r="L25" i="67"/>
  <c r="K25" i="67"/>
  <c r="J25" i="67"/>
  <c r="F25" i="67"/>
  <c r="D25" i="67"/>
  <c r="C25" i="67"/>
  <c r="BG21" i="67"/>
  <c r="BF21" i="67"/>
  <c r="BE21" i="67"/>
  <c r="BA21" i="67"/>
  <c r="AZ21" i="67"/>
  <c r="AY21" i="67"/>
  <c r="AV21" i="67"/>
  <c r="AU21" i="67"/>
  <c r="AT21" i="67"/>
  <c r="AS21" i="67"/>
  <c r="AP21" i="67"/>
  <c r="AO21" i="67"/>
  <c r="AN21" i="67"/>
  <c r="AM21" i="67"/>
  <c r="AJ21" i="67"/>
  <c r="AI21" i="67"/>
  <c r="AH21" i="67"/>
  <c r="AG21" i="67"/>
  <c r="AC21" i="67"/>
  <c r="AB21" i="67"/>
  <c r="AA21" i="67"/>
  <c r="W21" i="67"/>
  <c r="V21" i="67"/>
  <c r="U21" i="67"/>
  <c r="Q21" i="67"/>
  <c r="P21" i="67"/>
  <c r="O21" i="67"/>
  <c r="L21" i="67"/>
  <c r="K21" i="67"/>
  <c r="J21" i="67"/>
  <c r="I21" i="67"/>
  <c r="F21" i="67"/>
  <c r="E21" i="67"/>
  <c r="D21" i="67"/>
  <c r="C21" i="67"/>
  <c r="BE19" i="67"/>
  <c r="AY19" i="67"/>
  <c r="AS19" i="67"/>
  <c r="AM19" i="67"/>
  <c r="AH19" i="67"/>
  <c r="AG19" i="67"/>
  <c r="AA19" i="67"/>
  <c r="U19" i="67"/>
  <c r="R19" i="67"/>
  <c r="Q19" i="67"/>
  <c r="P19" i="67"/>
  <c r="O19" i="67"/>
  <c r="I19" i="67"/>
  <c r="C19" i="67"/>
  <c r="CA16" i="67"/>
  <c r="BU16" i="67"/>
  <c r="BO16" i="67"/>
  <c r="BE16" i="67"/>
  <c r="BI16" i="67" s="1"/>
  <c r="AY16" i="67"/>
  <c r="BC16" i="67" s="1"/>
  <c r="AW16" i="67"/>
  <c r="AP16" i="67"/>
  <c r="AO16" i="67"/>
  <c r="AN16" i="67"/>
  <c r="AM16" i="67"/>
  <c r="AQ16" i="67" s="1"/>
  <c r="AJ16" i="67"/>
  <c r="AI16" i="67"/>
  <c r="AH16" i="67"/>
  <c r="AG16" i="67"/>
  <c r="AK16" i="67" s="1"/>
  <c r="AE16" i="67"/>
  <c r="Y16" i="67"/>
  <c r="S16" i="67"/>
  <c r="M16" i="67"/>
  <c r="G16" i="67"/>
  <c r="AV15" i="67"/>
  <c r="AU15" i="67"/>
  <c r="AT15" i="67"/>
  <c r="AS15" i="67"/>
  <c r="AP15" i="67"/>
  <c r="AO15" i="67"/>
  <c r="AN15" i="67"/>
  <c r="AM15" i="67"/>
  <c r="AJ15" i="67"/>
  <c r="AI15" i="67"/>
  <c r="AH15" i="67"/>
  <c r="AG15" i="67"/>
  <c r="AC15" i="67"/>
  <c r="AB15" i="67"/>
  <c r="AA15" i="67"/>
  <c r="W15" i="67"/>
  <c r="V15" i="67"/>
  <c r="U15" i="67"/>
  <c r="Q15" i="67"/>
  <c r="P15" i="67"/>
  <c r="O15" i="67"/>
  <c r="L15" i="67"/>
  <c r="K15" i="67"/>
  <c r="J15" i="67"/>
  <c r="I15" i="67"/>
  <c r="F15" i="67"/>
  <c r="E15" i="67"/>
  <c r="D15" i="67"/>
  <c r="C15" i="67"/>
  <c r="BH70" i="67"/>
  <c r="BF17" i="67"/>
  <c r="AV14" i="67"/>
  <c r="AU14" i="67"/>
  <c r="AT14" i="67"/>
  <c r="AS14" i="67"/>
  <c r="AP14" i="67"/>
  <c r="AO14" i="67"/>
  <c r="AN14" i="67"/>
  <c r="AM14" i="67"/>
  <c r="AJ14" i="67"/>
  <c r="AI14" i="67"/>
  <c r="AH14" i="67"/>
  <c r="AG14" i="67"/>
  <c r="AC14" i="67"/>
  <c r="AB14" i="67"/>
  <c r="AA14" i="67"/>
  <c r="W14" i="67"/>
  <c r="V14" i="67"/>
  <c r="U14" i="67"/>
  <c r="Q14" i="67"/>
  <c r="P14" i="67"/>
  <c r="O14" i="67"/>
  <c r="L14" i="67"/>
  <c r="K14" i="67"/>
  <c r="J14" i="67"/>
  <c r="I14" i="67"/>
  <c r="F14" i="67"/>
  <c r="E14" i="67"/>
  <c r="D14" i="67"/>
  <c r="C14" i="67"/>
  <c r="BF69" i="67"/>
  <c r="AV12" i="67"/>
  <c r="AU12" i="67"/>
  <c r="AT12" i="67"/>
  <c r="AS12" i="67"/>
  <c r="AP12" i="67"/>
  <c r="AO12" i="67"/>
  <c r="AN12" i="67"/>
  <c r="AM12" i="67"/>
  <c r="AJ12" i="67"/>
  <c r="AI12" i="67"/>
  <c r="AH12" i="67"/>
  <c r="AG12" i="67"/>
  <c r="AC12" i="67"/>
  <c r="AB12" i="67"/>
  <c r="AA12" i="67"/>
  <c r="W12" i="67"/>
  <c r="V12" i="67"/>
  <c r="U12" i="67"/>
  <c r="Q12" i="67"/>
  <c r="P12" i="67"/>
  <c r="O12" i="67"/>
  <c r="L12" i="67"/>
  <c r="K12" i="67"/>
  <c r="J12" i="67"/>
  <c r="I12" i="67"/>
  <c r="F12" i="67"/>
  <c r="E12" i="67"/>
  <c r="D12" i="67"/>
  <c r="C12" i="67"/>
  <c r="BE11" i="67"/>
  <c r="BA11" i="67"/>
  <c r="AZ11" i="67"/>
  <c r="AY11" i="67"/>
  <c r="AV11" i="67"/>
  <c r="AU11" i="67"/>
  <c r="AT11" i="67"/>
  <c r="AS11" i="67"/>
  <c r="AP11" i="67"/>
  <c r="AO11" i="67"/>
  <c r="AN11" i="67"/>
  <c r="AM11" i="67"/>
  <c r="AJ11" i="67"/>
  <c r="AI11" i="67"/>
  <c r="AH11" i="67"/>
  <c r="AG11" i="67"/>
  <c r="AD11" i="67"/>
  <c r="AC11" i="67"/>
  <c r="AB11" i="67"/>
  <c r="AA11" i="67"/>
  <c r="W11" i="67"/>
  <c r="V11" i="67"/>
  <c r="U11" i="67"/>
  <c r="Q11" i="67"/>
  <c r="P11" i="67"/>
  <c r="O11" i="67"/>
  <c r="L11" i="67"/>
  <c r="K11" i="67"/>
  <c r="J11" i="67"/>
  <c r="J13" i="67" s="1"/>
  <c r="I11" i="67"/>
  <c r="F11" i="67"/>
  <c r="E11" i="67"/>
  <c r="D11" i="67"/>
  <c r="C11" i="67"/>
  <c r="BC10" i="67"/>
  <c r="AW10" i="67"/>
  <c r="AQ10" i="67"/>
  <c r="AK10" i="67"/>
  <c r="AE10" i="67"/>
  <c r="X10" i="67"/>
  <c r="Y10" i="67" s="1"/>
  <c r="R10" i="67"/>
  <c r="S10" i="67" s="1"/>
  <c r="M10" i="67"/>
  <c r="M12" i="66" s="1"/>
  <c r="G10" i="67"/>
  <c r="G12" i="66" s="1"/>
  <c r="AW9" i="67"/>
  <c r="AQ9" i="67"/>
  <c r="AK9" i="67"/>
  <c r="AE9" i="67"/>
  <c r="AE11" i="67" s="1"/>
  <c r="X9" i="67"/>
  <c r="R9" i="67"/>
  <c r="R11" i="67" s="1"/>
  <c r="M9" i="67"/>
  <c r="G9" i="67"/>
  <c r="I8" i="67"/>
  <c r="O8" i="67" s="1"/>
  <c r="D8" i="67"/>
  <c r="E8" i="67" s="1"/>
  <c r="F8" i="67" s="1"/>
  <c r="M7" i="67"/>
  <c r="S7" i="67" s="1"/>
  <c r="Y7" i="67" s="1"/>
  <c r="AE7" i="67" s="1"/>
  <c r="AK7" i="67" s="1"/>
  <c r="AQ7" i="67" s="1"/>
  <c r="AW7" i="67" s="1"/>
  <c r="BC7" i="67" s="1"/>
  <c r="BI7" i="67" s="1"/>
  <c r="BO7" i="67" s="1"/>
  <c r="BU7" i="67" s="1"/>
  <c r="CA7" i="67" s="1"/>
  <c r="CG7" i="67" s="1"/>
  <c r="CM7" i="67" s="1"/>
  <c r="I7" i="67"/>
  <c r="O7" i="67" s="1"/>
  <c r="U7" i="67" s="1"/>
  <c r="AA7" i="67" s="1"/>
  <c r="AG7" i="67" s="1"/>
  <c r="AM7" i="67" s="1"/>
  <c r="AS7" i="67" s="1"/>
  <c r="AY7" i="67" s="1"/>
  <c r="BE7" i="67" s="1"/>
  <c r="BK7" i="67" s="1"/>
  <c r="BQ7" i="67" s="1"/>
  <c r="BW7" i="67" s="1"/>
  <c r="CC7" i="67" s="1"/>
  <c r="CI7" i="67" s="1"/>
  <c r="BB67" i="66"/>
  <c r="BA67" i="66"/>
  <c r="BG67" i="66" s="1"/>
  <c r="AZ67" i="66"/>
  <c r="AY67" i="66"/>
  <c r="AD45" i="66"/>
  <c r="AC45" i="66"/>
  <c r="AB45" i="66"/>
  <c r="AA9" i="66"/>
  <c r="AG49" i="66" s="1"/>
  <c r="AE35" i="66"/>
  <c r="AG35" i="66"/>
  <c r="AH35" i="66"/>
  <c r="AI35" i="66"/>
  <c r="AJ35" i="66"/>
  <c r="AM35" i="66"/>
  <c r="BO35" i="66"/>
  <c r="BR35" i="66"/>
  <c r="BS35" i="66"/>
  <c r="BT35" i="66"/>
  <c r="BW35" i="66"/>
  <c r="BH148" i="66"/>
  <c r="BG148" i="66"/>
  <c r="BF148" i="66"/>
  <c r="BE148" i="66"/>
  <c r="BB148" i="66"/>
  <c r="BA148" i="66"/>
  <c r="AZ148" i="66"/>
  <c r="AY148" i="66"/>
  <c r="AV148" i="66"/>
  <c r="AU148" i="66"/>
  <c r="AT148" i="66"/>
  <c r="AS148" i="66"/>
  <c r="AP148" i="66"/>
  <c r="AO148" i="66"/>
  <c r="AN148" i="66"/>
  <c r="AM148" i="66"/>
  <c r="BH147" i="66"/>
  <c r="BG147" i="66"/>
  <c r="BF147" i="66"/>
  <c r="BE147" i="66"/>
  <c r="BB147" i="66"/>
  <c r="BA147" i="66"/>
  <c r="AZ147" i="66"/>
  <c r="AY147" i="66"/>
  <c r="AV147" i="66"/>
  <c r="AU147" i="66"/>
  <c r="AT147" i="66"/>
  <c r="AS147" i="66"/>
  <c r="AP147" i="66"/>
  <c r="AO147" i="66"/>
  <c r="AN147" i="66"/>
  <c r="AM147" i="66"/>
  <c r="BH146" i="66"/>
  <c r="BG146" i="66"/>
  <c r="BF146" i="66"/>
  <c r="BE146" i="66"/>
  <c r="BB146" i="66"/>
  <c r="BA146" i="66"/>
  <c r="AZ146" i="66"/>
  <c r="AY146" i="66"/>
  <c r="AV146" i="66"/>
  <c r="AU146" i="66"/>
  <c r="AT146" i="66"/>
  <c r="AS146" i="66"/>
  <c r="AP146" i="66"/>
  <c r="AO146" i="66"/>
  <c r="AN146" i="66"/>
  <c r="AM146" i="66"/>
  <c r="BH145" i="66"/>
  <c r="BG145" i="66"/>
  <c r="BF145" i="66"/>
  <c r="BE145" i="66"/>
  <c r="BB145" i="66"/>
  <c r="BA145" i="66"/>
  <c r="AZ145" i="66"/>
  <c r="AY145" i="66"/>
  <c r="AV145" i="66"/>
  <c r="AU145" i="66"/>
  <c r="AT145" i="66"/>
  <c r="AS145" i="66"/>
  <c r="AP145" i="66"/>
  <c r="AO145" i="66"/>
  <c r="AN145" i="66"/>
  <c r="AM145" i="66"/>
  <c r="AQ141" i="66"/>
  <c r="BI140" i="66"/>
  <c r="BC140" i="66"/>
  <c r="AW140" i="66"/>
  <c r="AQ140" i="66"/>
  <c r="BI139" i="66"/>
  <c r="BC139" i="66"/>
  <c r="AW139" i="66"/>
  <c r="AQ139" i="66"/>
  <c r="BI138" i="66"/>
  <c r="BC138" i="66"/>
  <c r="AW138" i="66"/>
  <c r="AQ138" i="66"/>
  <c r="BI137" i="66"/>
  <c r="BC137" i="66"/>
  <c r="AW137" i="66"/>
  <c r="AQ137" i="66"/>
  <c r="BI132" i="66"/>
  <c r="BC132" i="66"/>
  <c r="AW132" i="66"/>
  <c r="AQ132" i="66"/>
  <c r="AK132" i="66"/>
  <c r="AE132" i="66"/>
  <c r="Y132" i="66"/>
  <c r="S132" i="66"/>
  <c r="M132" i="66"/>
  <c r="BI131" i="66"/>
  <c r="BC131" i="66"/>
  <c r="AW131" i="66"/>
  <c r="AQ131" i="66"/>
  <c r="AK131" i="66"/>
  <c r="AE131" i="66"/>
  <c r="Y131" i="66"/>
  <c r="S131" i="66"/>
  <c r="M131" i="66"/>
  <c r="BI130" i="66"/>
  <c r="BC130" i="66"/>
  <c r="AW130" i="66"/>
  <c r="AQ130" i="66"/>
  <c r="AK130" i="66"/>
  <c r="AE130" i="66"/>
  <c r="Y130" i="66"/>
  <c r="S130" i="66"/>
  <c r="M130" i="66"/>
  <c r="BI129" i="66"/>
  <c r="BC129" i="66"/>
  <c r="AW129" i="66"/>
  <c r="AQ129" i="66"/>
  <c r="AK129" i="66"/>
  <c r="AE129" i="66"/>
  <c r="Y129" i="66"/>
  <c r="S129" i="66"/>
  <c r="M129" i="66"/>
  <c r="R126" i="66"/>
  <c r="Q126" i="66"/>
  <c r="P126" i="66"/>
  <c r="O126" i="66"/>
  <c r="L126" i="66"/>
  <c r="K126" i="66"/>
  <c r="J126" i="66"/>
  <c r="I126" i="66"/>
  <c r="F126" i="66"/>
  <c r="E126" i="66"/>
  <c r="D126" i="66"/>
  <c r="C126" i="66"/>
  <c r="A126" i="66"/>
  <c r="R125" i="66"/>
  <c r="Q125" i="66"/>
  <c r="P125" i="66"/>
  <c r="O125" i="66"/>
  <c r="L125" i="66"/>
  <c r="K125" i="66"/>
  <c r="J125" i="66"/>
  <c r="I125" i="66"/>
  <c r="F125" i="66"/>
  <c r="E125" i="66"/>
  <c r="D125" i="66"/>
  <c r="C125" i="66"/>
  <c r="A125" i="66"/>
  <c r="R124" i="66"/>
  <c r="Q124" i="66"/>
  <c r="P124" i="66"/>
  <c r="O124" i="66"/>
  <c r="L124" i="66"/>
  <c r="K124" i="66"/>
  <c r="J124" i="66"/>
  <c r="I124" i="66"/>
  <c r="F124" i="66"/>
  <c r="E124" i="66"/>
  <c r="D124" i="66"/>
  <c r="C124" i="66"/>
  <c r="R123" i="66"/>
  <c r="Q123" i="66"/>
  <c r="P123" i="66"/>
  <c r="O123" i="66"/>
  <c r="L123" i="66"/>
  <c r="K123" i="66"/>
  <c r="J123" i="66"/>
  <c r="I123" i="66"/>
  <c r="F123" i="66"/>
  <c r="E123" i="66"/>
  <c r="D123" i="66"/>
  <c r="C123" i="66"/>
  <c r="A123" i="66"/>
  <c r="R122" i="66"/>
  <c r="Q122" i="66"/>
  <c r="P122" i="66"/>
  <c r="O122" i="66"/>
  <c r="L122" i="66"/>
  <c r="K122" i="66"/>
  <c r="J122" i="66"/>
  <c r="I122" i="66"/>
  <c r="F122" i="66"/>
  <c r="E122" i="66"/>
  <c r="D122" i="66"/>
  <c r="C122" i="66"/>
  <c r="A122" i="66"/>
  <c r="R121" i="66"/>
  <c r="Q121" i="66"/>
  <c r="P121" i="66"/>
  <c r="O121" i="66"/>
  <c r="L121" i="66"/>
  <c r="K121" i="66"/>
  <c r="J121" i="66"/>
  <c r="I121" i="66"/>
  <c r="F121" i="66"/>
  <c r="E121" i="66"/>
  <c r="D121" i="66"/>
  <c r="C121" i="66"/>
  <c r="A121" i="66"/>
  <c r="R120" i="66"/>
  <c r="Q120" i="66"/>
  <c r="P120" i="66"/>
  <c r="O120" i="66"/>
  <c r="L120" i="66"/>
  <c r="K120" i="66"/>
  <c r="J120" i="66"/>
  <c r="I120" i="66"/>
  <c r="F120" i="66"/>
  <c r="E120" i="66"/>
  <c r="D120" i="66"/>
  <c r="C120" i="66"/>
  <c r="A120" i="66"/>
  <c r="R119" i="66"/>
  <c r="Q119" i="66"/>
  <c r="P119" i="66"/>
  <c r="O119" i="66"/>
  <c r="L119" i="66"/>
  <c r="K119" i="66"/>
  <c r="J119" i="66"/>
  <c r="I119" i="66"/>
  <c r="F119" i="66"/>
  <c r="E119" i="66"/>
  <c r="D119" i="66"/>
  <c r="C119" i="66"/>
  <c r="A119" i="66"/>
  <c r="A131" i="66" s="1"/>
  <c r="R118" i="66"/>
  <c r="Q118" i="66"/>
  <c r="P118" i="66"/>
  <c r="O118" i="66"/>
  <c r="L118" i="66"/>
  <c r="K118" i="66"/>
  <c r="J118" i="66"/>
  <c r="I118" i="66"/>
  <c r="F118" i="66"/>
  <c r="E118" i="66"/>
  <c r="D118" i="66"/>
  <c r="C118" i="66"/>
  <c r="A118" i="66"/>
  <c r="R117" i="66"/>
  <c r="Q117" i="66"/>
  <c r="P117" i="66"/>
  <c r="O117" i="66"/>
  <c r="L117" i="66"/>
  <c r="K117" i="66"/>
  <c r="J117" i="66"/>
  <c r="I117" i="66"/>
  <c r="F117" i="66"/>
  <c r="E117" i="66"/>
  <c r="D117" i="66"/>
  <c r="C117" i="66"/>
  <c r="A117" i="66"/>
  <c r="AE114" i="66"/>
  <c r="Y114" i="66"/>
  <c r="S114" i="66"/>
  <c r="M114" i="66"/>
  <c r="G114" i="66"/>
  <c r="AK106" i="66"/>
  <c r="I103" i="66"/>
  <c r="O103" i="66" s="1"/>
  <c r="D103" i="66"/>
  <c r="E103" i="66" s="1"/>
  <c r="F103" i="66" s="1"/>
  <c r="M102" i="66"/>
  <c r="S102" i="66" s="1"/>
  <c r="Y102" i="66" s="1"/>
  <c r="AE102" i="66" s="1"/>
  <c r="AK102" i="66" s="1"/>
  <c r="AQ102" i="66" s="1"/>
  <c r="AW102" i="66" s="1"/>
  <c r="BC102" i="66" s="1"/>
  <c r="BI102" i="66" s="1"/>
  <c r="BO102" i="66" s="1"/>
  <c r="BU102" i="66" s="1"/>
  <c r="CA102" i="66" s="1"/>
  <c r="CG102" i="66" s="1"/>
  <c r="CM102" i="66" s="1"/>
  <c r="I102" i="66"/>
  <c r="O102" i="66" s="1"/>
  <c r="U102" i="66" s="1"/>
  <c r="AA102" i="66" s="1"/>
  <c r="AG102" i="66" s="1"/>
  <c r="AM102" i="66" s="1"/>
  <c r="AS102" i="66" s="1"/>
  <c r="AY102" i="66" s="1"/>
  <c r="BE102" i="66" s="1"/>
  <c r="BK102" i="66" s="1"/>
  <c r="BQ102" i="66" s="1"/>
  <c r="BW102" i="66" s="1"/>
  <c r="CC102" i="66" s="1"/>
  <c r="CI102" i="66" s="1"/>
  <c r="BG99" i="66"/>
  <c r="BF99" i="66"/>
  <c r="BE99" i="66"/>
  <c r="BA99" i="66"/>
  <c r="AZ99" i="66"/>
  <c r="AY99" i="66"/>
  <c r="AU99" i="66"/>
  <c r="AT99" i="66"/>
  <c r="AS99" i="66"/>
  <c r="AO99" i="66"/>
  <c r="AN99" i="66"/>
  <c r="AM99" i="66"/>
  <c r="AI99" i="66"/>
  <c r="AH99" i="66"/>
  <c r="AG99" i="66"/>
  <c r="AC99" i="66"/>
  <c r="AB99" i="66"/>
  <c r="AA99" i="66"/>
  <c r="Y99" i="66"/>
  <c r="BG98" i="66"/>
  <c r="BF98" i="66"/>
  <c r="BA98" i="66"/>
  <c r="AZ98" i="66"/>
  <c r="AY98" i="66"/>
  <c r="AU98" i="66"/>
  <c r="AT98" i="66"/>
  <c r="AS98" i="66"/>
  <c r="AO98" i="66"/>
  <c r="AN98" i="66"/>
  <c r="AM98" i="66"/>
  <c r="AI98" i="66"/>
  <c r="AH98" i="66"/>
  <c r="AG98" i="66"/>
  <c r="AC98" i="66"/>
  <c r="AB98" i="66"/>
  <c r="AA98" i="66"/>
  <c r="Y98" i="66"/>
  <c r="BG97" i="66"/>
  <c r="BF97" i="66"/>
  <c r="BA97" i="66"/>
  <c r="AZ97" i="66"/>
  <c r="AY97" i="66"/>
  <c r="AU97" i="66"/>
  <c r="AT97" i="66"/>
  <c r="AS97" i="66"/>
  <c r="AO97" i="66"/>
  <c r="AN97" i="66"/>
  <c r="AM97" i="66"/>
  <c r="AI97" i="66"/>
  <c r="AH97" i="66"/>
  <c r="AG97" i="66"/>
  <c r="AC97" i="66"/>
  <c r="AB97" i="66"/>
  <c r="AA97" i="66"/>
  <c r="Y97" i="66"/>
  <c r="BH96" i="66"/>
  <c r="BB96" i="66"/>
  <c r="AV96" i="66"/>
  <c r="AW96" i="66" s="1"/>
  <c r="AJ96" i="66"/>
  <c r="AK96" i="66" s="1"/>
  <c r="AD96" i="66"/>
  <c r="AD99" i="66" s="1"/>
  <c r="BE98" i="66"/>
  <c r="BB95" i="66"/>
  <c r="AV95" i="66"/>
  <c r="AP95" i="66"/>
  <c r="AJ95" i="66"/>
  <c r="AK95" i="66" s="1"/>
  <c r="AD95" i="66"/>
  <c r="V73" i="66"/>
  <c r="U73" i="66"/>
  <c r="BZ72" i="66"/>
  <c r="BY72" i="66"/>
  <c r="BX72" i="66"/>
  <c r="BW72" i="66"/>
  <c r="BT72" i="66"/>
  <c r="BS72" i="66"/>
  <c r="BR72" i="66"/>
  <c r="BQ72" i="66"/>
  <c r="AU72" i="66"/>
  <c r="AN72" i="66"/>
  <c r="AD69" i="66"/>
  <c r="AC69" i="66"/>
  <c r="AB69" i="66"/>
  <c r="AA69" i="66"/>
  <c r="X69" i="66"/>
  <c r="W69" i="66"/>
  <c r="V69" i="66"/>
  <c r="U69" i="66"/>
  <c r="S69" i="66"/>
  <c r="R69" i="66"/>
  <c r="Q69" i="66"/>
  <c r="AE67" i="66"/>
  <c r="AJ65" i="66"/>
  <c r="AI65" i="66"/>
  <c r="AH65" i="66"/>
  <c r="AG65" i="66"/>
  <c r="AE65" i="66"/>
  <c r="AE63" i="66"/>
  <c r="AP61" i="66"/>
  <c r="AV61" i="66" s="1"/>
  <c r="AO61" i="66"/>
  <c r="AU61" i="66" s="1"/>
  <c r="AN61" i="66"/>
  <c r="AT61" i="66" s="1"/>
  <c r="AM61" i="66"/>
  <c r="AS61" i="66" s="1"/>
  <c r="AE61" i="66"/>
  <c r="AP59" i="66"/>
  <c r="AV59" i="66" s="1"/>
  <c r="AO59" i="66"/>
  <c r="AU59" i="66" s="1"/>
  <c r="AN59" i="66"/>
  <c r="AT59" i="66" s="1"/>
  <c r="AM59" i="66"/>
  <c r="AS59" i="66" s="1"/>
  <c r="AE59" i="66"/>
  <c r="AC49" i="66"/>
  <c r="AB49" i="66"/>
  <c r="AA49" i="66"/>
  <c r="V49" i="66"/>
  <c r="U49" i="66"/>
  <c r="BZ48" i="66"/>
  <c r="BY48" i="66"/>
  <c r="BX48" i="66"/>
  <c r="BW48" i="66"/>
  <c r="BT48" i="66"/>
  <c r="BS48" i="66"/>
  <c r="BR48" i="66"/>
  <c r="BQ48" i="66"/>
  <c r="AV48" i="66"/>
  <c r="AU48" i="66"/>
  <c r="AP48" i="66"/>
  <c r="AN48" i="66"/>
  <c r="W45" i="66"/>
  <c r="V45" i="66"/>
  <c r="U45" i="66"/>
  <c r="S45" i="66"/>
  <c r="R45" i="66"/>
  <c r="Q45" i="66"/>
  <c r="AH38" i="66"/>
  <c r="AH11" i="13" s="1"/>
  <c r="AG38" i="66"/>
  <c r="AG11" i="13" s="1"/>
  <c r="AN37" i="66"/>
  <c r="AM37" i="66"/>
  <c r="AJ37" i="66"/>
  <c r="AI37" i="66"/>
  <c r="AE37" i="66"/>
  <c r="X37" i="66"/>
  <c r="AJ33" i="66"/>
  <c r="AI33" i="66"/>
  <c r="AH33" i="66"/>
  <c r="AG33" i="66"/>
  <c r="AE33" i="66"/>
  <c r="AJ32" i="66"/>
  <c r="AJ8" i="13" s="1"/>
  <c r="AI32" i="66"/>
  <c r="AI8" i="13" s="1"/>
  <c r="AH32" i="66"/>
  <c r="AH8" i="13" s="1"/>
  <c r="AG32" i="66"/>
  <c r="AG8" i="13" s="1"/>
  <c r="AP31" i="66"/>
  <c r="AO31" i="66"/>
  <c r="AN31" i="66"/>
  <c r="AM31" i="66"/>
  <c r="AK31" i="66"/>
  <c r="AE31" i="66"/>
  <c r="F21" i="66"/>
  <c r="E21" i="66"/>
  <c r="D21" i="66"/>
  <c r="C21" i="66"/>
  <c r="BB20" i="66"/>
  <c r="BA20" i="66"/>
  <c r="AZ20" i="66"/>
  <c r="AY20" i="66"/>
  <c r="AB20" i="66"/>
  <c r="G20" i="66"/>
  <c r="AZ19" i="66"/>
  <c r="G19" i="66"/>
  <c r="G18" i="66"/>
  <c r="BZ16" i="66"/>
  <c r="BY16" i="66"/>
  <c r="BX16" i="66"/>
  <c r="BW16" i="66"/>
  <c r="BT16" i="66"/>
  <c r="BS16" i="66"/>
  <c r="BR16" i="66"/>
  <c r="BQ16" i="66"/>
  <c r="BO16" i="66"/>
  <c r="BN16" i="66"/>
  <c r="BM16" i="66"/>
  <c r="BL16" i="66"/>
  <c r="BK16" i="66"/>
  <c r="BH16" i="66"/>
  <c r="BG16" i="66"/>
  <c r="BF16" i="66"/>
  <c r="BE16" i="66"/>
  <c r="BB16" i="66"/>
  <c r="BA16" i="66"/>
  <c r="AZ16" i="66"/>
  <c r="AY16" i="66"/>
  <c r="AV16" i="66"/>
  <c r="AU16" i="66"/>
  <c r="AT16" i="66"/>
  <c r="AS16" i="66"/>
  <c r="AP16" i="66"/>
  <c r="AO16" i="66"/>
  <c r="AN16" i="66"/>
  <c r="AM16" i="66"/>
  <c r="AJ16" i="66"/>
  <c r="AI16" i="66"/>
  <c r="AH16" i="66"/>
  <c r="AG16" i="66"/>
  <c r="AD16" i="66"/>
  <c r="AC16" i="66"/>
  <c r="AB16" i="66"/>
  <c r="AA16" i="66"/>
  <c r="X16" i="66"/>
  <c r="W16" i="66"/>
  <c r="V16" i="66"/>
  <c r="U16" i="66"/>
  <c r="R16" i="66"/>
  <c r="Q16" i="66"/>
  <c r="P16" i="66"/>
  <c r="O16" i="66"/>
  <c r="L16" i="66"/>
  <c r="K16" i="66"/>
  <c r="J16" i="66"/>
  <c r="I16" i="66"/>
  <c r="F16" i="66"/>
  <c r="E16" i="66"/>
  <c r="D16" i="66"/>
  <c r="C16" i="66"/>
  <c r="BG15" i="66"/>
  <c r="BF15" i="66"/>
  <c r="BE15" i="66"/>
  <c r="BB15" i="66"/>
  <c r="BA15" i="66"/>
  <c r="AZ15" i="66"/>
  <c r="AY15" i="66"/>
  <c r="W15" i="66"/>
  <c r="V15" i="66"/>
  <c r="U15" i="66"/>
  <c r="S15" i="66"/>
  <c r="R15" i="66"/>
  <c r="Q15" i="66"/>
  <c r="BH14" i="66"/>
  <c r="BH132" i="67" s="1"/>
  <c r="BH134" i="67" s="1"/>
  <c r="BG14" i="66"/>
  <c r="BG132" i="67" s="1"/>
  <c r="BG134" i="67" s="1"/>
  <c r="BF14" i="66"/>
  <c r="BF132" i="67" s="1"/>
  <c r="BF134" i="67" s="1"/>
  <c r="BE14" i="66"/>
  <c r="BE132" i="67" s="1"/>
  <c r="BE134" i="67" s="1"/>
  <c r="BB14" i="66"/>
  <c r="BB132" i="67" s="1"/>
  <c r="BB134" i="67" s="1"/>
  <c r="BA14" i="66"/>
  <c r="BA132" i="67" s="1"/>
  <c r="BA134" i="67" s="1"/>
  <c r="AZ14" i="66"/>
  <c r="AZ132" i="67" s="1"/>
  <c r="AZ134" i="67" s="1"/>
  <c r="AY14" i="66"/>
  <c r="AY132" i="67" s="1"/>
  <c r="AY134" i="67" s="1"/>
  <c r="AP14" i="66"/>
  <c r="AP132" i="67" s="1"/>
  <c r="AP134" i="67" s="1"/>
  <c r="AO14" i="66"/>
  <c r="AO132" i="67" s="1"/>
  <c r="AO134" i="67" s="1"/>
  <c r="AN14" i="66"/>
  <c r="AN132" i="67" s="1"/>
  <c r="AN134" i="67" s="1"/>
  <c r="AM14" i="66"/>
  <c r="AM132" i="67" s="1"/>
  <c r="AM134" i="67" s="1"/>
  <c r="AJ14" i="66"/>
  <c r="AJ132" i="67" s="1"/>
  <c r="AJ134" i="67" s="1"/>
  <c r="AI14" i="66"/>
  <c r="AI132" i="67" s="1"/>
  <c r="AI134" i="67" s="1"/>
  <c r="AH14" i="66"/>
  <c r="AH132" i="67" s="1"/>
  <c r="AH134" i="67" s="1"/>
  <c r="AG14" i="66"/>
  <c r="AG132" i="67" s="1"/>
  <c r="AG134" i="67" s="1"/>
  <c r="AD14" i="66"/>
  <c r="AD132" i="67" s="1"/>
  <c r="AD134" i="67" s="1"/>
  <c r="AC14" i="66"/>
  <c r="AC132" i="67" s="1"/>
  <c r="AC134" i="67" s="1"/>
  <c r="AB14" i="66"/>
  <c r="AB132" i="67" s="1"/>
  <c r="AB134" i="67" s="1"/>
  <c r="AA14" i="66"/>
  <c r="AA132" i="67" s="1"/>
  <c r="AA134" i="67" s="1"/>
  <c r="X14" i="66"/>
  <c r="X132" i="67" s="1"/>
  <c r="X134" i="67" s="1"/>
  <c r="W14" i="66"/>
  <c r="W132" i="67" s="1"/>
  <c r="W134" i="67" s="1"/>
  <c r="V14" i="66"/>
  <c r="V132" i="67" s="1"/>
  <c r="V134" i="67" s="1"/>
  <c r="U14" i="66"/>
  <c r="U132" i="67" s="1"/>
  <c r="U134" i="67" s="1"/>
  <c r="R14" i="66"/>
  <c r="R132" i="67" s="1"/>
  <c r="R134" i="67" s="1"/>
  <c r="Q14" i="66"/>
  <c r="Q132" i="67" s="1"/>
  <c r="Q134" i="67" s="1"/>
  <c r="I14" i="66"/>
  <c r="I132" i="67" s="1"/>
  <c r="BI13" i="66"/>
  <c r="BC13" i="66"/>
  <c r="AW13" i="66"/>
  <c r="AK13" i="66"/>
  <c r="AE13" i="66"/>
  <c r="Y13" i="66"/>
  <c r="S13" i="66"/>
  <c r="S14" i="66" s="1"/>
  <c r="S132" i="67" s="1"/>
  <c r="M13" i="66"/>
  <c r="G13" i="66"/>
  <c r="BI12" i="66"/>
  <c r="BC12" i="66"/>
  <c r="AQ12" i="66"/>
  <c r="AK12" i="66"/>
  <c r="AE12" i="66"/>
  <c r="Y12" i="66"/>
  <c r="P12" i="66"/>
  <c r="P14" i="66" s="1"/>
  <c r="P132" i="67" s="1"/>
  <c r="P134" i="67" s="1"/>
  <c r="O12" i="66"/>
  <c r="O14" i="66" s="1"/>
  <c r="O132" i="67" s="1"/>
  <c r="O134" i="67" s="1"/>
  <c r="L14" i="66"/>
  <c r="K14" i="66"/>
  <c r="J14" i="66"/>
  <c r="E14" i="66"/>
  <c r="E132" i="67" s="1"/>
  <c r="D14" i="66"/>
  <c r="D132" i="67" s="1"/>
  <c r="C14" i="66"/>
  <c r="C132" i="67" s="1"/>
  <c r="BH11" i="66"/>
  <c r="BH118" i="67" s="1"/>
  <c r="BH120" i="67" s="1"/>
  <c r="BG11" i="66"/>
  <c r="BG118" i="67" s="1"/>
  <c r="BG120" i="67" s="1"/>
  <c r="BF11" i="66"/>
  <c r="BF118" i="67" s="1"/>
  <c r="BF120" i="67" s="1"/>
  <c r="BB11" i="66"/>
  <c r="BB118" i="67" s="1"/>
  <c r="BB120" i="67" s="1"/>
  <c r="BA11" i="66"/>
  <c r="BA118" i="67" s="1"/>
  <c r="BA120" i="67" s="1"/>
  <c r="AZ11" i="66"/>
  <c r="AZ118" i="67" s="1"/>
  <c r="AZ120" i="67" s="1"/>
  <c r="AY11" i="66"/>
  <c r="AY118" i="67" s="1"/>
  <c r="AY120" i="67" s="1"/>
  <c r="W11" i="66"/>
  <c r="W118" i="67" s="1"/>
  <c r="W120" i="67" s="1"/>
  <c r="V11" i="66"/>
  <c r="V118" i="67" s="1"/>
  <c r="V120" i="67" s="1"/>
  <c r="U11" i="66"/>
  <c r="U118" i="67" s="1"/>
  <c r="U120" i="67" s="1"/>
  <c r="R11" i="66"/>
  <c r="R118" i="67" s="1"/>
  <c r="R120" i="67" s="1"/>
  <c r="Q11" i="66"/>
  <c r="Q118" i="67" s="1"/>
  <c r="Q120" i="67" s="1"/>
  <c r="BI10" i="66"/>
  <c r="BC10" i="66"/>
  <c r="AW10" i="66"/>
  <c r="AQ10" i="66"/>
  <c r="AK10" i="66"/>
  <c r="AE10" i="66"/>
  <c r="AE16" i="66" s="1"/>
  <c r="Y10" i="66"/>
  <c r="S10" i="66"/>
  <c r="S16" i="66" s="1"/>
  <c r="M10" i="66"/>
  <c r="G10" i="66"/>
  <c r="BI9" i="66"/>
  <c r="BC9" i="66"/>
  <c r="X9" i="66"/>
  <c r="X15" i="66" s="1"/>
  <c r="P9" i="66"/>
  <c r="P11" i="66" s="1"/>
  <c r="P118" i="67" s="1"/>
  <c r="P120" i="67" s="1"/>
  <c r="O9" i="66"/>
  <c r="L45" i="66"/>
  <c r="K11" i="66"/>
  <c r="I11" i="66"/>
  <c r="I118" i="67" s="1"/>
  <c r="F11" i="66"/>
  <c r="F118" i="67" s="1"/>
  <c r="E11" i="66"/>
  <c r="E118" i="67" s="1"/>
  <c r="D11" i="66"/>
  <c r="D118" i="67" s="1"/>
  <c r="C11" i="66"/>
  <c r="C118" i="67" s="1"/>
  <c r="I8" i="66"/>
  <c r="J8" i="66" s="1"/>
  <c r="K8" i="66" s="1"/>
  <c r="L8" i="66" s="1"/>
  <c r="D8" i="66"/>
  <c r="E8" i="66" s="1"/>
  <c r="F8" i="66" s="1"/>
  <c r="M7" i="66"/>
  <c r="S7" i="66" s="1"/>
  <c r="Y7" i="66" s="1"/>
  <c r="AE7" i="66" s="1"/>
  <c r="AK7" i="66" s="1"/>
  <c r="AQ7" i="66" s="1"/>
  <c r="AW7" i="66" s="1"/>
  <c r="BC7" i="66" s="1"/>
  <c r="BI7" i="66" s="1"/>
  <c r="BO7" i="66" s="1"/>
  <c r="BU7" i="66" s="1"/>
  <c r="CA7" i="66" s="1"/>
  <c r="CG7" i="66" s="1"/>
  <c r="CM7" i="66" s="1"/>
  <c r="I7" i="66"/>
  <c r="O7" i="66" s="1"/>
  <c r="U7" i="66" s="1"/>
  <c r="AA7" i="66" s="1"/>
  <c r="AG7" i="66" s="1"/>
  <c r="AM7" i="66" s="1"/>
  <c r="AS7" i="66" s="1"/>
  <c r="AY7" i="66" s="1"/>
  <c r="BE7" i="66" s="1"/>
  <c r="BK7" i="66" s="1"/>
  <c r="BQ7" i="66" s="1"/>
  <c r="BW7" i="66" s="1"/>
  <c r="CC7" i="66" s="1"/>
  <c r="CI7" i="66" s="1"/>
  <c r="BI96" i="66" l="1"/>
  <c r="BO99" i="66" s="1"/>
  <c r="BN99" i="66"/>
  <c r="BO145" i="66"/>
  <c r="BI145" i="66"/>
  <c r="BO146" i="66"/>
  <c r="BI146" i="66"/>
  <c r="BO147" i="66"/>
  <c r="BI147" i="66"/>
  <c r="BO148" i="66"/>
  <c r="BI148" i="66"/>
  <c r="BL20" i="66"/>
  <c r="BK20" i="66"/>
  <c r="BM20" i="66"/>
  <c r="CC70" i="13"/>
  <c r="CC35" i="66"/>
  <c r="BL19" i="66"/>
  <c r="AW61" i="66"/>
  <c r="AY74" i="13"/>
  <c r="AY61" i="66"/>
  <c r="BE74" i="13" s="1"/>
  <c r="AZ61" i="66"/>
  <c r="AZ90" i="66" s="1"/>
  <c r="BA74" i="13"/>
  <c r="BA61" i="66"/>
  <c r="BG20" i="13" s="1"/>
  <c r="AW59" i="66"/>
  <c r="BG20" i="66"/>
  <c r="AZ11" i="13"/>
  <c r="AZ9" i="13"/>
  <c r="AZ10" i="13"/>
  <c r="AZ8" i="13"/>
  <c r="AO71" i="13"/>
  <c r="O15" i="66"/>
  <c r="BH20" i="66"/>
  <c r="BK19" i="66"/>
  <c r="AE33" i="67"/>
  <c r="R12" i="67"/>
  <c r="R82" i="12" s="1"/>
  <c r="O71" i="12"/>
  <c r="O82" i="12"/>
  <c r="O70" i="12"/>
  <c r="AJ71" i="12"/>
  <c r="AJ70" i="12"/>
  <c r="AJ82" i="12"/>
  <c r="K97" i="13"/>
  <c r="K101" i="13" s="1"/>
  <c r="U71" i="67"/>
  <c r="U96" i="13"/>
  <c r="BH97" i="13"/>
  <c r="D70" i="12"/>
  <c r="D82" i="12"/>
  <c r="D71" i="12"/>
  <c r="J70" i="12"/>
  <c r="J71" i="12"/>
  <c r="J82" i="12"/>
  <c r="P70" i="12"/>
  <c r="P71" i="12"/>
  <c r="P82" i="12"/>
  <c r="W70" i="12"/>
  <c r="W82" i="12"/>
  <c r="W71" i="12"/>
  <c r="AG70" i="12"/>
  <c r="AG71" i="12"/>
  <c r="AG82" i="12"/>
  <c r="AM70" i="12"/>
  <c r="AM71" i="12"/>
  <c r="AM82" i="12"/>
  <c r="AS70" i="12"/>
  <c r="AS71" i="12"/>
  <c r="AS82" i="12"/>
  <c r="L70" i="67"/>
  <c r="L97" i="13"/>
  <c r="L101" i="13" s="1"/>
  <c r="U97" i="13"/>
  <c r="AB97" i="13"/>
  <c r="AI97" i="13"/>
  <c r="AO97" i="13"/>
  <c r="AU97" i="13"/>
  <c r="AU101" i="13" s="1"/>
  <c r="I96" i="13"/>
  <c r="O96" i="13"/>
  <c r="V96" i="13"/>
  <c r="AC96" i="13"/>
  <c r="AP96" i="13"/>
  <c r="AV96" i="13"/>
  <c r="AV100" i="13" s="1"/>
  <c r="AZ25" i="67"/>
  <c r="BC25" i="67" s="1"/>
  <c r="I33" i="67"/>
  <c r="AC88" i="67"/>
  <c r="AY97" i="13"/>
  <c r="BA17" i="67"/>
  <c r="BA97" i="13"/>
  <c r="BE97" i="13"/>
  <c r="BE96" i="13"/>
  <c r="I71" i="12"/>
  <c r="I70" i="12"/>
  <c r="I82" i="12"/>
  <c r="V71" i="12"/>
  <c r="V70" i="12"/>
  <c r="V82" i="12"/>
  <c r="AP71" i="12"/>
  <c r="AP70" i="12"/>
  <c r="AP82" i="12"/>
  <c r="E17" i="67"/>
  <c r="AD14" i="67"/>
  <c r="AA97" i="13"/>
  <c r="AN97" i="13"/>
  <c r="AB96" i="13"/>
  <c r="AO96" i="13"/>
  <c r="G26" i="67"/>
  <c r="AZ96" i="13"/>
  <c r="BH96" i="13"/>
  <c r="E82" i="12"/>
  <c r="E70" i="12"/>
  <c r="E71" i="12"/>
  <c r="K82" i="12"/>
  <c r="K71" i="12"/>
  <c r="K70" i="12"/>
  <c r="Q70" i="12"/>
  <c r="Q82" i="12"/>
  <c r="Q71" i="12"/>
  <c r="AD12" i="67"/>
  <c r="AA82" i="12"/>
  <c r="AA70" i="12"/>
  <c r="AA71" i="12"/>
  <c r="AH82" i="12"/>
  <c r="AH71" i="12"/>
  <c r="AH70" i="12"/>
  <c r="AN70" i="12"/>
  <c r="AN82" i="12"/>
  <c r="AN71" i="12"/>
  <c r="AT82" i="12"/>
  <c r="AT71" i="12"/>
  <c r="AT70" i="12"/>
  <c r="M14" i="67"/>
  <c r="I97" i="13"/>
  <c r="O17" i="67"/>
  <c r="O97" i="13"/>
  <c r="V97" i="13"/>
  <c r="AC17" i="67"/>
  <c r="AC97" i="13"/>
  <c r="AP97" i="13"/>
  <c r="AV17" i="67"/>
  <c r="AV97" i="13"/>
  <c r="J96" i="13"/>
  <c r="J100" i="13" s="1"/>
  <c r="P96" i="13"/>
  <c r="W96" i="13"/>
  <c r="AG96" i="13"/>
  <c r="AM96" i="13"/>
  <c r="AM100" i="13" s="1"/>
  <c r="AS96" i="13"/>
  <c r="AS100" i="13" s="1"/>
  <c r="BH17" i="67"/>
  <c r="AY96" i="13"/>
  <c r="BA96" i="13"/>
  <c r="BF97" i="13"/>
  <c r="BF96" i="13"/>
  <c r="C71" i="12"/>
  <c r="C70" i="12"/>
  <c r="C82" i="12"/>
  <c r="AC69" i="67"/>
  <c r="AC71" i="12"/>
  <c r="AC82" i="12"/>
  <c r="AC70" i="12"/>
  <c r="AV71" i="12"/>
  <c r="AV82" i="12"/>
  <c r="AV70" i="12"/>
  <c r="Q97" i="13"/>
  <c r="AH17" i="67"/>
  <c r="AH97" i="13"/>
  <c r="AT97" i="13"/>
  <c r="AT101" i="13" s="1"/>
  <c r="L96" i="13"/>
  <c r="L100" i="13" s="1"/>
  <c r="AI96" i="13"/>
  <c r="AU96" i="13"/>
  <c r="AZ36" i="40"/>
  <c r="BC36" i="40" s="1"/>
  <c r="BB96" i="13"/>
  <c r="F82" i="12"/>
  <c r="F71" i="12"/>
  <c r="F70" i="12"/>
  <c r="L82" i="12"/>
  <c r="L71" i="12"/>
  <c r="L70" i="12"/>
  <c r="U82" i="12"/>
  <c r="U71" i="12"/>
  <c r="U70" i="12"/>
  <c r="AB82" i="12"/>
  <c r="AB71" i="12"/>
  <c r="AB70" i="12"/>
  <c r="AI82" i="12"/>
  <c r="AI71" i="12"/>
  <c r="AI70" i="12"/>
  <c r="AO82" i="12"/>
  <c r="AO71" i="12"/>
  <c r="AO70" i="12"/>
  <c r="AU82" i="12"/>
  <c r="AU71" i="12"/>
  <c r="AU70" i="12"/>
  <c r="J17" i="67"/>
  <c r="J97" i="13"/>
  <c r="J101" i="13" s="1"/>
  <c r="R14" i="67"/>
  <c r="P97" i="13"/>
  <c r="P101" i="13" s="1"/>
  <c r="W97" i="13"/>
  <c r="AG97" i="13"/>
  <c r="AM17" i="67"/>
  <c r="AM97" i="13"/>
  <c r="AM101" i="13" s="1"/>
  <c r="AY70" i="67"/>
  <c r="AS97" i="13"/>
  <c r="K96" i="13"/>
  <c r="K100" i="13" s="1"/>
  <c r="Q96" i="13"/>
  <c r="Q100" i="13" s="1"/>
  <c r="AA96" i="13"/>
  <c r="AH96" i="13"/>
  <c r="AN96" i="13"/>
  <c r="AT96" i="13"/>
  <c r="AT100" i="13" s="1"/>
  <c r="U86" i="67"/>
  <c r="U85" i="67" s="1"/>
  <c r="AG88" i="67"/>
  <c r="AH88" i="67" s="1"/>
  <c r="AI88" i="67" s="1"/>
  <c r="G100" i="67"/>
  <c r="AZ97" i="13"/>
  <c r="BB97" i="13"/>
  <c r="BI14" i="67"/>
  <c r="BG97" i="13"/>
  <c r="BG96" i="13"/>
  <c r="BG100" i="13" s="1"/>
  <c r="AD21" i="67"/>
  <c r="AG68" i="13"/>
  <c r="AI68" i="13"/>
  <c r="AH71" i="13"/>
  <c r="AG73" i="13"/>
  <c r="AI73" i="13"/>
  <c r="AH74" i="13"/>
  <c r="AJ74" i="13"/>
  <c r="AH77" i="13"/>
  <c r="AJ77" i="13"/>
  <c r="M120" i="66"/>
  <c r="Y117" i="66"/>
  <c r="AH68" i="13"/>
  <c r="AJ68" i="13"/>
  <c r="AG71" i="13"/>
  <c r="AH73" i="13"/>
  <c r="AJ73" i="13"/>
  <c r="AG74" i="13"/>
  <c r="AI74" i="13"/>
  <c r="AG77" i="13"/>
  <c r="AI77" i="13"/>
  <c r="G120" i="66"/>
  <c r="S121" i="66"/>
  <c r="AE122" i="66"/>
  <c r="G33" i="67"/>
  <c r="S33" i="67"/>
  <c r="AW16" i="66"/>
  <c r="BI16" i="66"/>
  <c r="BC16" i="66"/>
  <c r="M33" i="67"/>
  <c r="X21" i="67"/>
  <c r="AD33" i="67"/>
  <c r="AZ48" i="12"/>
  <c r="Q49" i="66"/>
  <c r="K118" i="67"/>
  <c r="P73" i="66"/>
  <c r="J132" i="67"/>
  <c r="Q73" i="66"/>
  <c r="K132" i="67"/>
  <c r="R73" i="66"/>
  <c r="L132" i="67"/>
  <c r="BE129" i="67"/>
  <c r="Y128" i="67"/>
  <c r="C37" i="67"/>
  <c r="AH101" i="67"/>
  <c r="AH31" i="67" s="1"/>
  <c r="R21" i="67"/>
  <c r="AH37" i="67"/>
  <c r="G14" i="66"/>
  <c r="G132" i="67" s="1"/>
  <c r="S95" i="67"/>
  <c r="R101" i="67" s="1"/>
  <c r="S101" i="67" s="1"/>
  <c r="R31" i="67" s="1"/>
  <c r="Y16" i="66"/>
  <c r="Y14" i="66"/>
  <c r="Y132" i="67" s="1"/>
  <c r="Y134" i="67" s="1"/>
  <c r="Q20" i="67"/>
  <c r="C20" i="67"/>
  <c r="I20" i="67"/>
  <c r="O20" i="67"/>
  <c r="AA20" i="67"/>
  <c r="AG20" i="67"/>
  <c r="AM20" i="67"/>
  <c r="AS20" i="67"/>
  <c r="P20" i="67"/>
  <c r="AH20" i="67"/>
  <c r="AH70" i="40" s="1"/>
  <c r="AY20" i="67"/>
  <c r="AY70" i="40" s="1"/>
  <c r="S9" i="67"/>
  <c r="S11" i="67" s="1"/>
  <c r="C13" i="67"/>
  <c r="C15" i="66"/>
  <c r="C139" i="12"/>
  <c r="C81" i="12"/>
  <c r="C69" i="12"/>
  <c r="I15" i="66"/>
  <c r="I81" i="12"/>
  <c r="I139" i="12"/>
  <c r="I69" i="12"/>
  <c r="O69" i="12"/>
  <c r="O139" i="12"/>
  <c r="O81" i="12"/>
  <c r="V139" i="12"/>
  <c r="V81" i="12"/>
  <c r="V69" i="12"/>
  <c r="AC67" i="67"/>
  <c r="AC69" i="12"/>
  <c r="AC139" i="12"/>
  <c r="AC81" i="12"/>
  <c r="AI69" i="12"/>
  <c r="AI139" i="12"/>
  <c r="AI81" i="12"/>
  <c r="AO139" i="12"/>
  <c r="AO81" i="12"/>
  <c r="AO69" i="12"/>
  <c r="AU81" i="12"/>
  <c r="AU139" i="12"/>
  <c r="AU69" i="12"/>
  <c r="BA69" i="12"/>
  <c r="BA139" i="12"/>
  <c r="BA81" i="12"/>
  <c r="S26" i="67"/>
  <c r="R50" i="67"/>
  <c r="AI52" i="67"/>
  <c r="AI51" i="67" s="1"/>
  <c r="AI89" i="12" s="1"/>
  <c r="BF69" i="12"/>
  <c r="BF139" i="12"/>
  <c r="BF81" i="12"/>
  <c r="G11" i="67"/>
  <c r="G9" i="66"/>
  <c r="X11" i="67"/>
  <c r="X67" i="67" s="1"/>
  <c r="D13" i="67"/>
  <c r="D15" i="66"/>
  <c r="D81" i="12"/>
  <c r="D139" i="12"/>
  <c r="D69" i="12"/>
  <c r="J15" i="66"/>
  <c r="J69" i="12"/>
  <c r="J139" i="12"/>
  <c r="J81" i="12"/>
  <c r="P69" i="12"/>
  <c r="P139" i="12"/>
  <c r="P81" i="12"/>
  <c r="W13" i="67"/>
  <c r="W81" i="12"/>
  <c r="W139" i="12"/>
  <c r="W69" i="12"/>
  <c r="AD69" i="12"/>
  <c r="AD139" i="12"/>
  <c r="AD81" i="12"/>
  <c r="AJ139" i="12"/>
  <c r="AJ81" i="12"/>
  <c r="AJ69" i="12"/>
  <c r="AP13" i="67"/>
  <c r="AP81" i="12"/>
  <c r="AP139" i="12"/>
  <c r="AP69" i="12"/>
  <c r="AV69" i="12"/>
  <c r="AV139" i="12"/>
  <c r="AV81" i="12"/>
  <c r="BE13" i="67"/>
  <c r="BE81" i="12"/>
  <c r="BE139" i="12"/>
  <c r="BE69" i="12"/>
  <c r="Y26" i="67"/>
  <c r="M37" i="67"/>
  <c r="X50" i="67"/>
  <c r="M11" i="67"/>
  <c r="M9" i="66"/>
  <c r="AE139" i="12"/>
  <c r="E13" i="67"/>
  <c r="E15" i="66"/>
  <c r="E69" i="12"/>
  <c r="E139" i="12"/>
  <c r="E81" i="12"/>
  <c r="K15" i="66"/>
  <c r="K69" i="12"/>
  <c r="K139" i="12"/>
  <c r="K81" i="12"/>
  <c r="Q139" i="12"/>
  <c r="Q81" i="12"/>
  <c r="Q69" i="12"/>
  <c r="AA139" i="12"/>
  <c r="AA81" i="12"/>
  <c r="AA69" i="12"/>
  <c r="AG13" i="67"/>
  <c r="AG81" i="12"/>
  <c r="AG139" i="12"/>
  <c r="AG69" i="12"/>
  <c r="AM69" i="12"/>
  <c r="AM139" i="12"/>
  <c r="AM81" i="12"/>
  <c r="AS67" i="67"/>
  <c r="AS69" i="12"/>
  <c r="AS139" i="12"/>
  <c r="AS81" i="12"/>
  <c r="AY67" i="67"/>
  <c r="AY139" i="12"/>
  <c r="AY81" i="12"/>
  <c r="AY69" i="12"/>
  <c r="AE26" i="67"/>
  <c r="F50" i="67"/>
  <c r="L50" i="67"/>
  <c r="BG69" i="12"/>
  <c r="BG139" i="12"/>
  <c r="BG81" i="12"/>
  <c r="R81" i="12"/>
  <c r="R139" i="12"/>
  <c r="R69" i="12"/>
  <c r="F13" i="67"/>
  <c r="F15" i="66"/>
  <c r="F69" i="12"/>
  <c r="F139" i="12"/>
  <c r="F81" i="12"/>
  <c r="L67" i="67"/>
  <c r="L15" i="66"/>
  <c r="L139" i="12"/>
  <c r="L81" i="12"/>
  <c r="L69" i="12"/>
  <c r="U67" i="67"/>
  <c r="U69" i="12"/>
  <c r="U139" i="12"/>
  <c r="U81" i="12"/>
  <c r="AB13" i="67"/>
  <c r="AB81" i="12"/>
  <c r="AB139" i="12"/>
  <c r="AB69" i="12"/>
  <c r="AH13" i="67"/>
  <c r="AH69" i="12"/>
  <c r="AH139" i="12"/>
  <c r="AH81" i="12"/>
  <c r="AN69" i="12"/>
  <c r="AN139" i="12"/>
  <c r="AN81" i="12"/>
  <c r="AT139" i="12"/>
  <c r="AT81" i="12"/>
  <c r="AT69" i="12"/>
  <c r="AZ13" i="67"/>
  <c r="AZ81" i="12"/>
  <c r="AZ139" i="12"/>
  <c r="AZ69" i="12"/>
  <c r="G25" i="67"/>
  <c r="BI33" i="67"/>
  <c r="AQ140" i="67"/>
  <c r="X17" i="66"/>
  <c r="X114" i="66" s="1"/>
  <c r="F22" i="66"/>
  <c r="F26" i="13"/>
  <c r="AT31" i="66"/>
  <c r="Q46" i="66"/>
  <c r="V46" i="66"/>
  <c r="U70" i="66"/>
  <c r="AA70" i="66"/>
  <c r="AN35" i="66"/>
  <c r="AN70" i="13"/>
  <c r="AB9" i="66"/>
  <c r="AB46" i="66" s="1"/>
  <c r="BF67" i="66"/>
  <c r="BF93" i="66" s="1"/>
  <c r="BF19" i="66"/>
  <c r="BF17" i="66"/>
  <c r="BF114" i="66" s="1"/>
  <c r="C22" i="66"/>
  <c r="C26" i="13"/>
  <c r="AN33" i="66"/>
  <c r="AN69" i="13"/>
  <c r="R46" i="66"/>
  <c r="W46" i="66"/>
  <c r="Q70" i="66"/>
  <c r="V70" i="66"/>
  <c r="AB70" i="66"/>
  <c r="BC145" i="66"/>
  <c r="BC146" i="66"/>
  <c r="BC148" i="66"/>
  <c r="BZ35" i="66"/>
  <c r="BZ70" i="13"/>
  <c r="AS35" i="66"/>
  <c r="AY35" i="66" s="1"/>
  <c r="AS70" i="13"/>
  <c r="AM70" i="13"/>
  <c r="AC9" i="66"/>
  <c r="AI49" i="66" s="1"/>
  <c r="BE47" i="66"/>
  <c r="V87" i="66"/>
  <c r="D22" i="66"/>
  <c r="D26" i="13"/>
  <c r="AO33" i="66"/>
  <c r="AU69" i="13" s="1"/>
  <c r="AO69" i="13"/>
  <c r="S46" i="66"/>
  <c r="AV74" i="13"/>
  <c r="AO65" i="66"/>
  <c r="AU65" i="66" s="1"/>
  <c r="R70" i="66"/>
  <c r="W70" i="66"/>
  <c r="AC70" i="66"/>
  <c r="BY35" i="66"/>
  <c r="BY70" i="13"/>
  <c r="AP35" i="66"/>
  <c r="AP70" i="13"/>
  <c r="AD9" i="66"/>
  <c r="AD11" i="66" s="1"/>
  <c r="AD118" i="67" s="1"/>
  <c r="AD120" i="67" s="1"/>
  <c r="AD129" i="67" s="1"/>
  <c r="BH77" i="13"/>
  <c r="AE14" i="66"/>
  <c r="AE132" i="67" s="1"/>
  <c r="AE134" i="67" s="1"/>
  <c r="E22" i="66"/>
  <c r="E26" i="13"/>
  <c r="AP69" i="13"/>
  <c r="AJ38" i="66"/>
  <c r="AJ11" i="13" s="1"/>
  <c r="AP71" i="13"/>
  <c r="U46" i="66"/>
  <c r="S70" i="66"/>
  <c r="X70" i="66"/>
  <c r="AD70" i="66"/>
  <c r="AQ145" i="66"/>
  <c r="AQ146" i="66"/>
  <c r="AQ147" i="66"/>
  <c r="AQ148" i="66"/>
  <c r="BX35" i="66"/>
  <c r="BX70" i="13"/>
  <c r="AO35" i="66"/>
  <c r="AO70" i="13"/>
  <c r="BE77" i="13"/>
  <c r="BE20" i="66"/>
  <c r="AG45" i="66"/>
  <c r="AM69" i="13"/>
  <c r="AV31" i="66"/>
  <c r="AV68" i="13"/>
  <c r="AU31" i="66"/>
  <c r="BA68" i="13" s="1"/>
  <c r="AU68" i="13"/>
  <c r="AT37" i="66"/>
  <c r="AT71" i="13"/>
  <c r="AT68" i="13"/>
  <c r="AS71" i="13"/>
  <c r="AS68" i="13"/>
  <c r="G16" i="66"/>
  <c r="AH45" i="66"/>
  <c r="AI45" i="66"/>
  <c r="AJ45" i="66"/>
  <c r="AE45" i="66"/>
  <c r="AA11" i="66"/>
  <c r="AA15" i="66"/>
  <c r="AA46" i="66"/>
  <c r="BR46" i="67"/>
  <c r="BS46" i="67" s="1"/>
  <c r="BT46" i="67" s="1"/>
  <c r="BW46" i="67" s="1"/>
  <c r="BX46" i="67" s="1"/>
  <c r="BY46" i="67" s="1"/>
  <c r="BZ46" i="67" s="1"/>
  <c r="CC46" i="67" s="1"/>
  <c r="W85" i="67"/>
  <c r="M128" i="67"/>
  <c r="J8" i="67"/>
  <c r="K8" i="67" s="1"/>
  <c r="L8" i="67" s="1"/>
  <c r="K67" i="67"/>
  <c r="Q67" i="67"/>
  <c r="AA67" i="67"/>
  <c r="AJ67" i="67"/>
  <c r="AV67" i="67"/>
  <c r="F55" i="67"/>
  <c r="V70" i="67"/>
  <c r="K71" i="67"/>
  <c r="AD15" i="67"/>
  <c r="AE15" i="67" s="1"/>
  <c r="AT17" i="67"/>
  <c r="V25" i="67"/>
  <c r="AD37" i="67"/>
  <c r="X86" i="67"/>
  <c r="X85" i="67" s="1"/>
  <c r="E87" i="67"/>
  <c r="L87" i="67"/>
  <c r="R87" i="67"/>
  <c r="R88" i="67"/>
  <c r="AB88" i="67"/>
  <c r="C95" i="67"/>
  <c r="C101" i="67" s="1"/>
  <c r="C31" i="67" s="1"/>
  <c r="AQ101" i="67"/>
  <c r="AS101" i="67"/>
  <c r="BK95" i="67"/>
  <c r="AQ100" i="67"/>
  <c r="AQ95" i="67" s="1"/>
  <c r="AE128" i="67"/>
  <c r="L128" i="67"/>
  <c r="BI140" i="67"/>
  <c r="AM67" i="67"/>
  <c r="M25" i="67"/>
  <c r="Y9" i="67"/>
  <c r="Y11" i="67" s="1"/>
  <c r="AE67" i="67" s="1"/>
  <c r="I13" i="67"/>
  <c r="O67" i="67"/>
  <c r="V67" i="67"/>
  <c r="AH67" i="67"/>
  <c r="AN67" i="67"/>
  <c r="AT67" i="67"/>
  <c r="J69" i="67"/>
  <c r="AV69" i="67"/>
  <c r="O13" i="67"/>
  <c r="C57" i="67"/>
  <c r="C17" i="67"/>
  <c r="G21" i="67"/>
  <c r="M21" i="67"/>
  <c r="AK21" i="67"/>
  <c r="AQ21" i="67"/>
  <c r="AW21" i="67"/>
  <c r="X25" i="67"/>
  <c r="AK25" i="67"/>
  <c r="AQ25" i="67"/>
  <c r="AW25" i="67"/>
  <c r="G29" i="67"/>
  <c r="R33" i="67"/>
  <c r="Y34" i="67"/>
  <c r="Y33" i="67" s="1"/>
  <c r="R37" i="67"/>
  <c r="S37" i="67" s="1"/>
  <c r="AS37" i="67"/>
  <c r="K58" i="67"/>
  <c r="S85" i="67"/>
  <c r="Y85" i="67"/>
  <c r="V86" i="67"/>
  <c r="V85" i="67" s="1"/>
  <c r="C87" i="67"/>
  <c r="I87" i="67"/>
  <c r="O87" i="67"/>
  <c r="BC100" i="67"/>
  <c r="BC95" i="67" s="1"/>
  <c r="AZ129" i="67"/>
  <c r="R128" i="67"/>
  <c r="R129" i="67" s="1"/>
  <c r="Y140" i="67"/>
  <c r="AW140" i="67"/>
  <c r="L140" i="67"/>
  <c r="AM13" i="67"/>
  <c r="S140" i="67"/>
  <c r="J67" i="67"/>
  <c r="P67" i="67"/>
  <c r="AI67" i="67"/>
  <c r="AO67" i="67"/>
  <c r="AU13" i="67"/>
  <c r="BA67" i="67"/>
  <c r="AM69" i="67"/>
  <c r="AC13" i="67"/>
  <c r="D57" i="67"/>
  <c r="AO70" i="67"/>
  <c r="AW33" i="67"/>
  <c r="AW34" i="67"/>
  <c r="D87" i="67"/>
  <c r="J87" i="67"/>
  <c r="Q87" i="67"/>
  <c r="Q85" i="67" s="1"/>
  <c r="AW100" i="67"/>
  <c r="AW95" i="67" s="1"/>
  <c r="W129" i="67"/>
  <c r="S122" i="67"/>
  <c r="S128" i="67" s="1"/>
  <c r="U129" i="67"/>
  <c r="AE140" i="67"/>
  <c r="BC140" i="67"/>
  <c r="BI25" i="67"/>
  <c r="BF67" i="67"/>
  <c r="BF13" i="67"/>
  <c r="BF55" i="67"/>
  <c r="BI37" i="67"/>
  <c r="BE20" i="67"/>
  <c r="S22" i="67"/>
  <c r="BB11" i="67"/>
  <c r="BB67" i="67" s="1"/>
  <c r="AS22" i="67"/>
  <c r="BE22" i="67"/>
  <c r="BF129" i="67"/>
  <c r="Q129" i="67"/>
  <c r="BA129" i="67"/>
  <c r="BG129" i="67"/>
  <c r="W141" i="67"/>
  <c r="AC141" i="67"/>
  <c r="AI141" i="67"/>
  <c r="AP141" i="67"/>
  <c r="BH141" i="67"/>
  <c r="BC9" i="67"/>
  <c r="BG67" i="67"/>
  <c r="BA13" i="67"/>
  <c r="AV13" i="67"/>
  <c r="U8" i="67"/>
  <c r="P8" i="67"/>
  <c r="Q8" i="67" s="1"/>
  <c r="R8" i="67" s="1"/>
  <c r="R67" i="67"/>
  <c r="BH11" i="67"/>
  <c r="AS69" i="67"/>
  <c r="AS55" i="67"/>
  <c r="AW12" i="67"/>
  <c r="J56" i="67"/>
  <c r="I70" i="67"/>
  <c r="I57" i="67"/>
  <c r="W70" i="67"/>
  <c r="W57" i="67"/>
  <c r="AP70" i="67"/>
  <c r="AP57" i="67"/>
  <c r="G15" i="67"/>
  <c r="V71" i="67"/>
  <c r="V58" i="67"/>
  <c r="AO71" i="67"/>
  <c r="AO58" i="67"/>
  <c r="AY71" i="67"/>
  <c r="AY58" i="67"/>
  <c r="AA17" i="67"/>
  <c r="AO17" i="67"/>
  <c r="S19" i="67"/>
  <c r="AQ11" i="67"/>
  <c r="D55" i="67"/>
  <c r="I69" i="67"/>
  <c r="I55" i="67"/>
  <c r="W69" i="67"/>
  <c r="W55" i="67"/>
  <c r="AB69" i="67"/>
  <c r="AB55" i="67"/>
  <c r="AG69" i="67"/>
  <c r="AG55" i="67"/>
  <c r="AK12" i="67"/>
  <c r="AP69" i="67"/>
  <c r="AP55" i="67"/>
  <c r="AU69" i="67"/>
  <c r="AU55" i="67"/>
  <c r="AZ69" i="67"/>
  <c r="AZ55" i="67"/>
  <c r="BE69" i="67"/>
  <c r="BE55" i="67"/>
  <c r="BI12" i="67"/>
  <c r="L13" i="67"/>
  <c r="Q13" i="67"/>
  <c r="V13" i="67"/>
  <c r="AA13" i="67"/>
  <c r="AJ13" i="67"/>
  <c r="AO13" i="67"/>
  <c r="AT13" i="67"/>
  <c r="AY13" i="67"/>
  <c r="F57" i="67"/>
  <c r="K70" i="67"/>
  <c r="K57" i="67"/>
  <c r="P70" i="67"/>
  <c r="P57" i="67"/>
  <c r="U70" i="67"/>
  <c r="U57" i="67"/>
  <c r="AI70" i="67"/>
  <c r="AI57" i="67"/>
  <c r="AN70" i="67"/>
  <c r="AN57" i="67"/>
  <c r="AS70" i="67"/>
  <c r="AS57" i="67"/>
  <c r="AW14" i="67"/>
  <c r="BB70" i="67"/>
  <c r="BG70" i="67"/>
  <c r="BG57" i="67"/>
  <c r="E58" i="67"/>
  <c r="J71" i="67"/>
  <c r="J58" i="67"/>
  <c r="O71" i="67"/>
  <c r="O58" i="67"/>
  <c r="X15" i="67"/>
  <c r="AC71" i="67"/>
  <c r="AC58" i="67"/>
  <c r="AH71" i="67"/>
  <c r="AH58" i="67"/>
  <c r="AM71" i="67"/>
  <c r="AM58" i="67"/>
  <c r="AQ15" i="67"/>
  <c r="AV71" i="67"/>
  <c r="AV58" i="67"/>
  <c r="BA71" i="67"/>
  <c r="BA58" i="67"/>
  <c r="BF71" i="67"/>
  <c r="BF58" i="67"/>
  <c r="U20" i="67"/>
  <c r="Y29" i="67"/>
  <c r="AQ34" i="67"/>
  <c r="AM33" i="67"/>
  <c r="AQ33" i="67" s="1"/>
  <c r="BC34" i="67"/>
  <c r="BC35" i="67"/>
  <c r="BA33" i="67"/>
  <c r="BC33" i="67" s="1"/>
  <c r="X37" i="67"/>
  <c r="Y37" i="67" s="1"/>
  <c r="AM55" i="67"/>
  <c r="K69" i="67"/>
  <c r="K55" i="67"/>
  <c r="U69" i="67"/>
  <c r="U55" i="67"/>
  <c r="AI69" i="67"/>
  <c r="AI55" i="67"/>
  <c r="BB69" i="67"/>
  <c r="AG70" i="67"/>
  <c r="AG57" i="67"/>
  <c r="AU70" i="67"/>
  <c r="AU57" i="67"/>
  <c r="BE70" i="67"/>
  <c r="BE57" i="67"/>
  <c r="Q71" i="67"/>
  <c r="Q58" i="67"/>
  <c r="AJ58" i="67"/>
  <c r="BH71" i="67"/>
  <c r="Q17" i="67"/>
  <c r="Q93" i="67" s="1"/>
  <c r="L57" i="67"/>
  <c r="AW11" i="67"/>
  <c r="E55" i="67"/>
  <c r="O69" i="67"/>
  <c r="O55" i="67"/>
  <c r="X12" i="67"/>
  <c r="AH69" i="67"/>
  <c r="AH55" i="67"/>
  <c r="AQ12" i="67"/>
  <c r="BA69" i="67"/>
  <c r="BA55" i="67"/>
  <c r="G14" i="67"/>
  <c r="Q70" i="67"/>
  <c r="Q57" i="67"/>
  <c r="AA70" i="67"/>
  <c r="AA57" i="67"/>
  <c r="AJ57" i="67"/>
  <c r="AT70" i="67"/>
  <c r="AT57" i="67"/>
  <c r="BC14" i="67"/>
  <c r="F58" i="67"/>
  <c r="P71" i="67"/>
  <c r="P58" i="67"/>
  <c r="AI71" i="67"/>
  <c r="AI58" i="67"/>
  <c r="AN71" i="67"/>
  <c r="AS71" i="67"/>
  <c r="AS58" i="67"/>
  <c r="AW15" i="67"/>
  <c r="BB71" i="67"/>
  <c r="BG71" i="67"/>
  <c r="F17" i="67"/>
  <c r="K17" i="67"/>
  <c r="P17" i="67"/>
  <c r="U17" i="67"/>
  <c r="AI17" i="67"/>
  <c r="AN17" i="67"/>
  <c r="AS17" i="67"/>
  <c r="BB17" i="67"/>
  <c r="BG17" i="67"/>
  <c r="AD25" i="67"/>
  <c r="AE25" i="67" s="1"/>
  <c r="M29" i="67"/>
  <c r="M31" i="67"/>
  <c r="AQ31" i="67"/>
  <c r="X33" i="67"/>
  <c r="AQ37" i="67"/>
  <c r="J55" i="67"/>
  <c r="AV55" i="67"/>
  <c r="AO57" i="67"/>
  <c r="AN58" i="67"/>
  <c r="P69" i="67"/>
  <c r="P55" i="67"/>
  <c r="AN69" i="67"/>
  <c r="AN55" i="67"/>
  <c r="BG69" i="67"/>
  <c r="BG55" i="67"/>
  <c r="AB70" i="67"/>
  <c r="AB57" i="67"/>
  <c r="AK14" i="67"/>
  <c r="AZ70" i="67"/>
  <c r="AZ57" i="67"/>
  <c r="C58" i="67"/>
  <c r="L71" i="67"/>
  <c r="L58" i="67"/>
  <c r="AA71" i="67"/>
  <c r="AA58" i="67"/>
  <c r="AT71" i="67"/>
  <c r="AT58" i="67"/>
  <c r="BC15" i="67"/>
  <c r="L17" i="67"/>
  <c r="V17" i="67"/>
  <c r="AJ17" i="67"/>
  <c r="AY17" i="67"/>
  <c r="AY93" i="67" s="1"/>
  <c r="AY57" i="67"/>
  <c r="I67" i="67"/>
  <c r="W67" i="67"/>
  <c r="AB67" i="67"/>
  <c r="AG67" i="67"/>
  <c r="AK11" i="67"/>
  <c r="AP67" i="67"/>
  <c r="AU67" i="67"/>
  <c r="AZ67" i="67"/>
  <c r="BE67" i="67"/>
  <c r="C55" i="67"/>
  <c r="L69" i="67"/>
  <c r="L55" i="67"/>
  <c r="Q69" i="67"/>
  <c r="Q55" i="67"/>
  <c r="V69" i="67"/>
  <c r="V55" i="67"/>
  <c r="AA69" i="67"/>
  <c r="AA55" i="67"/>
  <c r="AJ55" i="67"/>
  <c r="AO69" i="67"/>
  <c r="AO55" i="67"/>
  <c r="AT69" i="67"/>
  <c r="AT55" i="67"/>
  <c r="AY69" i="67"/>
  <c r="AY55" i="67"/>
  <c r="BC12" i="67"/>
  <c r="BH69" i="67"/>
  <c r="K13" i="67"/>
  <c r="P13" i="67"/>
  <c r="U13" i="67"/>
  <c r="AI13" i="67"/>
  <c r="AN13" i="67"/>
  <c r="AS13" i="67"/>
  <c r="BG13" i="67"/>
  <c r="E57" i="67"/>
  <c r="J70" i="67"/>
  <c r="J57" i="67"/>
  <c r="O70" i="67"/>
  <c r="O57" i="67"/>
  <c r="X14" i="67"/>
  <c r="AC70" i="67"/>
  <c r="AC57" i="67"/>
  <c r="AH70" i="67"/>
  <c r="AH57" i="67"/>
  <c r="AM70" i="67"/>
  <c r="AM57" i="67"/>
  <c r="AQ14" i="67"/>
  <c r="AV70" i="67"/>
  <c r="AV57" i="67"/>
  <c r="BA70" i="67"/>
  <c r="BA57" i="67"/>
  <c r="BF70" i="67"/>
  <c r="BF57" i="67"/>
  <c r="D58" i="67"/>
  <c r="I71" i="67"/>
  <c r="I58" i="67"/>
  <c r="M15" i="67"/>
  <c r="R15" i="67"/>
  <c r="W71" i="67"/>
  <c r="W58" i="67"/>
  <c r="AB71" i="67"/>
  <c r="AB58" i="67"/>
  <c r="AG71" i="67"/>
  <c r="AG58" i="67"/>
  <c r="AK15" i="67"/>
  <c r="AP71" i="67"/>
  <c r="AP58" i="67"/>
  <c r="AU71" i="67"/>
  <c r="AU58" i="67"/>
  <c r="AZ71" i="67"/>
  <c r="AZ58" i="67"/>
  <c r="BE71" i="67"/>
  <c r="BE58" i="67"/>
  <c r="BI15" i="67"/>
  <c r="D17" i="67"/>
  <c r="I17" i="67"/>
  <c r="W17" i="67"/>
  <c r="AB17" i="67"/>
  <c r="AG17" i="67"/>
  <c r="AP17" i="67"/>
  <c r="AU17" i="67"/>
  <c r="AZ17" i="67"/>
  <c r="BE17" i="67"/>
  <c r="R25" i="67"/>
  <c r="S25" i="67" s="1"/>
  <c r="AK34" i="67"/>
  <c r="AH33" i="67"/>
  <c r="AK33" i="67" s="1"/>
  <c r="AC55" i="67"/>
  <c r="V57" i="67"/>
  <c r="U58" i="67"/>
  <c r="BG58" i="67"/>
  <c r="BK33" i="67"/>
  <c r="AZ111" i="67"/>
  <c r="BC111" i="67" s="1"/>
  <c r="AZ50" i="67"/>
  <c r="AI87" i="67"/>
  <c r="K86" i="67"/>
  <c r="L86" i="67"/>
  <c r="AD87" i="67"/>
  <c r="AC87" i="67"/>
  <c r="K88" i="67"/>
  <c r="I88" i="67"/>
  <c r="M101" i="67"/>
  <c r="R95" i="67"/>
  <c r="AD97" i="67"/>
  <c r="AD95" i="67" s="1"/>
  <c r="S134" i="67"/>
  <c r="F86" i="67"/>
  <c r="E86" i="67"/>
  <c r="F88" i="67"/>
  <c r="C88" i="67"/>
  <c r="BR97" i="67"/>
  <c r="G98" i="67"/>
  <c r="F95" i="67"/>
  <c r="F101" i="67" s="1"/>
  <c r="F31" i="67" s="1"/>
  <c r="BI100" i="67"/>
  <c r="BI95" i="67" s="1"/>
  <c r="BF95" i="67"/>
  <c r="BF101" i="67" s="1"/>
  <c r="BF31" i="67" s="1"/>
  <c r="G85" i="67"/>
  <c r="M85" i="67"/>
  <c r="I86" i="67"/>
  <c r="AA87" i="67"/>
  <c r="AA85" i="67" s="1"/>
  <c r="J88" i="67"/>
  <c r="BO96" i="67"/>
  <c r="BQ96" i="67"/>
  <c r="BO97" i="67"/>
  <c r="AE85" i="67"/>
  <c r="AE165" i="12" s="1"/>
  <c r="C86" i="67"/>
  <c r="J86" i="67"/>
  <c r="P86" i="67"/>
  <c r="R86" i="67"/>
  <c r="AD86" i="67"/>
  <c r="AB86" i="67"/>
  <c r="AB87" i="67"/>
  <c r="D88" i="67"/>
  <c r="L88" i="67"/>
  <c r="P88" i="67"/>
  <c r="O88" i="67"/>
  <c r="C128" i="67"/>
  <c r="F125" i="67"/>
  <c r="X97" i="67"/>
  <c r="X95" i="67" s="1"/>
  <c r="W95" i="67"/>
  <c r="W101" i="67" s="1"/>
  <c r="W31" i="67" s="1"/>
  <c r="G108" i="67"/>
  <c r="V129" i="67"/>
  <c r="AK128" i="67"/>
  <c r="AW128" i="67"/>
  <c r="BB129" i="67"/>
  <c r="BH129" i="67"/>
  <c r="P141" i="67"/>
  <c r="BB141" i="67"/>
  <c r="AI95" i="67"/>
  <c r="AI101" i="67" s="1"/>
  <c r="AI31" i="67" s="1"/>
  <c r="M95" i="67"/>
  <c r="AZ95" i="67"/>
  <c r="AK97" i="67"/>
  <c r="AK95" i="67" s="1"/>
  <c r="BL95" i="67"/>
  <c r="BI111" i="67"/>
  <c r="BI112" i="67"/>
  <c r="P129" i="67"/>
  <c r="BC128" i="67"/>
  <c r="BI128" i="67"/>
  <c r="G140" i="67"/>
  <c r="AJ141" i="67"/>
  <c r="U141" i="67"/>
  <c r="AA141" i="67"/>
  <c r="AG141" i="67"/>
  <c r="AN141" i="67"/>
  <c r="AZ141" i="67"/>
  <c r="BF141" i="67"/>
  <c r="AQ128" i="67"/>
  <c r="AY129" i="67"/>
  <c r="O141" i="67"/>
  <c r="V141" i="67"/>
  <c r="AB141" i="67"/>
  <c r="AH141" i="67"/>
  <c r="AO141" i="67"/>
  <c r="BA141" i="67"/>
  <c r="BG141" i="67"/>
  <c r="Q141" i="67"/>
  <c r="X141" i="67"/>
  <c r="AD141" i="67"/>
  <c r="AM141" i="67"/>
  <c r="AY141" i="67"/>
  <c r="BE141" i="67"/>
  <c r="R140" i="67"/>
  <c r="R141" i="67" s="1"/>
  <c r="M136" i="67"/>
  <c r="M140" i="67" s="1"/>
  <c r="AK138" i="67"/>
  <c r="AK140" i="67" s="1"/>
  <c r="F140" i="67"/>
  <c r="BH67" i="66"/>
  <c r="BC67" i="66"/>
  <c r="BE67" i="66"/>
  <c r="AC71" i="66"/>
  <c r="BI95" i="66"/>
  <c r="Y119" i="66"/>
  <c r="BU35" i="66"/>
  <c r="AK35" i="66"/>
  <c r="AJ71" i="66"/>
  <c r="AJ74" i="66" s="1"/>
  <c r="AJ24" i="13" s="1"/>
  <c r="CW10" i="13" s="1"/>
  <c r="AV97" i="66"/>
  <c r="AW148" i="66"/>
  <c r="AJ97" i="66"/>
  <c r="BC147" i="66"/>
  <c r="X35" i="66"/>
  <c r="M16" i="66"/>
  <c r="AP37" i="66"/>
  <c r="AK68" i="66"/>
  <c r="AK23" i="13" s="1"/>
  <c r="BE97" i="66"/>
  <c r="M118" i="66"/>
  <c r="G122" i="66"/>
  <c r="W47" i="66"/>
  <c r="W50" i="66" s="1"/>
  <c r="W15" i="13" s="1"/>
  <c r="BH47" i="66"/>
  <c r="P71" i="66"/>
  <c r="AK37" i="66"/>
  <c r="AW145" i="66"/>
  <c r="AW146" i="66"/>
  <c r="AW147" i="66"/>
  <c r="AK16" i="66"/>
  <c r="L11" i="66"/>
  <c r="AO71" i="66"/>
  <c r="AO74" i="66" s="1"/>
  <c r="AQ16" i="66"/>
  <c r="AW95" i="66"/>
  <c r="AW97" i="66" s="1"/>
  <c r="BH71" i="66"/>
  <c r="BI15" i="66"/>
  <c r="J45" i="66"/>
  <c r="V47" i="66"/>
  <c r="V50" i="66" s="1"/>
  <c r="V15" i="13" s="1"/>
  <c r="F69" i="66"/>
  <c r="V71" i="66"/>
  <c r="V74" i="66" s="1"/>
  <c r="V24" i="13" s="1"/>
  <c r="AB73" i="66"/>
  <c r="BA93" i="66"/>
  <c r="BA88" i="66"/>
  <c r="BA83" i="66"/>
  <c r="BA17" i="66"/>
  <c r="BA114" i="66" s="1"/>
  <c r="O8" i="66"/>
  <c r="X83" i="66"/>
  <c r="AD49" i="66"/>
  <c r="X45" i="66"/>
  <c r="X46" i="66" s="1"/>
  <c r="J11" i="66"/>
  <c r="S11" i="66"/>
  <c r="S118" i="67" s="1"/>
  <c r="S120" i="67" s="1"/>
  <c r="BF47" i="66"/>
  <c r="D69" i="66"/>
  <c r="M69" i="66"/>
  <c r="O71" i="66"/>
  <c r="AD73" i="66"/>
  <c r="X71" i="66"/>
  <c r="X74" i="66" s="1"/>
  <c r="X24" i="13" s="1"/>
  <c r="AM71" i="66"/>
  <c r="AM74" i="66" s="1"/>
  <c r="Q90" i="66"/>
  <c r="Q93" i="66"/>
  <c r="Q91" i="66"/>
  <c r="Q88" i="66"/>
  <c r="Q87" i="66"/>
  <c r="Q85" i="66"/>
  <c r="Q92" i="66"/>
  <c r="Q86" i="66"/>
  <c r="Q89" i="66"/>
  <c r="Q84" i="66"/>
  <c r="Q83" i="66"/>
  <c r="V90" i="66"/>
  <c r="V89" i="66"/>
  <c r="V92" i="66"/>
  <c r="V91" i="66"/>
  <c r="V88" i="66"/>
  <c r="V85" i="66"/>
  <c r="V86" i="66"/>
  <c r="V84" i="66"/>
  <c r="V83" i="66"/>
  <c r="V93" i="66"/>
  <c r="AY93" i="66"/>
  <c r="AY88" i="66"/>
  <c r="BC15" i="66"/>
  <c r="V17" i="66"/>
  <c r="Y9" i="66"/>
  <c r="BG47" i="66"/>
  <c r="J69" i="66"/>
  <c r="O69" i="66"/>
  <c r="F14" i="66"/>
  <c r="F132" i="67" s="1"/>
  <c r="U71" i="66"/>
  <c r="U74" i="66" s="1"/>
  <c r="U24" i="13" s="1"/>
  <c r="AA73" i="66"/>
  <c r="AD71" i="66"/>
  <c r="AI71" i="66"/>
  <c r="AI74" i="66" s="1"/>
  <c r="AI24" i="13" s="1"/>
  <c r="CV10" i="13" s="1"/>
  <c r="AN71" i="66"/>
  <c r="AN74" i="66" s="1"/>
  <c r="BG71" i="66"/>
  <c r="R92" i="66"/>
  <c r="R91" i="66"/>
  <c r="R90" i="66"/>
  <c r="R87" i="66"/>
  <c r="R86" i="66"/>
  <c r="R83" i="66"/>
  <c r="R93" i="66"/>
  <c r="R88" i="66"/>
  <c r="R85" i="66"/>
  <c r="R84" i="66"/>
  <c r="W92" i="66"/>
  <c r="W91" i="66"/>
  <c r="W88" i="66"/>
  <c r="W93" i="66"/>
  <c r="W87" i="66"/>
  <c r="W90" i="66"/>
  <c r="W86" i="66"/>
  <c r="W89" i="66"/>
  <c r="W83" i="66"/>
  <c r="W85" i="66"/>
  <c r="AZ93" i="66"/>
  <c r="AZ88" i="66"/>
  <c r="AZ83" i="66"/>
  <c r="BE83" i="66"/>
  <c r="BE88" i="66"/>
  <c r="R17" i="66"/>
  <c r="W17" i="66"/>
  <c r="AZ17" i="66"/>
  <c r="AZ114" i="66" s="1"/>
  <c r="BE17" i="66"/>
  <c r="BE114" i="66" s="1"/>
  <c r="AP33" i="66"/>
  <c r="AK60" i="66"/>
  <c r="AK19" i="13" s="1"/>
  <c r="W84" i="66"/>
  <c r="R89" i="66"/>
  <c r="E45" i="66"/>
  <c r="BC11" i="66"/>
  <c r="BC118" i="67" s="1"/>
  <c r="BC120" i="67" s="1"/>
  <c r="P69" i="66"/>
  <c r="BC14" i="66"/>
  <c r="BC132" i="67" s="1"/>
  <c r="BC134" i="67" s="1"/>
  <c r="X93" i="66"/>
  <c r="X92" i="66"/>
  <c r="X88" i="66"/>
  <c r="X91" i="66"/>
  <c r="X90" i="66"/>
  <c r="X89" i="66"/>
  <c r="X84" i="66"/>
  <c r="X85" i="66"/>
  <c r="X87" i="66"/>
  <c r="AK62" i="66"/>
  <c r="AK20" i="13" s="1"/>
  <c r="P45" i="66"/>
  <c r="BI11" i="66"/>
  <c r="BI118" i="67" s="1"/>
  <c r="BI120" i="67" s="1"/>
  <c r="C69" i="66"/>
  <c r="G69" i="66"/>
  <c r="L69" i="66"/>
  <c r="Y69" i="66"/>
  <c r="S72" i="66"/>
  <c r="O73" i="66"/>
  <c r="M14" i="66"/>
  <c r="R71" i="66"/>
  <c r="AC73" i="66"/>
  <c r="W71" i="66"/>
  <c r="W74" i="66" s="1"/>
  <c r="W24" i="13" s="1"/>
  <c r="AB71" i="66"/>
  <c r="AG71" i="66"/>
  <c r="AG74" i="66" s="1"/>
  <c r="AG24" i="13" s="1"/>
  <c r="CT10" i="13" s="1"/>
  <c r="AK14" i="66"/>
  <c r="AK132" i="67" s="1"/>
  <c r="AK134" i="67" s="1"/>
  <c r="AP71" i="66"/>
  <c r="AP74" i="66" s="1"/>
  <c r="BE71" i="66"/>
  <c r="BE74" i="66" s="1"/>
  <c r="BE24" i="13" s="1"/>
  <c r="DJ10" i="13" s="1"/>
  <c r="BI14" i="66"/>
  <c r="BI132" i="67" s="1"/>
  <c r="BI134" i="67" s="1"/>
  <c r="P15" i="66"/>
  <c r="U93" i="66"/>
  <c r="U89" i="66"/>
  <c r="U87" i="66"/>
  <c r="U92" i="66"/>
  <c r="U91" i="66"/>
  <c r="U84" i="66"/>
  <c r="U90" i="66"/>
  <c r="U85" i="66"/>
  <c r="U83" i="66"/>
  <c r="U88" i="66"/>
  <c r="U86" i="66"/>
  <c r="BB93" i="66"/>
  <c r="BB88" i="66"/>
  <c r="BB83" i="66"/>
  <c r="BG83" i="66"/>
  <c r="BG88" i="66"/>
  <c r="U17" i="66"/>
  <c r="BB17" i="66"/>
  <c r="BB114" i="66" s="1"/>
  <c r="BG17" i="66"/>
  <c r="BG114" i="66" s="1"/>
  <c r="G21" i="66"/>
  <c r="AK32" i="66"/>
  <c r="AK8" i="13" s="1"/>
  <c r="D45" i="66"/>
  <c r="AM65" i="66"/>
  <c r="AS65" i="66" s="1"/>
  <c r="AK65" i="66"/>
  <c r="AY83" i="66"/>
  <c r="O45" i="66"/>
  <c r="Q47" i="66"/>
  <c r="K69" i="66"/>
  <c r="Q71" i="66"/>
  <c r="AA71" i="66"/>
  <c r="AE72" i="66"/>
  <c r="S93" i="66"/>
  <c r="S92" i="66"/>
  <c r="S88" i="66"/>
  <c r="S90" i="66"/>
  <c r="S89" i="66"/>
  <c r="S83" i="66"/>
  <c r="S91" i="66"/>
  <c r="S84" i="66"/>
  <c r="S87" i="66"/>
  <c r="S86" i="66"/>
  <c r="S85" i="66"/>
  <c r="BF88" i="66"/>
  <c r="BF83" i="66"/>
  <c r="S17" i="66"/>
  <c r="F45" i="66"/>
  <c r="K45" i="66"/>
  <c r="O11" i="66"/>
  <c r="O118" i="67" s="1"/>
  <c r="O120" i="67" s="1"/>
  <c r="O129" i="67" s="1"/>
  <c r="X11" i="66"/>
  <c r="I69" i="66"/>
  <c r="AH71" i="66"/>
  <c r="AH74" i="66" s="1"/>
  <c r="AH24" i="13" s="1"/>
  <c r="CU10" i="13" s="1"/>
  <c r="AQ14" i="66"/>
  <c r="AQ132" i="67" s="1"/>
  <c r="AQ134" i="67" s="1"/>
  <c r="BF71" i="66"/>
  <c r="BH15" i="66"/>
  <c r="BN20" i="66" s="1"/>
  <c r="Q17" i="66"/>
  <c r="AY17" i="66"/>
  <c r="AY114" i="66" s="1"/>
  <c r="AS31" i="66"/>
  <c r="AQ31" i="66"/>
  <c r="I45" i="66"/>
  <c r="L46" i="66"/>
  <c r="AE69" i="66"/>
  <c r="AW68" i="66"/>
  <c r="AW23" i="13" s="1"/>
  <c r="BG93" i="66"/>
  <c r="BM67" i="66"/>
  <c r="E69" i="66"/>
  <c r="AM33" i="66"/>
  <c r="AO37" i="66"/>
  <c r="AP65" i="66"/>
  <c r="AV65" i="66" s="1"/>
  <c r="AI38" i="66"/>
  <c r="AI11" i="13" s="1"/>
  <c r="AN65" i="66"/>
  <c r="AT65" i="66" s="1"/>
  <c r="AK33" i="66"/>
  <c r="AS37" i="66"/>
  <c r="AQ59" i="66"/>
  <c r="AQ61" i="66"/>
  <c r="AV98" i="66"/>
  <c r="AQ95" i="66"/>
  <c r="AP98" i="66"/>
  <c r="AQ68" i="66"/>
  <c r="AQ23" i="13" s="1"/>
  <c r="AK97" i="66"/>
  <c r="BH98" i="66"/>
  <c r="BB97" i="66"/>
  <c r="BC95" i="66"/>
  <c r="BB98" i="66"/>
  <c r="BB99" i="66"/>
  <c r="BC96" i="66"/>
  <c r="BC99" i="66" s="1"/>
  <c r="AD97" i="66"/>
  <c r="AE95" i="66"/>
  <c r="AK98" i="66" s="1"/>
  <c r="AD98" i="66"/>
  <c r="AE96" i="66"/>
  <c r="AE99" i="66" s="1"/>
  <c r="AJ99" i="66"/>
  <c r="AJ98" i="66"/>
  <c r="BH99" i="66"/>
  <c r="BH97" i="66"/>
  <c r="U103" i="66"/>
  <c r="P103" i="66"/>
  <c r="Q103" i="66" s="1"/>
  <c r="R103" i="66" s="1"/>
  <c r="AK114" i="66"/>
  <c r="J103" i="66"/>
  <c r="K103" i="66" s="1"/>
  <c r="L103" i="66" s="1"/>
  <c r="M122" i="66"/>
  <c r="M126" i="66"/>
  <c r="M124" i="66"/>
  <c r="M123" i="66"/>
  <c r="M125" i="66"/>
  <c r="M119" i="66"/>
  <c r="M117" i="66"/>
  <c r="M121" i="66"/>
  <c r="Y123" i="66"/>
  <c r="Y121" i="66"/>
  <c r="Y125" i="66"/>
  <c r="Y122" i="66"/>
  <c r="Y126" i="66"/>
  <c r="Y124" i="66"/>
  <c r="Y120" i="66"/>
  <c r="Y118" i="66"/>
  <c r="S126" i="66"/>
  <c r="S124" i="66"/>
  <c r="S123" i="66"/>
  <c r="S125" i="66"/>
  <c r="S122" i="66"/>
  <c r="S117" i="66"/>
  <c r="G118" i="66"/>
  <c r="AE118" i="66"/>
  <c r="S119" i="66"/>
  <c r="AE120" i="66"/>
  <c r="AE121" i="66"/>
  <c r="G125" i="66"/>
  <c r="G126" i="66"/>
  <c r="G124" i="66"/>
  <c r="G123" i="66"/>
  <c r="AE125" i="66"/>
  <c r="AE126" i="66"/>
  <c r="AE124" i="66"/>
  <c r="AE123" i="66"/>
  <c r="G117" i="66"/>
  <c r="AE117" i="66"/>
  <c r="S118" i="66"/>
  <c r="G119" i="66"/>
  <c r="AE119" i="66"/>
  <c r="S120" i="66"/>
  <c r="G121" i="66"/>
  <c r="BI97" i="66" l="1"/>
  <c r="BO98" i="66"/>
  <c r="E27" i="13"/>
  <c r="D27" i="13"/>
  <c r="F27" i="13"/>
  <c r="C27" i="13"/>
  <c r="AA141" i="12"/>
  <c r="AA165" i="12"/>
  <c r="M141" i="12"/>
  <c r="M165" i="12"/>
  <c r="Y141" i="12"/>
  <c r="Y165" i="12"/>
  <c r="X141" i="12"/>
  <c r="X165" i="12"/>
  <c r="G141" i="12"/>
  <c r="G165" i="12"/>
  <c r="Q141" i="12"/>
  <c r="Q165" i="12"/>
  <c r="V141" i="12"/>
  <c r="V165" i="12"/>
  <c r="S141" i="12"/>
  <c r="S165" i="12"/>
  <c r="W141" i="12"/>
  <c r="W165" i="12"/>
  <c r="U141" i="12"/>
  <c r="U165" i="12"/>
  <c r="L83" i="66"/>
  <c r="F83" i="66"/>
  <c r="D88" i="66"/>
  <c r="C83" i="66"/>
  <c r="J88" i="66"/>
  <c r="I83" i="66"/>
  <c r="AM93" i="67"/>
  <c r="O90" i="66"/>
  <c r="AC72" i="67"/>
  <c r="G11" i="66"/>
  <c r="G118" i="67" s="1"/>
  <c r="M11" i="66"/>
  <c r="M118" i="67" s="1"/>
  <c r="O83" i="66"/>
  <c r="CE70" i="13"/>
  <c r="CE35" i="66"/>
  <c r="CC84" i="13"/>
  <c r="CD70" i="13"/>
  <c r="CD35" i="66"/>
  <c r="CF70" i="13"/>
  <c r="CF35" i="66"/>
  <c r="BM9" i="13"/>
  <c r="BM11" i="13"/>
  <c r="CI70" i="13"/>
  <c r="CI35" i="66"/>
  <c r="D83" i="66"/>
  <c r="R17" i="67"/>
  <c r="CD46" i="67"/>
  <c r="CE46" i="67" s="1"/>
  <c r="CF46" i="67" s="1"/>
  <c r="CI46" i="67" s="1"/>
  <c r="AI100" i="13"/>
  <c r="AH101" i="13"/>
  <c r="BG101" i="13"/>
  <c r="M45" i="66"/>
  <c r="M46" i="66" s="1"/>
  <c r="BB100" i="13"/>
  <c r="AD85" i="67"/>
  <c r="BK48" i="66"/>
  <c r="BK9" i="13"/>
  <c r="BK11" i="13"/>
  <c r="BL9" i="13"/>
  <c r="BL11" i="13"/>
  <c r="AC74" i="66"/>
  <c r="AC24" i="13" s="1"/>
  <c r="AC72" i="13" s="1"/>
  <c r="Q50" i="66"/>
  <c r="Q15" i="13" s="1"/>
  <c r="BF61" i="66"/>
  <c r="BL20" i="13" s="1"/>
  <c r="R70" i="12"/>
  <c r="V119" i="66"/>
  <c r="BG126" i="66"/>
  <c r="AO24" i="13"/>
  <c r="AP24" i="13"/>
  <c r="AZ68" i="13"/>
  <c r="AN24" i="13"/>
  <c r="AM24" i="13"/>
  <c r="M17" i="67"/>
  <c r="J18" i="67"/>
  <c r="AD70" i="12"/>
  <c r="AI85" i="67"/>
  <c r="J62" i="67"/>
  <c r="AD71" i="12"/>
  <c r="AQ60" i="66"/>
  <c r="AQ19" i="13" s="1"/>
  <c r="AW60" i="66"/>
  <c r="AW19" i="13" s="1"/>
  <c r="BE61" i="66"/>
  <c r="BK20" i="13" s="1"/>
  <c r="AW65" i="66"/>
  <c r="AY90" i="66"/>
  <c r="BG61" i="66"/>
  <c r="BM61" i="66" s="1"/>
  <c r="BA90" i="66"/>
  <c r="O17" i="66"/>
  <c r="U18" i="66" s="1"/>
  <c r="O92" i="66"/>
  <c r="G95" i="67"/>
  <c r="BB13" i="67"/>
  <c r="BB56" i="67" s="1"/>
  <c r="AE21" i="67"/>
  <c r="O88" i="66"/>
  <c r="O91" i="66"/>
  <c r="O87" i="66"/>
  <c r="Y71" i="66"/>
  <c r="Y74" i="66" s="1"/>
  <c r="Y24" i="13" s="1"/>
  <c r="AC11" i="66"/>
  <c r="AC47" i="66" s="1"/>
  <c r="AC50" i="66" s="1"/>
  <c r="AC15" i="13" s="1"/>
  <c r="U119" i="66"/>
  <c r="AZ31" i="66"/>
  <c r="BF8" i="13" s="1"/>
  <c r="BF100" i="66"/>
  <c r="AZ74" i="13"/>
  <c r="X119" i="66"/>
  <c r="W119" i="66"/>
  <c r="U117" i="66"/>
  <c r="C88" i="66"/>
  <c r="O85" i="66"/>
  <c r="O86" i="66"/>
  <c r="O84" i="66"/>
  <c r="O89" i="66"/>
  <c r="O93" i="66"/>
  <c r="AZ77" i="13"/>
  <c r="AC46" i="66"/>
  <c r="R74" i="66"/>
  <c r="R24" i="13" s="1"/>
  <c r="AH49" i="66"/>
  <c r="AC15" i="66"/>
  <c r="AC122" i="66"/>
  <c r="AT33" i="66"/>
  <c r="AC56" i="67"/>
  <c r="R55" i="67"/>
  <c r="O93" i="67"/>
  <c r="AC85" i="67"/>
  <c r="AG85" i="67"/>
  <c r="AD13" i="67"/>
  <c r="R57" i="67"/>
  <c r="R69" i="67"/>
  <c r="R97" i="13"/>
  <c r="R101" i="13" s="1"/>
  <c r="R71" i="12"/>
  <c r="AD82" i="12"/>
  <c r="BB101" i="13"/>
  <c r="AZ101" i="13"/>
  <c r="AH100" i="13"/>
  <c r="AG101" i="13"/>
  <c r="Q101" i="13"/>
  <c r="BA101" i="13"/>
  <c r="K88" i="66"/>
  <c r="AA101" i="13"/>
  <c r="G45" i="66"/>
  <c r="G46" i="66" s="1"/>
  <c r="AH85" i="67"/>
  <c r="S14" i="67"/>
  <c r="S97" i="13" s="1"/>
  <c r="AJ69" i="67"/>
  <c r="R70" i="67"/>
  <c r="AD55" i="67"/>
  <c r="R13" i="67"/>
  <c r="O101" i="13"/>
  <c r="AA122" i="66"/>
  <c r="W117" i="66"/>
  <c r="AU33" i="66"/>
  <c r="BA69" i="13" s="1"/>
  <c r="AD122" i="66"/>
  <c r="X117" i="66"/>
  <c r="AA74" i="66"/>
  <c r="AA24" i="13" s="1"/>
  <c r="AA72" i="13" s="1"/>
  <c r="AB122" i="66"/>
  <c r="V117" i="66"/>
  <c r="BA100" i="13"/>
  <c r="AG100" i="13"/>
  <c r="W100" i="13"/>
  <c r="P100" i="13"/>
  <c r="AC101" i="13"/>
  <c r="V101" i="13"/>
  <c r="AO100" i="13"/>
  <c r="AP56" i="67"/>
  <c r="C18" i="67"/>
  <c r="C140" i="12" s="1"/>
  <c r="D56" i="67"/>
  <c r="AV18" i="67"/>
  <c r="AV140" i="12" s="1"/>
  <c r="AA100" i="13"/>
  <c r="BF100" i="13"/>
  <c r="BE101" i="13"/>
  <c r="J83" i="66"/>
  <c r="AE14" i="67"/>
  <c r="AD57" i="67"/>
  <c r="E18" i="67"/>
  <c r="AN100" i="13"/>
  <c r="AU100" i="13"/>
  <c r="BF101" i="13"/>
  <c r="AY100" i="13"/>
  <c r="AV101" i="13"/>
  <c r="AB100" i="13"/>
  <c r="AC100" i="13"/>
  <c r="O100" i="13"/>
  <c r="AI101" i="13"/>
  <c r="AB101" i="13"/>
  <c r="V100" i="13"/>
  <c r="I88" i="66"/>
  <c r="AH93" i="67"/>
  <c r="S21" i="67"/>
  <c r="AJ97" i="13"/>
  <c r="AP101" i="13" s="1"/>
  <c r="M67" i="67"/>
  <c r="W101" i="13"/>
  <c r="AZ100" i="13"/>
  <c r="AY101" i="13"/>
  <c r="BH101" i="13"/>
  <c r="U100" i="13"/>
  <c r="AD97" i="13"/>
  <c r="AJ70" i="67"/>
  <c r="S67" i="67"/>
  <c r="AS101" i="13"/>
  <c r="BH100" i="13"/>
  <c r="AN101" i="13"/>
  <c r="BE100" i="13"/>
  <c r="AO101" i="13"/>
  <c r="U101" i="13"/>
  <c r="E85" i="67"/>
  <c r="BC141" i="67"/>
  <c r="AH23" i="67"/>
  <c r="L88" i="66"/>
  <c r="AK37" i="67"/>
  <c r="K83" i="66"/>
  <c r="K17" i="66"/>
  <c r="Q18" i="66" s="1"/>
  <c r="D85" i="67"/>
  <c r="R85" i="67"/>
  <c r="Y141" i="67"/>
  <c r="P23" i="67"/>
  <c r="AY23" i="67"/>
  <c r="AT69" i="13"/>
  <c r="AB15" i="66"/>
  <c r="AN45" i="66"/>
  <c r="AE71" i="66"/>
  <c r="AE73" i="66"/>
  <c r="AI71" i="13"/>
  <c r="AH72" i="13"/>
  <c r="AK68" i="13"/>
  <c r="BB126" i="66"/>
  <c r="AK74" i="13"/>
  <c r="AZ126" i="66"/>
  <c r="AI72" i="13"/>
  <c r="X72" i="13"/>
  <c r="BA126" i="66"/>
  <c r="W67" i="13"/>
  <c r="AJ72" i="13"/>
  <c r="AJ71" i="13"/>
  <c r="BF126" i="66"/>
  <c r="AK118" i="66"/>
  <c r="AT74" i="13"/>
  <c r="AY126" i="66"/>
  <c r="AU74" i="13"/>
  <c r="AG72" i="13"/>
  <c r="W72" i="13"/>
  <c r="AK73" i="13"/>
  <c r="BE126" i="66"/>
  <c r="AK77" i="13"/>
  <c r="AS74" i="13"/>
  <c r="G37" i="67"/>
  <c r="AV62" i="67"/>
  <c r="Y67" i="67"/>
  <c r="AD58" i="67"/>
  <c r="W56" i="67"/>
  <c r="R20" i="67"/>
  <c r="R23" i="67" s="1"/>
  <c r="Y21" i="67"/>
  <c r="AH62" i="67"/>
  <c r="AS70" i="40"/>
  <c r="BI141" i="67"/>
  <c r="P74" i="66"/>
  <c r="P24" i="13" s="1"/>
  <c r="AE141" i="67"/>
  <c r="M57" i="67"/>
  <c r="C56" i="67"/>
  <c r="AE9" i="66"/>
  <c r="AB11" i="66"/>
  <c r="AB47" i="66" s="1"/>
  <c r="AB50" i="66" s="1"/>
  <c r="AB15" i="13" s="1"/>
  <c r="X47" i="66"/>
  <c r="X50" i="66" s="1"/>
  <c r="X15" i="13" s="1"/>
  <c r="X118" i="67"/>
  <c r="X120" i="67" s="1"/>
  <c r="X129" i="67" s="1"/>
  <c r="AA47" i="66"/>
  <c r="AA50" i="66" s="1"/>
  <c r="AA15" i="13" s="1"/>
  <c r="AA118" i="67"/>
  <c r="AA120" i="67" s="1"/>
  <c r="AA129" i="67" s="1"/>
  <c r="AD17" i="67"/>
  <c r="E83" i="66"/>
  <c r="AQ141" i="67"/>
  <c r="BH55" i="67"/>
  <c r="E17" i="66"/>
  <c r="E88" i="66"/>
  <c r="BE23" i="67"/>
  <c r="AM70" i="40"/>
  <c r="AM23" i="67"/>
  <c r="AZ101" i="67"/>
  <c r="AZ31" i="67" s="1"/>
  <c r="I23" i="67"/>
  <c r="AA23" i="67"/>
  <c r="C93" i="67"/>
  <c r="AZ56" i="67"/>
  <c r="O23" i="67"/>
  <c r="Q74" i="66"/>
  <c r="Q24" i="13" s="1"/>
  <c r="S73" i="66"/>
  <c r="F88" i="66"/>
  <c r="AH56" i="67"/>
  <c r="BL33" i="67"/>
  <c r="Q23" i="67"/>
  <c r="AG70" i="40"/>
  <c r="AJ71" i="67"/>
  <c r="AG56" i="67"/>
  <c r="AG23" i="67"/>
  <c r="S71" i="66"/>
  <c r="M132" i="67"/>
  <c r="P49" i="66"/>
  <c r="J118" i="67"/>
  <c r="R49" i="66"/>
  <c r="L118" i="67"/>
  <c r="AB56" i="67"/>
  <c r="BU46" i="67"/>
  <c r="C23" i="67"/>
  <c r="BE56" i="67"/>
  <c r="AD15" i="66"/>
  <c r="AJ49" i="66"/>
  <c r="BA31" i="66"/>
  <c r="BA84" i="66" s="1"/>
  <c r="AD46" i="66"/>
  <c r="BK72" i="66"/>
  <c r="BB61" i="66"/>
  <c r="BH20" i="13" s="1"/>
  <c r="BI20" i="13" s="1"/>
  <c r="CA35" i="66"/>
  <c r="AK71" i="66"/>
  <c r="AK74" i="66" s="1"/>
  <c r="AK24" i="13" s="1"/>
  <c r="AQ35" i="66"/>
  <c r="AQ96" i="13"/>
  <c r="X69" i="12"/>
  <c r="X139" i="12"/>
  <c r="X81" i="12"/>
  <c r="BE18" i="67"/>
  <c r="AK96" i="13"/>
  <c r="M96" i="13"/>
  <c r="M100" i="13" s="1"/>
  <c r="M13" i="67"/>
  <c r="AT72" i="67"/>
  <c r="AD71" i="67"/>
  <c r="X96" i="13"/>
  <c r="BB57" i="67"/>
  <c r="AG62" i="67"/>
  <c r="G13" i="67"/>
  <c r="G56" i="67" s="1"/>
  <c r="BE70" i="40"/>
  <c r="AU56" i="67"/>
  <c r="AW37" i="67"/>
  <c r="AE36" i="40"/>
  <c r="I17" i="66"/>
  <c r="C17" i="66"/>
  <c r="G31" i="67"/>
  <c r="AZ72" i="67"/>
  <c r="X97" i="13"/>
  <c r="AW96" i="13"/>
  <c r="AB62" i="67"/>
  <c r="O18" i="67"/>
  <c r="O59" i="67" s="1"/>
  <c r="I62" i="67"/>
  <c r="W72" i="67"/>
  <c r="J72" i="67"/>
  <c r="AQ97" i="13"/>
  <c r="BC96" i="13"/>
  <c r="CA46" i="67"/>
  <c r="AC18" i="67"/>
  <c r="AC59" i="67" s="1"/>
  <c r="BC97" i="13"/>
  <c r="X82" i="12"/>
  <c r="X71" i="12"/>
  <c r="X70" i="12"/>
  <c r="AW139" i="12"/>
  <c r="AC62" i="67"/>
  <c r="AE37" i="67"/>
  <c r="AW97" i="13"/>
  <c r="G58" i="67"/>
  <c r="F56" i="67"/>
  <c r="BF56" i="67"/>
  <c r="AJ52" i="67"/>
  <c r="Y139" i="12"/>
  <c r="Y25" i="67"/>
  <c r="AD96" i="13"/>
  <c r="AJ96" i="13"/>
  <c r="L17" i="66"/>
  <c r="E56" i="67"/>
  <c r="BI97" i="13"/>
  <c r="M97" i="13"/>
  <c r="M101" i="13" s="1"/>
  <c r="J17" i="66"/>
  <c r="D17" i="66"/>
  <c r="BA18" i="67"/>
  <c r="BA59" i="67" s="1"/>
  <c r="BB69" i="12"/>
  <c r="BB139" i="12"/>
  <c r="BB81" i="12"/>
  <c r="I85" i="67"/>
  <c r="S141" i="67"/>
  <c r="AP18" i="67"/>
  <c r="AP30" i="67" s="1"/>
  <c r="BI17" i="67"/>
  <c r="BI96" i="13"/>
  <c r="S15" i="67"/>
  <c r="S58" i="67" s="1"/>
  <c r="R96" i="13"/>
  <c r="R100" i="13" s="1"/>
  <c r="AK139" i="12"/>
  <c r="O62" i="67"/>
  <c r="BB58" i="67"/>
  <c r="AD67" i="67"/>
  <c r="BB55" i="67"/>
  <c r="BC11" i="67"/>
  <c r="BC57" i="67" s="1"/>
  <c r="AQ139" i="12"/>
  <c r="BI11" i="67"/>
  <c r="BH139" i="12"/>
  <c r="BH81" i="12"/>
  <c r="BH69" i="12"/>
  <c r="AV56" i="67"/>
  <c r="AM56" i="67"/>
  <c r="S139" i="12"/>
  <c r="AH18" i="67"/>
  <c r="F17" i="66"/>
  <c r="M15" i="66"/>
  <c r="M139" i="12"/>
  <c r="G15" i="66"/>
  <c r="G139" i="12"/>
  <c r="O47" i="66"/>
  <c r="O50" i="66" s="1"/>
  <c r="O15" i="13" s="1"/>
  <c r="Y48" i="66"/>
  <c r="G22" i="66"/>
  <c r="G26" i="13"/>
  <c r="D70" i="66"/>
  <c r="BI83" i="66"/>
  <c r="AV37" i="66"/>
  <c r="BB37" i="66" s="1"/>
  <c r="X86" i="66"/>
  <c r="AU35" i="66"/>
  <c r="AU70" i="13"/>
  <c r="AV35" i="66"/>
  <c r="AV70" i="13"/>
  <c r="AY70" i="13"/>
  <c r="BF11" i="13"/>
  <c r="BF10" i="13"/>
  <c r="BF9" i="13"/>
  <c r="AK99" i="66"/>
  <c r="BS77" i="13"/>
  <c r="AE70" i="66"/>
  <c r="BH83" i="66"/>
  <c r="P70" i="66"/>
  <c r="V72" i="13"/>
  <c r="AA93" i="66"/>
  <c r="AH9" i="66"/>
  <c r="AH46" i="66" s="1"/>
  <c r="AE48" i="66"/>
  <c r="BL67" i="66"/>
  <c r="Y70" i="66"/>
  <c r="P46" i="66"/>
  <c r="V67" i="13"/>
  <c r="BC83" i="66"/>
  <c r="BC68" i="66"/>
  <c r="AJ9" i="66"/>
  <c r="AJ15" i="66" s="1"/>
  <c r="AZ71" i="13"/>
  <c r="BB31" i="66"/>
  <c r="BH8" i="13" s="1"/>
  <c r="O46" i="66"/>
  <c r="O70" i="66"/>
  <c r="U72" i="13"/>
  <c r="BE70" i="13"/>
  <c r="AI9" i="66"/>
  <c r="AI46" i="66" s="1"/>
  <c r="AT35" i="66"/>
  <c r="AT70" i="13"/>
  <c r="AZ37" i="66"/>
  <c r="AG9" i="66"/>
  <c r="AQ48" i="66"/>
  <c r="AV71" i="13"/>
  <c r="AV69" i="13"/>
  <c r="AQ37" i="66"/>
  <c r="AQ38" i="66" s="1"/>
  <c r="AU71" i="13"/>
  <c r="AO45" i="66"/>
  <c r="AM45" i="66"/>
  <c r="AM9" i="66" s="1"/>
  <c r="AS69" i="13"/>
  <c r="AY71" i="13"/>
  <c r="AY68" i="13"/>
  <c r="M70" i="66"/>
  <c r="K70" i="66"/>
  <c r="I70" i="66"/>
  <c r="L70" i="66"/>
  <c r="J70" i="66"/>
  <c r="J46" i="66"/>
  <c r="I46" i="66"/>
  <c r="K46" i="66"/>
  <c r="E70" i="66"/>
  <c r="G70" i="66"/>
  <c r="F70" i="66"/>
  <c r="C70" i="66"/>
  <c r="F46" i="66"/>
  <c r="E46" i="66"/>
  <c r="D46" i="66"/>
  <c r="C46" i="66"/>
  <c r="AP45" i="66"/>
  <c r="AK38" i="66"/>
  <c r="AK11" i="13" s="1"/>
  <c r="AK45" i="66"/>
  <c r="AA92" i="66"/>
  <c r="AA89" i="66"/>
  <c r="AA83" i="66"/>
  <c r="AA87" i="66"/>
  <c r="AA84" i="66"/>
  <c r="AA88" i="66"/>
  <c r="AA17" i="66"/>
  <c r="AA100" i="66" s="1"/>
  <c r="AA86" i="66"/>
  <c r="AA90" i="66"/>
  <c r="AA91" i="66"/>
  <c r="AA85" i="66"/>
  <c r="K85" i="67"/>
  <c r="C85" i="67"/>
  <c r="F85" i="67"/>
  <c r="O56" i="67"/>
  <c r="AM18" i="67"/>
  <c r="AM30" i="67" s="1"/>
  <c r="AM62" i="67"/>
  <c r="D18" i="67"/>
  <c r="F18" i="67"/>
  <c r="F30" i="67" s="1"/>
  <c r="AW101" i="67"/>
  <c r="AS31" i="67"/>
  <c r="AK141" i="67"/>
  <c r="O85" i="67"/>
  <c r="I56" i="67"/>
  <c r="AB85" i="67"/>
  <c r="BI101" i="67"/>
  <c r="AY72" i="67"/>
  <c r="Q72" i="67"/>
  <c r="BF18" i="67"/>
  <c r="BF62" i="67"/>
  <c r="BA56" i="67"/>
  <c r="BA62" i="67"/>
  <c r="AS23" i="67"/>
  <c r="S129" i="67"/>
  <c r="AB72" i="67"/>
  <c r="V72" i="67"/>
  <c r="AK57" i="67"/>
  <c r="AK17" i="67"/>
  <c r="U23" i="67"/>
  <c r="AO62" i="67"/>
  <c r="AO56" i="67"/>
  <c r="AO18" i="67"/>
  <c r="AK101" i="67"/>
  <c r="BR96" i="67"/>
  <c r="BC108" i="67"/>
  <c r="AZ37" i="67"/>
  <c r="BH57" i="67"/>
  <c r="AU72" i="67"/>
  <c r="AQ70" i="67"/>
  <c r="AQ57" i="67"/>
  <c r="AQ17" i="67"/>
  <c r="AS62" i="67"/>
  <c r="AS56" i="67"/>
  <c r="AS18" i="67"/>
  <c r="U62" i="67"/>
  <c r="U56" i="67"/>
  <c r="U18" i="67"/>
  <c r="L72" i="67"/>
  <c r="BR47" i="67"/>
  <c r="BS47" i="67" s="1"/>
  <c r="BT47" i="67" s="1"/>
  <c r="BW47" i="67" s="1"/>
  <c r="AS72" i="67"/>
  <c r="AS93" i="67"/>
  <c r="P93" i="67"/>
  <c r="P72" i="67"/>
  <c r="Y15" i="67"/>
  <c r="AE96" i="13" s="1"/>
  <c r="BC70" i="67"/>
  <c r="BC17" i="67"/>
  <c r="X69" i="67"/>
  <c r="X55" i="67"/>
  <c r="AW67" i="67"/>
  <c r="AW13" i="67"/>
  <c r="AQ71" i="67"/>
  <c r="AQ58" i="67"/>
  <c r="AJ56" i="67"/>
  <c r="AJ18" i="67"/>
  <c r="L62" i="67"/>
  <c r="L56" i="67"/>
  <c r="L18" i="67"/>
  <c r="AQ67" i="67"/>
  <c r="AQ13" i="67"/>
  <c r="AA72" i="67"/>
  <c r="AA93" i="67"/>
  <c r="AZ18" i="67"/>
  <c r="X13" i="67"/>
  <c r="AU62" i="67"/>
  <c r="X70" i="67"/>
  <c r="X57" i="67"/>
  <c r="X17" i="67"/>
  <c r="AK67" i="67"/>
  <c r="AK13" i="67"/>
  <c r="AK31" i="67"/>
  <c r="Q62" i="67"/>
  <c r="Q56" i="67"/>
  <c r="Q18" i="67"/>
  <c r="AO72" i="67"/>
  <c r="BH67" i="67"/>
  <c r="BH13" i="67"/>
  <c r="Y97" i="67"/>
  <c r="Y95" i="67" s="1"/>
  <c r="X101" i="67" s="1"/>
  <c r="Y101" i="67" s="1"/>
  <c r="X31" i="67" s="1"/>
  <c r="P85" i="67"/>
  <c r="BI31" i="67"/>
  <c r="BS97" i="67"/>
  <c r="AE97" i="67"/>
  <c r="AE95" i="67" s="1"/>
  <c r="AD101" i="67" s="1"/>
  <c r="AE101" i="67" s="1"/>
  <c r="AD31" i="67" s="1"/>
  <c r="S31" i="67"/>
  <c r="AP72" i="67"/>
  <c r="BI71" i="67"/>
  <c r="R71" i="67"/>
  <c r="R58" i="67"/>
  <c r="AN62" i="67"/>
  <c r="AN56" i="67"/>
  <c r="AN18" i="67"/>
  <c r="P62" i="67"/>
  <c r="P56" i="67"/>
  <c r="P18" i="67"/>
  <c r="BC69" i="67"/>
  <c r="BC71" i="67"/>
  <c r="AN72" i="67"/>
  <c r="K72" i="67"/>
  <c r="AQ69" i="67"/>
  <c r="AQ55" i="67"/>
  <c r="BH58" i="67"/>
  <c r="Y14" i="67"/>
  <c r="AY62" i="67"/>
  <c r="AY56" i="67"/>
  <c r="AY18" i="67"/>
  <c r="AA62" i="67"/>
  <c r="AA56" i="67"/>
  <c r="AA18" i="67"/>
  <c r="BI69" i="67"/>
  <c r="AE58" i="67"/>
  <c r="AW69" i="67"/>
  <c r="AW55" i="67"/>
  <c r="AD69" i="67"/>
  <c r="BI70" i="67"/>
  <c r="AV72" i="67"/>
  <c r="BF72" i="67"/>
  <c r="AD70" i="67"/>
  <c r="W18" i="67"/>
  <c r="BC129" i="67"/>
  <c r="F128" i="67"/>
  <c r="G125" i="67"/>
  <c r="G128" i="67" s="1"/>
  <c r="I93" i="67"/>
  <c r="I72" i="67"/>
  <c r="BB72" i="67"/>
  <c r="U93" i="67"/>
  <c r="U72" i="67"/>
  <c r="X71" i="67"/>
  <c r="X58" i="67"/>
  <c r="I18" i="67"/>
  <c r="O72" i="67"/>
  <c r="W62" i="67"/>
  <c r="AB18" i="67"/>
  <c r="BI129" i="67"/>
  <c r="J85" i="67"/>
  <c r="G101" i="67"/>
  <c r="L85" i="67"/>
  <c r="BE72" i="67"/>
  <c r="BE93" i="67"/>
  <c r="AG72" i="67"/>
  <c r="AG93" i="67"/>
  <c r="AK71" i="67"/>
  <c r="AK58" i="67"/>
  <c r="M71" i="67"/>
  <c r="M58" i="67"/>
  <c r="BG62" i="67"/>
  <c r="BG56" i="67"/>
  <c r="BG18" i="67"/>
  <c r="AI62" i="67"/>
  <c r="AI56" i="67"/>
  <c r="AI18" i="67"/>
  <c r="K62" i="67"/>
  <c r="K56" i="67"/>
  <c r="K18" i="67"/>
  <c r="BG72" i="67"/>
  <c r="AI93" i="67"/>
  <c r="AI72" i="67"/>
  <c r="AW71" i="67"/>
  <c r="AW58" i="67"/>
  <c r="G57" i="67"/>
  <c r="G17" i="67"/>
  <c r="M70" i="67"/>
  <c r="AW70" i="67"/>
  <c r="AW57" i="67"/>
  <c r="AW17" i="67"/>
  <c r="AT62" i="67"/>
  <c r="AT56" i="67"/>
  <c r="AT18" i="67"/>
  <c r="V62" i="67"/>
  <c r="V56" i="67"/>
  <c r="V18" i="67"/>
  <c r="AK55" i="67"/>
  <c r="BH72" i="67"/>
  <c r="AM72" i="67"/>
  <c r="AZ62" i="67"/>
  <c r="AG18" i="67"/>
  <c r="BA72" i="67"/>
  <c r="AP62" i="67"/>
  <c r="AH72" i="67"/>
  <c r="AU18" i="67"/>
  <c r="AA8" i="67"/>
  <c r="V8" i="67"/>
  <c r="W8" i="67" s="1"/>
  <c r="X8" i="67" s="1"/>
  <c r="BE62" i="67"/>
  <c r="BN67" i="66"/>
  <c r="BE93" i="66"/>
  <c r="BK67" i="66"/>
  <c r="BI67" i="66"/>
  <c r="BI98" i="66"/>
  <c r="BI88" i="66"/>
  <c r="AW98" i="66"/>
  <c r="R47" i="66"/>
  <c r="AD74" i="66"/>
  <c r="AD24" i="13" s="1"/>
  <c r="X18" i="66"/>
  <c r="AQ71" i="66"/>
  <c r="AB74" i="66"/>
  <c r="AB24" i="13" s="1"/>
  <c r="U47" i="66"/>
  <c r="U50" i="66" s="1"/>
  <c r="U15" i="13" s="1"/>
  <c r="BC88" i="66"/>
  <c r="BI71" i="66"/>
  <c r="AD118" i="66"/>
  <c r="AC118" i="66"/>
  <c r="AA118" i="66"/>
  <c r="AB118" i="66"/>
  <c r="S115" i="66"/>
  <c r="AB117" i="66"/>
  <c r="AA117" i="66"/>
  <c r="AC117" i="66"/>
  <c r="AD117" i="66"/>
  <c r="U120" i="66"/>
  <c r="X120" i="66"/>
  <c r="V120" i="66"/>
  <c r="W120" i="66"/>
  <c r="AK34" i="66"/>
  <c r="AK9" i="13" s="1"/>
  <c r="AQ32" i="66"/>
  <c r="BL72" i="66"/>
  <c r="BL48" i="66"/>
  <c r="AQ65" i="66"/>
  <c r="BM72" i="66"/>
  <c r="BM48" i="66"/>
  <c r="U114" i="66"/>
  <c r="AE19" i="66"/>
  <c r="AE20" i="66"/>
  <c r="BI47" i="66"/>
  <c r="W114" i="66"/>
  <c r="W18" i="66"/>
  <c r="U8" i="66"/>
  <c r="P8" i="66"/>
  <c r="Q8" i="66" s="1"/>
  <c r="R8" i="66" s="1"/>
  <c r="X126" i="66"/>
  <c r="BI17" i="66"/>
  <c r="BI114" i="66" s="1"/>
  <c r="AC124" i="66"/>
  <c r="AB124" i="66"/>
  <c r="AA124" i="66"/>
  <c r="AD124" i="66"/>
  <c r="AE98" i="66"/>
  <c r="AE97" i="66"/>
  <c r="AK66" i="66"/>
  <c r="AK22" i="13" s="1"/>
  <c r="BB100" i="66"/>
  <c r="P93" i="66"/>
  <c r="P89" i="66"/>
  <c r="P87" i="66"/>
  <c r="P92" i="66"/>
  <c r="P91" i="66"/>
  <c r="P84" i="66"/>
  <c r="P85" i="66"/>
  <c r="P86" i="66"/>
  <c r="P90" i="66"/>
  <c r="P17" i="66"/>
  <c r="BC17" i="66"/>
  <c r="BC114" i="66" s="1"/>
  <c r="P47" i="66"/>
  <c r="AD121" i="66"/>
  <c r="AC121" i="66"/>
  <c r="AB121" i="66"/>
  <c r="AA121" i="66"/>
  <c r="V125" i="66"/>
  <c r="U125" i="66"/>
  <c r="X125" i="66"/>
  <c r="W125" i="66"/>
  <c r="BI99" i="66"/>
  <c r="AB119" i="66"/>
  <c r="AA119" i="66"/>
  <c r="AC119" i="66"/>
  <c r="AD119" i="66"/>
  <c r="AA125" i="66"/>
  <c r="AD125" i="66"/>
  <c r="AC125" i="66"/>
  <c r="AB125" i="66"/>
  <c r="AD120" i="66"/>
  <c r="AC120" i="66"/>
  <c r="AA120" i="66"/>
  <c r="AB120" i="66"/>
  <c r="X124" i="66"/>
  <c r="W124" i="66"/>
  <c r="V124" i="66"/>
  <c r="U124" i="66"/>
  <c r="U121" i="66"/>
  <c r="W121" i="66"/>
  <c r="V121" i="66"/>
  <c r="X121" i="66"/>
  <c r="AA103" i="66"/>
  <c r="V103" i="66"/>
  <c r="W103" i="66" s="1"/>
  <c r="X103" i="66" s="1"/>
  <c r="BC93" i="66"/>
  <c r="BC98" i="66"/>
  <c r="BC97" i="66"/>
  <c r="AQ98" i="66"/>
  <c r="AU37" i="66"/>
  <c r="BS67" i="66"/>
  <c r="S48" i="66"/>
  <c r="AW31" i="66"/>
  <c r="AY31" i="66"/>
  <c r="BE8" i="13" s="1"/>
  <c r="AY100" i="66"/>
  <c r="BI20" i="66"/>
  <c r="BI19" i="66"/>
  <c r="P88" i="66"/>
  <c r="AK36" i="66"/>
  <c r="AK10" i="13" s="1"/>
  <c r="AV33" i="66"/>
  <c r="O74" i="66"/>
  <c r="O24" i="13" s="1"/>
  <c r="U118" i="66"/>
  <c r="X118" i="66"/>
  <c r="V118" i="66"/>
  <c r="W118" i="66"/>
  <c r="W122" i="66"/>
  <c r="U122" i="66"/>
  <c r="X122" i="66"/>
  <c r="V122" i="66"/>
  <c r="AZ100" i="66"/>
  <c r="AD123" i="66"/>
  <c r="AC123" i="66"/>
  <c r="AB123" i="66"/>
  <c r="AA123" i="66"/>
  <c r="U123" i="66"/>
  <c r="X123" i="66"/>
  <c r="W123" i="66"/>
  <c r="V123" i="66"/>
  <c r="AK122" i="66"/>
  <c r="AK126" i="66"/>
  <c r="AK124" i="66"/>
  <c r="AK123" i="66"/>
  <c r="AK125" i="66"/>
  <c r="AK119" i="66"/>
  <c r="AK117" i="66"/>
  <c r="AK121" i="66"/>
  <c r="AK120" i="66"/>
  <c r="AQ62" i="66"/>
  <c r="AQ20" i="13" s="1"/>
  <c r="AY37" i="66"/>
  <c r="AQ33" i="66"/>
  <c r="AS33" i="66"/>
  <c r="BH88" i="66"/>
  <c r="BH93" i="66"/>
  <c r="BH17" i="66"/>
  <c r="BH114" i="66" s="1"/>
  <c r="BG100" i="66"/>
  <c r="BG18" i="66"/>
  <c r="P83" i="66"/>
  <c r="BE100" i="66"/>
  <c r="BE18" i="66"/>
  <c r="AD47" i="66"/>
  <c r="AD50" i="66" s="1"/>
  <c r="AD15" i="13" s="1"/>
  <c r="AE49" i="66"/>
  <c r="Y45" i="66"/>
  <c r="Y15" i="66"/>
  <c r="Y11" i="66"/>
  <c r="V114" i="66"/>
  <c r="BA100" i="66"/>
  <c r="BF18" i="66"/>
  <c r="BF21" i="66" l="1"/>
  <c r="BE21" i="66"/>
  <c r="X21" i="66"/>
  <c r="W21" i="66"/>
  <c r="AC87" i="66"/>
  <c r="AD93" i="66"/>
  <c r="AB84" i="66"/>
  <c r="U21" i="66"/>
  <c r="G27" i="13"/>
  <c r="AB141" i="12"/>
  <c r="AB165" i="12"/>
  <c r="O141" i="12"/>
  <c r="O165" i="12"/>
  <c r="C141" i="12"/>
  <c r="C165" i="12"/>
  <c r="R141" i="12"/>
  <c r="R165" i="12"/>
  <c r="E141" i="12"/>
  <c r="E165" i="12"/>
  <c r="E166" i="12" s="1"/>
  <c r="E167" i="12" s="1"/>
  <c r="AH141" i="12"/>
  <c r="AH165" i="12"/>
  <c r="AC141" i="12"/>
  <c r="AC165" i="12"/>
  <c r="AD141" i="12"/>
  <c r="AD165" i="12"/>
  <c r="L141" i="12"/>
  <c r="L165" i="12"/>
  <c r="J141" i="12"/>
  <c r="J165" i="12"/>
  <c r="P141" i="12"/>
  <c r="P165" i="12"/>
  <c r="F141" i="12"/>
  <c r="F165" i="12"/>
  <c r="K141" i="12"/>
  <c r="K165" i="12"/>
  <c r="I141" i="12"/>
  <c r="I165" i="12"/>
  <c r="D141" i="12"/>
  <c r="D165" i="12"/>
  <c r="AG141" i="12"/>
  <c r="AG165" i="12"/>
  <c r="AI141" i="12"/>
  <c r="AI165" i="12"/>
  <c r="BO20" i="13"/>
  <c r="S47" i="66"/>
  <c r="BG21" i="66"/>
  <c r="R72" i="67"/>
  <c r="J59" i="67"/>
  <c r="CG35" i="66"/>
  <c r="CM70" i="13" s="1"/>
  <c r="AE11" i="66"/>
  <c r="AE118" i="67" s="1"/>
  <c r="AE120" i="67" s="1"/>
  <c r="AE129" i="67" s="1"/>
  <c r="R93" i="67"/>
  <c r="AD56" i="67"/>
  <c r="AJ62" i="67"/>
  <c r="CI84" i="13"/>
  <c r="CF84" i="13"/>
  <c r="CJ70" i="13"/>
  <c r="CJ35" i="66"/>
  <c r="CE84" i="13"/>
  <c r="CG70" i="13"/>
  <c r="CL70" i="13"/>
  <c r="CL35" i="66"/>
  <c r="CD84" i="13"/>
  <c r="CK70" i="13"/>
  <c r="CK35" i="66"/>
  <c r="J140" i="12"/>
  <c r="CG46" i="67"/>
  <c r="CJ46" i="67"/>
  <c r="CK46" i="67" s="1"/>
  <c r="CL46" i="67" s="1"/>
  <c r="BB18" i="67"/>
  <c r="BB104" i="13" s="1"/>
  <c r="BI101" i="13"/>
  <c r="Q67" i="13"/>
  <c r="BB62" i="67"/>
  <c r="BI9" i="13"/>
  <c r="CY10" i="13"/>
  <c r="CY18" i="13" s="1"/>
  <c r="CX10" i="13"/>
  <c r="CX18" i="13" s="1"/>
  <c r="CZ10" i="13"/>
  <c r="CZ18" i="13" s="1"/>
  <c r="BI10" i="13"/>
  <c r="BI11" i="13"/>
  <c r="DA10" i="13"/>
  <c r="DA18" i="13" s="1"/>
  <c r="J30" i="67"/>
  <c r="J57" i="12"/>
  <c r="J104" i="13"/>
  <c r="J105" i="13" s="1"/>
  <c r="R56" i="67"/>
  <c r="J63" i="67"/>
  <c r="BL61" i="66"/>
  <c r="BF90" i="66"/>
  <c r="AC84" i="66"/>
  <c r="AC90" i="66"/>
  <c r="AC88" i="66"/>
  <c r="O18" i="66"/>
  <c r="AC118" i="67"/>
  <c r="AC120" i="67" s="1"/>
  <c r="AC129" i="67" s="1"/>
  <c r="AD18" i="67"/>
  <c r="AD104" i="13" s="1"/>
  <c r="AV57" i="12"/>
  <c r="BF59" i="67"/>
  <c r="BE90" i="66"/>
  <c r="AW66" i="66"/>
  <c r="AW22" i="13" s="1"/>
  <c r="S70" i="67"/>
  <c r="BK61" i="66"/>
  <c r="BQ74" i="13" s="1"/>
  <c r="BG90" i="66"/>
  <c r="AC91" i="66"/>
  <c r="AC85" i="66"/>
  <c r="AC17" i="66"/>
  <c r="AI20" i="66" s="1"/>
  <c r="Y72" i="13"/>
  <c r="AJ101" i="13"/>
  <c r="R18" i="67"/>
  <c r="R104" i="13" s="1"/>
  <c r="R62" i="67"/>
  <c r="S13" i="67"/>
  <c r="E30" i="67"/>
  <c r="S57" i="67"/>
  <c r="S71" i="67"/>
  <c r="BA33" i="66"/>
  <c r="X107" i="66"/>
  <c r="AZ84" i="66"/>
  <c r="AC93" i="66"/>
  <c r="AC89" i="66"/>
  <c r="AC83" i="66"/>
  <c r="AZ69" i="13"/>
  <c r="AC86" i="66"/>
  <c r="AB93" i="66"/>
  <c r="AI118" i="66"/>
  <c r="X105" i="66"/>
  <c r="AB86" i="66"/>
  <c r="Q20" i="66"/>
  <c r="BH61" i="66"/>
  <c r="BG8" i="13"/>
  <c r="BI8" i="13" s="1"/>
  <c r="AC92" i="66"/>
  <c r="AT45" i="66"/>
  <c r="AE46" i="66"/>
  <c r="AZ33" i="66"/>
  <c r="AZ85" i="66" s="1"/>
  <c r="R72" i="13"/>
  <c r="AJ72" i="67"/>
  <c r="E59" i="67"/>
  <c r="C30" i="67"/>
  <c r="E57" i="12"/>
  <c r="C24" i="67"/>
  <c r="AE13" i="67"/>
  <c r="AV30" i="67"/>
  <c r="C59" i="67"/>
  <c r="AD72" i="67"/>
  <c r="C57" i="12"/>
  <c r="E140" i="12"/>
  <c r="AV104" i="13"/>
  <c r="AV59" i="67"/>
  <c r="X101" i="13"/>
  <c r="AB87" i="66"/>
  <c r="AB91" i="66"/>
  <c r="AB90" i="66"/>
  <c r="AB89" i="66"/>
  <c r="AB85" i="66"/>
  <c r="AD90" i="66"/>
  <c r="AB88" i="66"/>
  <c r="AB92" i="66"/>
  <c r="AB83" i="66"/>
  <c r="AB17" i="66"/>
  <c r="AB18" i="66" s="1"/>
  <c r="K18" i="66"/>
  <c r="P72" i="13"/>
  <c r="O24" i="67"/>
  <c r="S49" i="66"/>
  <c r="AE57" i="67"/>
  <c r="AK97" i="13"/>
  <c r="AQ101" i="13" s="1"/>
  <c r="AE17" i="67"/>
  <c r="AE97" i="13"/>
  <c r="AK70" i="67"/>
  <c r="BC31" i="67"/>
  <c r="BC55" i="67"/>
  <c r="AP59" i="67"/>
  <c r="BC67" i="67"/>
  <c r="AV63" i="67"/>
  <c r="BC101" i="67"/>
  <c r="BC58" i="67"/>
  <c r="S20" i="67"/>
  <c r="S23" i="67" s="1"/>
  <c r="AN9" i="66"/>
  <c r="AN15" i="66" s="1"/>
  <c r="AE15" i="66"/>
  <c r="AJ118" i="66"/>
  <c r="AD85" i="66"/>
  <c r="AD87" i="66"/>
  <c r="AD17" i="66"/>
  <c r="AD114" i="66" s="1"/>
  <c r="AD92" i="66"/>
  <c r="AE74" i="66"/>
  <c r="AE24" i="13" s="1"/>
  <c r="AE72" i="13" s="1"/>
  <c r="AB118" i="67"/>
  <c r="AB120" i="67" s="1"/>
  <c r="AB129" i="67" s="1"/>
  <c r="AB67" i="13"/>
  <c r="AK76" i="13"/>
  <c r="AB72" i="13"/>
  <c r="AD72" i="13"/>
  <c r="BL74" i="13"/>
  <c r="BM74" i="13"/>
  <c r="BK77" i="13"/>
  <c r="AD67" i="13"/>
  <c r="BH126" i="66"/>
  <c r="AK70" i="13"/>
  <c r="AG118" i="66"/>
  <c r="AH118" i="66"/>
  <c r="AK69" i="13"/>
  <c r="U67" i="13"/>
  <c r="AJ11" i="66"/>
  <c r="AJ118" i="67" s="1"/>
  <c r="AJ120" i="67" s="1"/>
  <c r="AJ129" i="67" s="1"/>
  <c r="AK71" i="13"/>
  <c r="AD91" i="66"/>
  <c r="AD89" i="66"/>
  <c r="AD83" i="66"/>
  <c r="AD84" i="66"/>
  <c r="AD88" i="66"/>
  <c r="AD86" i="66"/>
  <c r="BL77" i="13"/>
  <c r="BM77" i="13"/>
  <c r="AK72" i="13"/>
  <c r="BF74" i="13"/>
  <c r="BF68" i="13"/>
  <c r="BF77" i="13"/>
  <c r="AC67" i="13"/>
  <c r="AA67" i="13"/>
  <c r="X67" i="13"/>
  <c r="P50" i="66"/>
  <c r="P15" i="13" s="1"/>
  <c r="R50" i="66"/>
  <c r="R15" i="13" s="1"/>
  <c r="BC13" i="67"/>
  <c r="AV73" i="67"/>
  <c r="S17" i="67"/>
  <c r="Q72" i="13"/>
  <c r="O72" i="13"/>
  <c r="O67" i="13"/>
  <c r="S74" i="66"/>
  <c r="S24" i="13" s="1"/>
  <c r="AK49" i="66"/>
  <c r="AI15" i="66"/>
  <c r="Y47" i="66"/>
  <c r="Y50" i="66" s="1"/>
  <c r="Y15" i="13" s="1"/>
  <c r="Y118" i="67"/>
  <c r="Y120" i="67" s="1"/>
  <c r="Y129" i="67" s="1"/>
  <c r="P18" i="66"/>
  <c r="BI67" i="67"/>
  <c r="BC100" i="13"/>
  <c r="F59" i="67"/>
  <c r="BI57" i="67"/>
  <c r="AM59" i="67"/>
  <c r="BI55" i="67"/>
  <c r="BI58" i="67"/>
  <c r="M18" i="67"/>
  <c r="AM24" i="67"/>
  <c r="M12" i="67"/>
  <c r="AD100" i="13"/>
  <c r="BI13" i="67"/>
  <c r="BI18" i="67" s="1"/>
  <c r="M56" i="67"/>
  <c r="M62" i="67"/>
  <c r="BE59" i="67"/>
  <c r="AD62" i="67"/>
  <c r="AW101" i="13"/>
  <c r="BA30" i="67"/>
  <c r="AW100" i="13"/>
  <c r="BE24" i="67"/>
  <c r="BI100" i="13"/>
  <c r="AC30" i="67"/>
  <c r="BE30" i="67"/>
  <c r="S101" i="13"/>
  <c r="AE70" i="67"/>
  <c r="AJ46" i="66"/>
  <c r="AI11" i="66"/>
  <c r="AI118" i="67" s="1"/>
  <c r="AI120" i="67" s="1"/>
  <c r="AI129" i="67" s="1"/>
  <c r="AW62" i="66"/>
  <c r="AW20" i="13" s="1"/>
  <c r="BF71" i="13"/>
  <c r="BA65" i="66"/>
  <c r="BB84" i="66"/>
  <c r="AK9" i="66"/>
  <c r="BB65" i="66"/>
  <c r="AH11" i="66"/>
  <c r="AZ65" i="66"/>
  <c r="BH68" i="13"/>
  <c r="BB90" i="66"/>
  <c r="BC61" i="66"/>
  <c r="S19" i="66"/>
  <c r="AC63" i="67"/>
  <c r="W104" i="13"/>
  <c r="W166" i="12"/>
  <c r="W167" i="12" s="1"/>
  <c r="W140" i="12"/>
  <c r="W57" i="12"/>
  <c r="BE73" i="67"/>
  <c r="AY104" i="13"/>
  <c r="AY140" i="12"/>
  <c r="AY57" i="12"/>
  <c r="U104" i="13"/>
  <c r="U166" i="12"/>
  <c r="U167" i="12" s="1"/>
  <c r="U140" i="12"/>
  <c r="U57" i="12"/>
  <c r="AO104" i="13"/>
  <c r="AO140" i="12"/>
  <c r="AO57" i="12"/>
  <c r="AW31" i="67"/>
  <c r="BO35" i="67"/>
  <c r="BM33" i="67"/>
  <c r="BO34" i="67"/>
  <c r="BC101" i="13"/>
  <c r="AK100" i="13"/>
  <c r="BE104" i="13"/>
  <c r="BE140" i="12"/>
  <c r="BE57" i="12"/>
  <c r="AQ100" i="13"/>
  <c r="BG104" i="13"/>
  <c r="BG140" i="12"/>
  <c r="BG57" i="12"/>
  <c r="AB104" i="13"/>
  <c r="AB140" i="12"/>
  <c r="AB57" i="12"/>
  <c r="I104" i="13"/>
  <c r="I140" i="12"/>
  <c r="I57" i="12"/>
  <c r="AA104" i="13"/>
  <c r="AA140" i="12"/>
  <c r="AA57" i="12"/>
  <c r="F32" i="67"/>
  <c r="F105" i="67" s="1"/>
  <c r="F114" i="67" s="1"/>
  <c r="BF30" i="67"/>
  <c r="BF64" i="67" s="1"/>
  <c r="BF85" i="67" s="1"/>
  <c r="BF104" i="13"/>
  <c r="BF140" i="12"/>
  <c r="BF57" i="12"/>
  <c r="D59" i="67"/>
  <c r="D140" i="12"/>
  <c r="D57" i="12"/>
  <c r="BI139" i="12"/>
  <c r="BC139" i="12"/>
  <c r="S96" i="13"/>
  <c r="S100" i="13" s="1"/>
  <c r="J18" i="66"/>
  <c r="P20" i="66"/>
  <c r="L20" i="66"/>
  <c r="L18" i="66"/>
  <c r="R20" i="66"/>
  <c r="AJ100" i="13"/>
  <c r="AP100" i="13"/>
  <c r="AM52" i="67"/>
  <c r="I18" i="66"/>
  <c r="O20" i="66"/>
  <c r="X100" i="13"/>
  <c r="AM73" i="67"/>
  <c r="AG104" i="13"/>
  <c r="AG140" i="12"/>
  <c r="AG57" i="12"/>
  <c r="AT104" i="13"/>
  <c r="AT140" i="12"/>
  <c r="AT57" i="12"/>
  <c r="AI104" i="13"/>
  <c r="AI140" i="12"/>
  <c r="AI57" i="12"/>
  <c r="AN104" i="13"/>
  <c r="AN140" i="12"/>
  <c r="AN57" i="12"/>
  <c r="Y31" i="67"/>
  <c r="AP73" i="67"/>
  <c r="AJ104" i="13"/>
  <c r="AJ140" i="12"/>
  <c r="AJ57" i="12"/>
  <c r="AE71" i="67"/>
  <c r="Y96" i="13"/>
  <c r="M88" i="66"/>
  <c r="M83" i="66"/>
  <c r="AH104" i="13"/>
  <c r="AH166" i="12"/>
  <c r="AH167" i="12" s="1"/>
  <c r="AH140" i="12"/>
  <c r="AH57" i="12"/>
  <c r="AH59" i="67"/>
  <c r="AH30" i="67"/>
  <c r="AH24" i="67"/>
  <c r="M17" i="66"/>
  <c r="BA104" i="13"/>
  <c r="BA140" i="12"/>
  <c r="BA57" i="12"/>
  <c r="AK52" i="67"/>
  <c r="R18" i="66"/>
  <c r="BA73" i="67"/>
  <c r="AU104" i="13"/>
  <c r="AU140" i="12"/>
  <c r="AU57" i="12"/>
  <c r="V104" i="13"/>
  <c r="V166" i="12"/>
  <c r="V167" i="12" s="1"/>
  <c r="V140" i="12"/>
  <c r="V57" i="12"/>
  <c r="K104" i="13"/>
  <c r="K105" i="13" s="1"/>
  <c r="K140" i="12"/>
  <c r="K57" i="12"/>
  <c r="Y97" i="13"/>
  <c r="Y101" i="13" s="1"/>
  <c r="P104" i="13"/>
  <c r="P140" i="12"/>
  <c r="P57" i="12"/>
  <c r="Q104" i="13"/>
  <c r="Q140" i="12"/>
  <c r="Q57" i="12"/>
  <c r="AZ104" i="13"/>
  <c r="AZ140" i="12"/>
  <c r="AZ57" i="12"/>
  <c r="L104" i="13"/>
  <c r="L105" i="13" s="1"/>
  <c r="L140" i="12"/>
  <c r="L57" i="12"/>
  <c r="BI72" i="67"/>
  <c r="AS104" i="13"/>
  <c r="AS140" i="12"/>
  <c r="AS57" i="12"/>
  <c r="BC37" i="67"/>
  <c r="F140" i="12"/>
  <c r="F57" i="12"/>
  <c r="AM104" i="13"/>
  <c r="AM140" i="12"/>
  <c r="AM57" i="12"/>
  <c r="G83" i="66"/>
  <c r="G88" i="66"/>
  <c r="G17" i="66"/>
  <c r="G115" i="66" s="1"/>
  <c r="AP104" i="13"/>
  <c r="AP140" i="12"/>
  <c r="AP57" i="12"/>
  <c r="AC104" i="13"/>
  <c r="AC140" i="12"/>
  <c r="AC57" i="12"/>
  <c r="O30" i="67"/>
  <c r="O104" i="13"/>
  <c r="O166" i="12"/>
  <c r="O167" i="12" s="1"/>
  <c r="O140" i="12"/>
  <c r="O57" i="12"/>
  <c r="M19" i="66"/>
  <c r="G12" i="67"/>
  <c r="AD101" i="13"/>
  <c r="BE22" i="66"/>
  <c r="X106" i="66"/>
  <c r="X112" i="66"/>
  <c r="BQ77" i="13"/>
  <c r="AZ87" i="66"/>
  <c r="BA35" i="66"/>
  <c r="BA86" i="66" s="1"/>
  <c r="BA70" i="13"/>
  <c r="X109" i="66"/>
  <c r="X108" i="66"/>
  <c r="BR77" i="13"/>
  <c r="BR67" i="66"/>
  <c r="AH15" i="66"/>
  <c r="AN49" i="66"/>
  <c r="BB35" i="66"/>
  <c r="Y46" i="66"/>
  <c r="BN11" i="13"/>
  <c r="BN70" i="13"/>
  <c r="BN9" i="13"/>
  <c r="BY77" i="13"/>
  <c r="X111" i="66"/>
  <c r="X110" i="66"/>
  <c r="AU45" i="66"/>
  <c r="X113" i="66"/>
  <c r="BS74" i="13"/>
  <c r="BI68" i="66"/>
  <c r="BT67" i="66"/>
  <c r="BT77" i="13"/>
  <c r="AZ35" i="66"/>
  <c r="AZ70" i="13"/>
  <c r="AW35" i="66"/>
  <c r="AO9" i="66"/>
  <c r="AG15" i="66"/>
  <c r="AG11" i="66"/>
  <c r="AM49" i="66"/>
  <c r="AG46" i="66"/>
  <c r="AP9" i="66"/>
  <c r="AW48" i="66"/>
  <c r="AM11" i="66"/>
  <c r="AM118" i="67" s="1"/>
  <c r="AM120" i="67" s="1"/>
  <c r="AM129" i="67" s="1"/>
  <c r="AM15" i="66"/>
  <c r="AY69" i="13"/>
  <c r="AS45" i="66"/>
  <c r="AS9" i="66" s="1"/>
  <c r="BE71" i="13"/>
  <c r="BA71" i="13"/>
  <c r="BH71" i="13"/>
  <c r="BE68" i="13"/>
  <c r="AV45" i="66"/>
  <c r="AA114" i="66"/>
  <c r="AQ45" i="66"/>
  <c r="AJ88" i="66"/>
  <c r="AJ90" i="66"/>
  <c r="AJ89" i="66"/>
  <c r="AJ86" i="66"/>
  <c r="AJ92" i="66"/>
  <c r="AJ83" i="66"/>
  <c r="AJ93" i="66"/>
  <c r="AJ84" i="66"/>
  <c r="AJ17" i="66"/>
  <c r="AJ85" i="66"/>
  <c r="AJ87" i="66"/>
  <c r="AG20" i="66"/>
  <c r="AA18" i="66"/>
  <c r="F64" i="67"/>
  <c r="J73" i="67"/>
  <c r="D30" i="67"/>
  <c r="D32" i="67" s="1"/>
  <c r="AP63" i="67"/>
  <c r="G18" i="67"/>
  <c r="G59" i="67" s="1"/>
  <c r="BF63" i="67"/>
  <c r="BF73" i="67"/>
  <c r="K73" i="67"/>
  <c r="K63" i="67"/>
  <c r="K59" i="67"/>
  <c r="K30" i="67"/>
  <c r="X62" i="67"/>
  <c r="X56" i="67"/>
  <c r="X18" i="67"/>
  <c r="U63" i="67"/>
  <c r="U73" i="67"/>
  <c r="U59" i="67"/>
  <c r="U30" i="67"/>
  <c r="U24" i="67"/>
  <c r="AT73" i="67"/>
  <c r="AT59" i="67"/>
  <c r="AT63" i="67"/>
  <c r="AT30" i="67"/>
  <c r="AM63" i="67"/>
  <c r="AB73" i="67"/>
  <c r="AB63" i="67"/>
  <c r="AB59" i="67"/>
  <c r="AB30" i="67"/>
  <c r="AH63" i="67"/>
  <c r="AH73" i="67"/>
  <c r="AE31" i="67"/>
  <c r="X72" i="67"/>
  <c r="AQ62" i="67"/>
  <c r="AQ56" i="67"/>
  <c r="AQ18" i="67"/>
  <c r="BX47" i="67"/>
  <c r="BY47" i="67" s="1"/>
  <c r="BZ47" i="67" s="1"/>
  <c r="CC47" i="67" s="1"/>
  <c r="Y13" i="67"/>
  <c r="BS96" i="67"/>
  <c r="AO73" i="67"/>
  <c r="AO59" i="67"/>
  <c r="AO63" i="67"/>
  <c r="AO30" i="67"/>
  <c r="P73" i="67"/>
  <c r="P63" i="67"/>
  <c r="P59" i="67"/>
  <c r="P30" i="67"/>
  <c r="P24" i="67"/>
  <c r="AK56" i="67"/>
  <c r="AK18" i="67"/>
  <c r="AS73" i="67"/>
  <c r="AS63" i="67"/>
  <c r="AS59" i="67"/>
  <c r="AS24" i="67"/>
  <c r="AS30" i="67"/>
  <c r="V73" i="67"/>
  <c r="V63" i="67"/>
  <c r="V59" i="67"/>
  <c r="V30" i="67"/>
  <c r="AM32" i="67"/>
  <c r="AM64" i="67"/>
  <c r="BG73" i="67"/>
  <c r="BG63" i="67"/>
  <c r="BG59" i="67"/>
  <c r="BG30" i="67"/>
  <c r="M72" i="67"/>
  <c r="I73" i="67"/>
  <c r="I63" i="67"/>
  <c r="I59" i="67"/>
  <c r="I30" i="67"/>
  <c r="I24" i="67"/>
  <c r="O63" i="67"/>
  <c r="O73" i="67"/>
  <c r="W73" i="67"/>
  <c r="W63" i="67"/>
  <c r="W59" i="67"/>
  <c r="W30" i="67"/>
  <c r="Y70" i="67"/>
  <c r="Y57" i="67"/>
  <c r="Y17" i="67"/>
  <c r="BT97" i="67"/>
  <c r="AJ59" i="67"/>
  <c r="AJ30" i="67"/>
  <c r="Y71" i="67"/>
  <c r="Y58" i="67"/>
  <c r="BU47" i="67"/>
  <c r="AQ72" i="67"/>
  <c r="AC73" i="67"/>
  <c r="AP32" i="67"/>
  <c r="AP64" i="67"/>
  <c r="AG73" i="67"/>
  <c r="AG63" i="67"/>
  <c r="AG59" i="67"/>
  <c r="AG30" i="67"/>
  <c r="AG24" i="67"/>
  <c r="AW72" i="67"/>
  <c r="AA73" i="67"/>
  <c r="AA59" i="67"/>
  <c r="AA63" i="67"/>
  <c r="AA30" i="67"/>
  <c r="AA24" i="67"/>
  <c r="AG8" i="67"/>
  <c r="AB8" i="67"/>
  <c r="AC8" i="67" s="1"/>
  <c r="AD8" i="67" s="1"/>
  <c r="AU73" i="67"/>
  <c r="AU63" i="67"/>
  <c r="AU59" i="67"/>
  <c r="AU30" i="67"/>
  <c r="AI73" i="67"/>
  <c r="AI63" i="67"/>
  <c r="AI59" i="67"/>
  <c r="AI30" i="67"/>
  <c r="AY73" i="67"/>
  <c r="AY59" i="67"/>
  <c r="AY63" i="67"/>
  <c r="AY30" i="67"/>
  <c r="AY24" i="67"/>
  <c r="AN63" i="67"/>
  <c r="AN73" i="67"/>
  <c r="AN59" i="67"/>
  <c r="AN30" i="67"/>
  <c r="BH62" i="67"/>
  <c r="BH56" i="67"/>
  <c r="BH18" i="67"/>
  <c r="Q73" i="67"/>
  <c r="Q63" i="67"/>
  <c r="Q59" i="67"/>
  <c r="Q30" i="67"/>
  <c r="Q24" i="67"/>
  <c r="AZ73" i="67"/>
  <c r="AZ63" i="67"/>
  <c r="AZ59" i="67"/>
  <c r="AZ30" i="67"/>
  <c r="L73" i="67"/>
  <c r="L63" i="67"/>
  <c r="L59" i="67"/>
  <c r="L30" i="67"/>
  <c r="AW62" i="67"/>
  <c r="AW56" i="67"/>
  <c r="AW18" i="67"/>
  <c r="BC72" i="67"/>
  <c r="BA63" i="67"/>
  <c r="BE63" i="67"/>
  <c r="BO67" i="66"/>
  <c r="BQ67" i="66"/>
  <c r="BW67" i="66" s="1"/>
  <c r="BI93" i="66"/>
  <c r="V18" i="66"/>
  <c r="BO20" i="66"/>
  <c r="AH124" i="66"/>
  <c r="AG124" i="66"/>
  <c r="AJ124" i="66"/>
  <c r="AI124" i="66"/>
  <c r="U126" i="66"/>
  <c r="U113" i="66"/>
  <c r="U110" i="66"/>
  <c r="U105" i="66"/>
  <c r="U111" i="66"/>
  <c r="U109" i="66"/>
  <c r="U108" i="66"/>
  <c r="U106" i="66"/>
  <c r="U107" i="66"/>
  <c r="U112" i="66"/>
  <c r="AQ66" i="66"/>
  <c r="AQ22" i="13" s="1"/>
  <c r="BN72" i="66"/>
  <c r="AY33" i="66"/>
  <c r="AW33" i="66"/>
  <c r="AW37" i="66"/>
  <c r="AG119" i="66"/>
  <c r="AJ119" i="66"/>
  <c r="AH119" i="66"/>
  <c r="AI119" i="66"/>
  <c r="BO19" i="66"/>
  <c r="AW32" i="66"/>
  <c r="AG103" i="66"/>
  <c r="AB103" i="66"/>
  <c r="AC103" i="66" s="1"/>
  <c r="AD103" i="66" s="1"/>
  <c r="BH100" i="66"/>
  <c r="BH18" i="66"/>
  <c r="AY84" i="66"/>
  <c r="BC31" i="66"/>
  <c r="BA37" i="66"/>
  <c r="BC100" i="66"/>
  <c r="V126" i="66"/>
  <c r="V113" i="66"/>
  <c r="V111" i="66"/>
  <c r="V107" i="66"/>
  <c r="V106" i="66"/>
  <c r="V112" i="66"/>
  <c r="V108" i="66"/>
  <c r="V110" i="66"/>
  <c r="V105" i="66"/>
  <c r="V109" i="66"/>
  <c r="AQ36" i="66"/>
  <c r="AQ34" i="66"/>
  <c r="AI120" i="66"/>
  <c r="AH120" i="66"/>
  <c r="AJ120" i="66"/>
  <c r="AG120" i="66"/>
  <c r="AJ125" i="66"/>
  <c r="AI125" i="66"/>
  <c r="AH125" i="66"/>
  <c r="AG125" i="66"/>
  <c r="AG122" i="66"/>
  <c r="AJ122" i="66"/>
  <c r="AI122" i="66"/>
  <c r="AH122" i="66"/>
  <c r="AV49" i="66"/>
  <c r="AW49" i="66" s="1"/>
  <c r="BY67" i="66"/>
  <c r="BI115" i="66"/>
  <c r="BI100" i="66"/>
  <c r="BI18" i="66"/>
  <c r="V8" i="66"/>
  <c r="W8" i="66" s="1"/>
  <c r="X8" i="66" s="1"/>
  <c r="AA8" i="66"/>
  <c r="W126" i="66"/>
  <c r="W112" i="66"/>
  <c r="W108" i="66"/>
  <c r="W109" i="66"/>
  <c r="W113" i="66"/>
  <c r="W111" i="66"/>
  <c r="W107" i="66"/>
  <c r="W106" i="66"/>
  <c r="W110" i="66"/>
  <c r="W105" i="66"/>
  <c r="BB87" i="66"/>
  <c r="AM46" i="66"/>
  <c r="AY87" i="66"/>
  <c r="AG117" i="66"/>
  <c r="AJ117" i="66"/>
  <c r="AH117" i="66"/>
  <c r="AI117" i="66"/>
  <c r="BS61" i="66"/>
  <c r="Y93" i="66"/>
  <c r="Y89" i="66"/>
  <c r="Y87" i="66"/>
  <c r="Y92" i="66"/>
  <c r="Y90" i="66"/>
  <c r="Y84" i="66"/>
  <c r="Y85" i="66"/>
  <c r="Y91" i="66"/>
  <c r="Y86" i="66"/>
  <c r="Y17" i="66"/>
  <c r="Y88" i="66"/>
  <c r="Y83" i="66"/>
  <c r="AI121" i="66"/>
  <c r="AJ121" i="66"/>
  <c r="AH121" i="66"/>
  <c r="AG121" i="66"/>
  <c r="AI123" i="66"/>
  <c r="AH123" i="66"/>
  <c r="AG123" i="66"/>
  <c r="AJ123" i="66"/>
  <c r="BB33" i="66"/>
  <c r="L166" i="12" l="1"/>
  <c r="L167" i="12" s="1"/>
  <c r="P166" i="12"/>
  <c r="P167" i="12" s="1"/>
  <c r="P168" i="12" s="1"/>
  <c r="X22" i="66"/>
  <c r="X27" i="13" s="1"/>
  <c r="X26" i="13"/>
  <c r="X78" i="13" s="1"/>
  <c r="U22" i="66"/>
  <c r="U27" i="13" s="1"/>
  <c r="J166" i="12"/>
  <c r="J167" i="12" s="1"/>
  <c r="J168" i="12" s="1"/>
  <c r="D166" i="12"/>
  <c r="D167" i="12" s="1"/>
  <c r="D168" i="12" s="1"/>
  <c r="V21" i="66"/>
  <c r="BF68" i="67"/>
  <c r="BH21" i="66"/>
  <c r="BF26" i="13"/>
  <c r="W26" i="13"/>
  <c r="AN86" i="66"/>
  <c r="BE27" i="13"/>
  <c r="BE68" i="67"/>
  <c r="BF22" i="66"/>
  <c r="W22" i="66"/>
  <c r="AB21" i="66"/>
  <c r="AB22" i="66" s="1"/>
  <c r="BG22" i="66"/>
  <c r="BI21" i="66"/>
  <c r="AA21" i="66"/>
  <c r="AM88" i="66"/>
  <c r="U26" i="13"/>
  <c r="BE26" i="13"/>
  <c r="DJ11" i="13" s="1"/>
  <c r="AI88" i="66"/>
  <c r="AG166" i="12"/>
  <c r="AG167" i="12" s="1"/>
  <c r="AG168" i="12" s="1"/>
  <c r="M55" i="67"/>
  <c r="F166" i="12"/>
  <c r="F167" i="12" s="1"/>
  <c r="F168" i="12" s="1"/>
  <c r="I166" i="12"/>
  <c r="I167" i="12" s="1"/>
  <c r="I168" i="12" s="1"/>
  <c r="AB166" i="12"/>
  <c r="AB167" i="12" s="1"/>
  <c r="AB168" i="12" s="1"/>
  <c r="AC166" i="12"/>
  <c r="AC167" i="12" s="1"/>
  <c r="AC168" i="12" s="1"/>
  <c r="E168" i="12"/>
  <c r="Q166" i="12"/>
  <c r="Q167" i="12" s="1"/>
  <c r="V168" i="12"/>
  <c r="AI166" i="12"/>
  <c r="AI167" i="12" s="1"/>
  <c r="BF141" i="12"/>
  <c r="BF165" i="12"/>
  <c r="U168" i="12"/>
  <c r="W168" i="12"/>
  <c r="O168" i="12"/>
  <c r="L168" i="12"/>
  <c r="K166" i="12"/>
  <c r="K167" i="12" s="1"/>
  <c r="AH168" i="12"/>
  <c r="AA166" i="12"/>
  <c r="AA167" i="12" s="1"/>
  <c r="C166" i="12"/>
  <c r="C167" i="12" s="1"/>
  <c r="Q21" i="66"/>
  <c r="Q22" i="66" s="1"/>
  <c r="J32" i="67"/>
  <c r="J94" i="67" s="1"/>
  <c r="J102" i="67" s="1"/>
  <c r="I21" i="66"/>
  <c r="M20" i="66"/>
  <c r="J21" i="66"/>
  <c r="K21" i="66"/>
  <c r="S50" i="66"/>
  <c r="S15" i="13" s="1"/>
  <c r="S67" i="13" s="1"/>
  <c r="AD59" i="67"/>
  <c r="BB140" i="12"/>
  <c r="BB63" i="67"/>
  <c r="AD73" i="67"/>
  <c r="AD140" i="12"/>
  <c r="BG26" i="13"/>
  <c r="DL11" i="13" s="1"/>
  <c r="AE88" i="66"/>
  <c r="BG68" i="67"/>
  <c r="AJ63" i="67"/>
  <c r="AJ73" i="67"/>
  <c r="BB30" i="67"/>
  <c r="C64" i="67"/>
  <c r="R24" i="67"/>
  <c r="R61" i="67" s="1"/>
  <c r="R140" i="12"/>
  <c r="AE47" i="66"/>
  <c r="AE50" i="66" s="1"/>
  <c r="AE15" i="13" s="1"/>
  <c r="BR74" i="13"/>
  <c r="M57" i="12"/>
  <c r="AK46" i="66"/>
  <c r="AE93" i="66"/>
  <c r="AD30" i="67"/>
  <c r="BB59" i="67"/>
  <c r="BB73" i="67"/>
  <c r="AD57" i="12"/>
  <c r="AD166" i="12"/>
  <c r="AD167" i="12" s="1"/>
  <c r="BB57" i="12"/>
  <c r="CE67" i="66"/>
  <c r="CE77" i="13"/>
  <c r="CC67" i="66"/>
  <c r="CC77" i="13"/>
  <c r="CK84" i="13"/>
  <c r="CL84" i="13"/>
  <c r="CM84" i="13"/>
  <c r="CM35" i="66"/>
  <c r="CJ84" i="13"/>
  <c r="J64" i="67"/>
  <c r="CM46" i="67"/>
  <c r="CD47" i="67"/>
  <c r="CE47" i="67" s="1"/>
  <c r="CF47" i="67" s="1"/>
  <c r="CI47" i="67" s="1"/>
  <c r="C61" i="67"/>
  <c r="BR61" i="66"/>
  <c r="BX74" i="13" s="1"/>
  <c r="BB105" i="13"/>
  <c r="AE56" i="67"/>
  <c r="E64" i="67"/>
  <c r="E32" i="67"/>
  <c r="E65" i="67" s="1"/>
  <c r="BF69" i="13"/>
  <c r="BO11" i="13"/>
  <c r="BO9" i="13"/>
  <c r="P105" i="13"/>
  <c r="BQ61" i="66"/>
  <c r="BW74" i="13" s="1"/>
  <c r="BK74" i="13"/>
  <c r="BA85" i="66"/>
  <c r="BG69" i="13"/>
  <c r="R59" i="67"/>
  <c r="R73" i="67"/>
  <c r="AD108" i="66"/>
  <c r="AI83" i="66"/>
  <c r="AZ45" i="66"/>
  <c r="AC114" i="66"/>
  <c r="AC126" i="66" s="1"/>
  <c r="AI84" i="66"/>
  <c r="AC100" i="66"/>
  <c r="AC18" i="66"/>
  <c r="AI90" i="66"/>
  <c r="P67" i="13"/>
  <c r="S18" i="67"/>
  <c r="F40" i="67"/>
  <c r="S62" i="67"/>
  <c r="C56" i="12"/>
  <c r="AT9" i="66"/>
  <c r="AT46" i="66" s="1"/>
  <c r="AV32" i="67"/>
  <c r="AV94" i="67" s="1"/>
  <c r="AV102" i="67" s="1"/>
  <c r="C32" i="67"/>
  <c r="C105" i="67" s="1"/>
  <c r="C114" i="67" s="1"/>
  <c r="S12" i="67"/>
  <c r="S55" i="67" s="1"/>
  <c r="S56" i="67"/>
  <c r="AE12" i="67"/>
  <c r="R30" i="67"/>
  <c r="R63" i="67"/>
  <c r="AK62" i="67"/>
  <c r="R57" i="12"/>
  <c r="R166" i="12"/>
  <c r="R167" i="12" s="1"/>
  <c r="O61" i="67"/>
  <c r="BI61" i="66"/>
  <c r="AE83" i="66"/>
  <c r="AI86" i="66"/>
  <c r="AI87" i="66"/>
  <c r="AJ47" i="66"/>
  <c r="AJ50" i="66" s="1"/>
  <c r="AJ15" i="13" s="1"/>
  <c r="AD106" i="66"/>
  <c r="AD113" i="66"/>
  <c r="BN61" i="66"/>
  <c r="BT61" i="66" s="1"/>
  <c r="BZ74" i="13" s="1"/>
  <c r="AE90" i="66"/>
  <c r="AH20" i="66"/>
  <c r="AB114" i="66"/>
  <c r="AB111" i="66" s="1"/>
  <c r="AD100" i="66"/>
  <c r="AN84" i="66"/>
  <c r="BH90" i="66"/>
  <c r="AI17" i="66"/>
  <c r="AO20" i="66" s="1"/>
  <c r="AI85" i="66"/>
  <c r="AI89" i="66"/>
  <c r="AI92" i="66"/>
  <c r="AI93" i="66"/>
  <c r="AN88" i="66"/>
  <c r="AB100" i="66"/>
  <c r="AN46" i="66"/>
  <c r="AE17" i="66"/>
  <c r="AE100" i="66" s="1"/>
  <c r="BG68" i="13"/>
  <c r="BH74" i="13"/>
  <c r="AN83" i="66"/>
  <c r="AN89" i="66"/>
  <c r="AK11" i="66"/>
  <c r="AK118" i="67" s="1"/>
  <c r="AK120" i="67" s="1"/>
  <c r="AK129" i="67" s="1"/>
  <c r="AN90" i="66"/>
  <c r="AN92" i="66"/>
  <c r="AN17" i="66"/>
  <c r="AN114" i="66" s="1"/>
  <c r="AN126" i="66" s="1"/>
  <c r="AN93" i="66"/>
  <c r="AN87" i="66"/>
  <c r="AN85" i="66"/>
  <c r="AN11" i="66"/>
  <c r="AN118" i="67" s="1"/>
  <c r="AN120" i="67" s="1"/>
  <c r="AN129" i="67" s="1"/>
  <c r="AE18" i="67"/>
  <c r="AE104" i="13" s="1"/>
  <c r="M30" i="67"/>
  <c r="AK101" i="13"/>
  <c r="AK72" i="67"/>
  <c r="AV64" i="67"/>
  <c r="AV85" i="67" s="1"/>
  <c r="O56" i="12"/>
  <c r="AD111" i="66"/>
  <c r="AD110" i="66"/>
  <c r="AE89" i="66"/>
  <c r="AE85" i="66"/>
  <c r="AD105" i="66"/>
  <c r="AD109" i="66"/>
  <c r="AE84" i="66"/>
  <c r="AE86" i="66"/>
  <c r="AD107" i="66"/>
  <c r="AD112" i="66"/>
  <c r="AD126" i="66"/>
  <c r="AE92" i="66"/>
  <c r="AE87" i="66"/>
  <c r="AE91" i="66"/>
  <c r="AD18" i="66"/>
  <c r="AJ20" i="66"/>
  <c r="M69" i="67"/>
  <c r="M104" i="13"/>
  <c r="M105" i="13" s="1"/>
  <c r="BC56" i="67"/>
  <c r="BI56" i="67"/>
  <c r="M166" i="12"/>
  <c r="M167" i="12" s="1"/>
  <c r="M59" i="67"/>
  <c r="AZ105" i="13"/>
  <c r="M140" i="12"/>
  <c r="P21" i="66"/>
  <c r="AK15" i="66"/>
  <c r="R67" i="13"/>
  <c r="AI47" i="66"/>
  <c r="AI50" i="66" s="1"/>
  <c r="AI15" i="13" s="1"/>
  <c r="AA105" i="66"/>
  <c r="BI77" i="13"/>
  <c r="BN74" i="13"/>
  <c r="Y67" i="13"/>
  <c r="BN77" i="13"/>
  <c r="S72" i="67"/>
  <c r="BC18" i="67"/>
  <c r="BC62" i="67"/>
  <c r="BI62" i="67"/>
  <c r="F36" i="67"/>
  <c r="F38" i="67" s="1"/>
  <c r="AA105" i="13"/>
  <c r="AM56" i="12"/>
  <c r="S72" i="13"/>
  <c r="AG47" i="66"/>
  <c r="AG50" i="66" s="1"/>
  <c r="AG15" i="13" s="1"/>
  <c r="CT7" i="13" s="1"/>
  <c r="AG118" i="67"/>
  <c r="AG120" i="67" s="1"/>
  <c r="AG129" i="67" s="1"/>
  <c r="AH47" i="66"/>
  <c r="AH50" i="66" s="1"/>
  <c r="AH15" i="13" s="1"/>
  <c r="CU7" i="13" s="1"/>
  <c r="AH118" i="67"/>
  <c r="AH120" i="67" s="1"/>
  <c r="AH129" i="67" s="1"/>
  <c r="BA32" i="67"/>
  <c r="BA65" i="67" s="1"/>
  <c r="R21" i="66"/>
  <c r="AH105" i="13"/>
  <c r="F42" i="67"/>
  <c r="BA64" i="67"/>
  <c r="BA85" i="67" s="1"/>
  <c r="F94" i="67"/>
  <c r="F102" i="67" s="1"/>
  <c r="BE32" i="67"/>
  <c r="O105" i="13"/>
  <c r="Y100" i="13"/>
  <c r="AM61" i="67"/>
  <c r="BE56" i="12"/>
  <c r="BE64" i="67"/>
  <c r="BE85" i="67" s="1"/>
  <c r="M73" i="67"/>
  <c r="BE61" i="67"/>
  <c r="G30" i="67"/>
  <c r="AM105" i="13"/>
  <c r="F41" i="67"/>
  <c r="F65" i="67"/>
  <c r="AC105" i="13"/>
  <c r="AU105" i="13"/>
  <c r="AG105" i="13"/>
  <c r="AC32" i="67"/>
  <c r="AC41" i="67" s="1"/>
  <c r="AP105" i="13"/>
  <c r="BE105" i="13"/>
  <c r="AC64" i="67"/>
  <c r="Q105" i="13"/>
  <c r="AE62" i="67"/>
  <c r="AT105" i="13"/>
  <c r="AQ49" i="66"/>
  <c r="BH65" i="66"/>
  <c r="BB92" i="66"/>
  <c r="BA92" i="66"/>
  <c r="BG65" i="66"/>
  <c r="AZ92" i="66"/>
  <c r="BF65" i="66"/>
  <c r="BC62" i="66"/>
  <c r="BC90" i="66"/>
  <c r="AW104" i="13"/>
  <c r="AW140" i="12"/>
  <c r="AW57" i="12"/>
  <c r="Q61" i="67"/>
  <c r="Q56" i="12"/>
  <c r="BI104" i="13"/>
  <c r="BI140" i="12"/>
  <c r="BI57" i="12"/>
  <c r="D64" i="67"/>
  <c r="R105" i="13"/>
  <c r="BG105" i="13"/>
  <c r="U105" i="13"/>
  <c r="BH104" i="13"/>
  <c r="BH105" i="13" s="1"/>
  <c r="BH140" i="12"/>
  <c r="BH57" i="12"/>
  <c r="I61" i="67"/>
  <c r="I56" i="12"/>
  <c r="P61" i="67"/>
  <c r="P56" i="12"/>
  <c r="M63" i="67"/>
  <c r="G140" i="12"/>
  <c r="G57" i="12"/>
  <c r="G55" i="67"/>
  <c r="O32" i="67"/>
  <c r="O64" i="67"/>
  <c r="V105" i="13"/>
  <c r="BA105" i="13"/>
  <c r="AI105" i="13"/>
  <c r="AV105" i="13"/>
  <c r="AN52" i="67"/>
  <c r="AM51" i="67"/>
  <c r="AM89" i="12" s="1"/>
  <c r="L21" i="66"/>
  <c r="BF105" i="13"/>
  <c r="AA61" i="67"/>
  <c r="AA56" i="12"/>
  <c r="AG61" i="67"/>
  <c r="AG56" i="12"/>
  <c r="AE72" i="67"/>
  <c r="AS61" i="67"/>
  <c r="AS56" i="12"/>
  <c r="AK104" i="13"/>
  <c r="AK140" i="12"/>
  <c r="AK57" i="12"/>
  <c r="U61" i="67"/>
  <c r="U56" i="12"/>
  <c r="S18" i="66"/>
  <c r="M18" i="66"/>
  <c r="M115" i="66"/>
  <c r="AH61" i="67"/>
  <c r="AH56" i="12"/>
  <c r="S20" i="66"/>
  <c r="O21" i="66"/>
  <c r="BF32" i="67"/>
  <c r="AE100" i="13"/>
  <c r="AY61" i="67"/>
  <c r="AY56" i="12"/>
  <c r="AP85" i="67"/>
  <c r="AM85" i="67"/>
  <c r="AQ104" i="13"/>
  <c r="AQ140" i="12"/>
  <c r="AQ57" i="12"/>
  <c r="X104" i="13"/>
  <c r="X105" i="13" s="1"/>
  <c r="X166" i="12"/>
  <c r="X167" i="12" s="1"/>
  <c r="X140" i="12"/>
  <c r="X57" i="12"/>
  <c r="AS105" i="13"/>
  <c r="AH32" i="67"/>
  <c r="AH64" i="67"/>
  <c r="AJ105" i="13"/>
  <c r="AN105" i="13"/>
  <c r="AB105" i="13"/>
  <c r="BQ34" i="67"/>
  <c r="BN33" i="67"/>
  <c r="BO33" i="67" s="1"/>
  <c r="BQ35" i="67"/>
  <c r="AO105" i="13"/>
  <c r="AY105" i="13"/>
  <c r="W105" i="13"/>
  <c r="AE101" i="13"/>
  <c r="BU67" i="66"/>
  <c r="BW77" i="13"/>
  <c r="AM84" i="66"/>
  <c r="AM85" i="66"/>
  <c r="BF70" i="13"/>
  <c r="BC35" i="66"/>
  <c r="BZ67" i="66"/>
  <c r="BZ77" i="13"/>
  <c r="BH70" i="13"/>
  <c r="BB86" i="66"/>
  <c r="BG70" i="13"/>
  <c r="BY74" i="13"/>
  <c r="BO68" i="66"/>
  <c r="AQ9" i="66"/>
  <c r="AH85" i="66"/>
  <c r="AH83" i="66"/>
  <c r="AH84" i="66"/>
  <c r="AH89" i="66"/>
  <c r="AH87" i="66"/>
  <c r="AH88" i="66"/>
  <c r="AH93" i="66"/>
  <c r="AH17" i="66"/>
  <c r="AH92" i="66"/>
  <c r="AH86" i="66"/>
  <c r="AH90" i="66"/>
  <c r="AM89" i="66"/>
  <c r="AS11" i="66"/>
  <c r="AS118" i="67" s="1"/>
  <c r="AS120" i="67" s="1"/>
  <c r="AS129" i="67" s="1"/>
  <c r="AM47" i="66"/>
  <c r="AM50" i="66" s="1"/>
  <c r="AM15" i="13" s="1"/>
  <c r="CX7" i="13" s="1"/>
  <c r="AO46" i="66"/>
  <c r="BX77" i="13"/>
  <c r="BX67" i="66"/>
  <c r="AO15" i="66"/>
  <c r="AP46" i="66"/>
  <c r="AP15" i="66"/>
  <c r="AP11" i="66"/>
  <c r="AO11" i="66"/>
  <c r="AG89" i="66"/>
  <c r="AG84" i="66"/>
  <c r="AG92" i="66"/>
  <c r="AG93" i="66"/>
  <c r="AG86" i="66"/>
  <c r="AG87" i="66"/>
  <c r="AG83" i="66"/>
  <c r="AG90" i="66"/>
  <c r="AG85" i="66"/>
  <c r="AG88" i="66"/>
  <c r="AG17" i="66"/>
  <c r="AM83" i="66"/>
  <c r="AM87" i="66"/>
  <c r="AM17" i="66"/>
  <c r="AM114" i="66" s="1"/>
  <c r="AM86" i="66"/>
  <c r="AM92" i="66"/>
  <c r="AM93" i="66"/>
  <c r="AM90" i="66"/>
  <c r="BE69" i="13"/>
  <c r="BA45" i="66"/>
  <c r="BG49" i="66" s="1"/>
  <c r="BG71" i="13"/>
  <c r="AU9" i="66"/>
  <c r="BH69" i="13"/>
  <c r="AV9" i="66"/>
  <c r="AW45" i="66"/>
  <c r="BC32" i="66"/>
  <c r="BC48" i="66"/>
  <c r="AA112" i="66"/>
  <c r="AA113" i="66"/>
  <c r="AA110" i="66"/>
  <c r="AA106" i="66"/>
  <c r="AA109" i="66"/>
  <c r="AA126" i="66"/>
  <c r="AA107" i="66"/>
  <c r="AA111" i="66"/>
  <c r="AA108" i="66"/>
  <c r="AP20" i="66"/>
  <c r="AJ100" i="66"/>
  <c r="AJ114" i="66"/>
  <c r="AJ18" i="66"/>
  <c r="D105" i="67"/>
  <c r="D114" i="67" s="1"/>
  <c r="D94" i="67"/>
  <c r="D102" i="67" s="1"/>
  <c r="D65" i="67"/>
  <c r="D42" i="67"/>
  <c r="D40" i="67"/>
  <c r="D41" i="67"/>
  <c r="D36" i="67"/>
  <c r="AJ32" i="67"/>
  <c r="AJ64" i="67"/>
  <c r="AJ85" i="67" s="1"/>
  <c r="BW97" i="67"/>
  <c r="I32" i="67"/>
  <c r="I64" i="67"/>
  <c r="AW73" i="67"/>
  <c r="AW63" i="67"/>
  <c r="AW59" i="67"/>
  <c r="AW30" i="67"/>
  <c r="L32" i="67"/>
  <c r="L64" i="67"/>
  <c r="Q32" i="67"/>
  <c r="Q64" i="67"/>
  <c r="BH73" i="67"/>
  <c r="BH59" i="67"/>
  <c r="BH63" i="67"/>
  <c r="BH30" i="67"/>
  <c r="AY32" i="67"/>
  <c r="AY64" i="67"/>
  <c r="AY85" i="67" s="1"/>
  <c r="AI32" i="67"/>
  <c r="AI64" i="67"/>
  <c r="AU32" i="67"/>
  <c r="AU64" i="67"/>
  <c r="AU85" i="67" s="1"/>
  <c r="AK59" i="67"/>
  <c r="AK30" i="67"/>
  <c r="AT32" i="67"/>
  <c r="AT64" i="67"/>
  <c r="AT85" i="67" s="1"/>
  <c r="AA32" i="67"/>
  <c r="AA64" i="67"/>
  <c r="W32" i="67"/>
  <c r="W64" i="67"/>
  <c r="V32" i="67"/>
  <c r="V64" i="67"/>
  <c r="BT96" i="67"/>
  <c r="BU96" i="67" s="1"/>
  <c r="AB32" i="67"/>
  <c r="AB64" i="67"/>
  <c r="U32" i="67"/>
  <c r="U64" i="67"/>
  <c r="X73" i="67"/>
  <c r="X63" i="67"/>
  <c r="X59" i="67"/>
  <c r="X30" i="67"/>
  <c r="AZ32" i="67"/>
  <c r="AZ64" i="67"/>
  <c r="AZ85" i="67" s="1"/>
  <c r="AN32" i="67"/>
  <c r="AN64" i="67"/>
  <c r="AM8" i="67"/>
  <c r="AH8" i="67"/>
  <c r="AI8" i="67" s="1"/>
  <c r="AJ8" i="67" s="1"/>
  <c r="BI59" i="67"/>
  <c r="BI30" i="67"/>
  <c r="AP105" i="67"/>
  <c r="AP114" i="67" s="1"/>
  <c r="AP94" i="67"/>
  <c r="AP102" i="67" s="1"/>
  <c r="AP65" i="67"/>
  <c r="AP42" i="67"/>
  <c r="AP40" i="67"/>
  <c r="AP41" i="67"/>
  <c r="AP36" i="67"/>
  <c r="BU97" i="67"/>
  <c r="BG32" i="67"/>
  <c r="BG64" i="67"/>
  <c r="BG85" i="67" s="1"/>
  <c r="P32" i="67"/>
  <c r="P64" i="67"/>
  <c r="AO32" i="67"/>
  <c r="AO64" i="67"/>
  <c r="Y62" i="67"/>
  <c r="Y56" i="67"/>
  <c r="Y18" i="67"/>
  <c r="Y12" i="67"/>
  <c r="J40" i="67"/>
  <c r="AG32" i="67"/>
  <c r="AG64" i="67"/>
  <c r="AD63" i="67"/>
  <c r="BQ98" i="67"/>
  <c r="BN95" i="67"/>
  <c r="BO98" i="67"/>
  <c r="BO95" i="67" s="1"/>
  <c r="Y72" i="67"/>
  <c r="AM94" i="67"/>
  <c r="AM105" i="67"/>
  <c r="AM114" i="67" s="1"/>
  <c r="AM65" i="67"/>
  <c r="AM41" i="67"/>
  <c r="AM42" i="67"/>
  <c r="AM36" i="67"/>
  <c r="AM40" i="67"/>
  <c r="AS32" i="67"/>
  <c r="AS64" i="67"/>
  <c r="AS85" i="67" s="1"/>
  <c r="CA47" i="67"/>
  <c r="AQ73" i="67"/>
  <c r="AQ63" i="67"/>
  <c r="AQ59" i="67"/>
  <c r="AQ30" i="67"/>
  <c r="K32" i="67"/>
  <c r="K64" i="67"/>
  <c r="BB45" i="66"/>
  <c r="AY45" i="66"/>
  <c r="BC37" i="66"/>
  <c r="BY61" i="66"/>
  <c r="AS46" i="66"/>
  <c r="AM103" i="66"/>
  <c r="AH103" i="66"/>
  <c r="AI103" i="66" s="1"/>
  <c r="AJ103" i="66" s="1"/>
  <c r="AY85" i="66"/>
  <c r="BC33" i="66"/>
  <c r="AY86" i="66"/>
  <c r="AG8" i="66"/>
  <c r="AB8" i="66"/>
  <c r="AC8" i="66" s="1"/>
  <c r="AD8" i="66" s="1"/>
  <c r="BC84" i="66"/>
  <c r="AW36" i="66"/>
  <c r="BI122" i="66"/>
  <c r="BI126" i="66"/>
  <c r="BI124" i="66"/>
  <c r="BI123" i="66"/>
  <c r="BI121" i="66"/>
  <c r="BI119" i="66"/>
  <c r="BI117" i="66"/>
  <c r="BI120" i="66"/>
  <c r="BI106" i="66"/>
  <c r="BB85" i="66"/>
  <c r="Y115" i="66"/>
  <c r="Y100" i="66"/>
  <c r="Y18" i="66"/>
  <c r="BI22" i="66"/>
  <c r="BC122" i="66"/>
  <c r="BC126" i="66"/>
  <c r="BC124" i="66"/>
  <c r="BC123" i="66"/>
  <c r="BC121" i="66"/>
  <c r="BC119" i="66"/>
  <c r="BC117" i="66"/>
  <c r="BC120" i="66"/>
  <c r="BC106" i="66"/>
  <c r="AW38" i="66"/>
  <c r="AZ86" i="66"/>
  <c r="BC115" i="66"/>
  <c r="BA87" i="66"/>
  <c r="AW34" i="66"/>
  <c r="BH35" i="40"/>
  <c r="BH29" i="40"/>
  <c r="BH25" i="40"/>
  <c r="BH24" i="40"/>
  <c r="BH23" i="40"/>
  <c r="BH22" i="40"/>
  <c r="BH129" i="12"/>
  <c r="BI127" i="12"/>
  <c r="BI126" i="12"/>
  <c r="BH122" i="12"/>
  <c r="BH119" i="12"/>
  <c r="BH21" i="67" s="1"/>
  <c r="BH110" i="12"/>
  <c r="BH102" i="12" s="1"/>
  <c r="BH104" i="12"/>
  <c r="BI100" i="12"/>
  <c r="BH90" i="12"/>
  <c r="BH87" i="12"/>
  <c r="BH46" i="12"/>
  <c r="BH171" i="12" s="1"/>
  <c r="BH89" i="11"/>
  <c r="BH48" i="67" l="1"/>
  <c r="BN90" i="11"/>
  <c r="BF78" i="13"/>
  <c r="BI26" i="13"/>
  <c r="BI78" i="13" s="1"/>
  <c r="AA22" i="66"/>
  <c r="BH22" i="66"/>
  <c r="J41" i="67"/>
  <c r="J105" i="67"/>
  <c r="J114" i="67" s="1"/>
  <c r="BE78" i="13"/>
  <c r="V22" i="66"/>
  <c r="V27" i="13" s="1"/>
  <c r="DK11" i="13"/>
  <c r="W78" i="13"/>
  <c r="AC111" i="66"/>
  <c r="BG78" i="13"/>
  <c r="AA26" i="13"/>
  <c r="V26" i="13"/>
  <c r="BH26" i="13"/>
  <c r="DM11" i="13" s="1"/>
  <c r="U78" i="13"/>
  <c r="I22" i="66"/>
  <c r="J26" i="13"/>
  <c r="BI68" i="67"/>
  <c r="J36" i="67"/>
  <c r="J38" i="67" s="1"/>
  <c r="J42" i="67"/>
  <c r="J65" i="67"/>
  <c r="BB32" i="67"/>
  <c r="BB94" i="67" s="1"/>
  <c r="BB102" i="67" s="1"/>
  <c r="BH27" i="13"/>
  <c r="AD21" i="66"/>
  <c r="AB27" i="13"/>
  <c r="AC21" i="66"/>
  <c r="AC22" i="66" s="1"/>
  <c r="AB26" i="13"/>
  <c r="BI27" i="13"/>
  <c r="AO86" i="66"/>
  <c r="W27" i="13"/>
  <c r="Y21" i="66"/>
  <c r="BG27" i="13"/>
  <c r="BF27" i="13"/>
  <c r="BH68" i="67"/>
  <c r="AA168" i="12"/>
  <c r="K168" i="12"/>
  <c r="C168" i="12"/>
  <c r="AI168" i="12"/>
  <c r="AZ141" i="12"/>
  <c r="AZ165" i="12"/>
  <c r="AT141" i="12"/>
  <c r="AT165" i="12"/>
  <c r="AJ141" i="12"/>
  <c r="AJ165" i="12"/>
  <c r="AJ166" i="12" s="1"/>
  <c r="AJ167" i="12" s="1"/>
  <c r="BA141" i="12"/>
  <c r="BA165" i="12"/>
  <c r="BA166" i="12" s="1"/>
  <c r="BA167" i="12" s="1"/>
  <c r="R168" i="12"/>
  <c r="AD168" i="12"/>
  <c r="BF166" i="12"/>
  <c r="BF167" i="12" s="1"/>
  <c r="AT166" i="12"/>
  <c r="AT167" i="12" s="1"/>
  <c r="Q168" i="12"/>
  <c r="AS141" i="12"/>
  <c r="AS165" i="12"/>
  <c r="AS166" i="12" s="1"/>
  <c r="AS167" i="12" s="1"/>
  <c r="BG141" i="12"/>
  <c r="BG165" i="12"/>
  <c r="BG166" i="12" s="1"/>
  <c r="BG167" i="12" s="1"/>
  <c r="AU141" i="12"/>
  <c r="AU165" i="12"/>
  <c r="AU166" i="12" s="1"/>
  <c r="AU167" i="12" s="1"/>
  <c r="AY141" i="12"/>
  <c r="AY165" i="12"/>
  <c r="AY166" i="12" s="1"/>
  <c r="AY167" i="12" s="1"/>
  <c r="X168" i="12"/>
  <c r="AM141" i="12"/>
  <c r="AM165" i="12"/>
  <c r="AM166" i="12" s="1"/>
  <c r="AM167" i="12" s="1"/>
  <c r="AP141" i="12"/>
  <c r="AP165" i="12"/>
  <c r="AP166" i="12" s="1"/>
  <c r="AP167" i="12" s="1"/>
  <c r="G166" i="12"/>
  <c r="G167" i="12" s="1"/>
  <c r="BE141" i="12"/>
  <c r="BE165" i="12"/>
  <c r="BE166" i="12" s="1"/>
  <c r="BE167" i="12" s="1"/>
  <c r="M168" i="12"/>
  <c r="AV141" i="12"/>
  <c r="AV165" i="12"/>
  <c r="AV166" i="12" s="1"/>
  <c r="AV167" i="12" s="1"/>
  <c r="AZ166" i="12"/>
  <c r="AZ167" i="12" s="1"/>
  <c r="M21" i="66"/>
  <c r="R26" i="13"/>
  <c r="P26" i="13"/>
  <c r="Q27" i="13"/>
  <c r="K26" i="13"/>
  <c r="I26" i="13"/>
  <c r="J22" i="66"/>
  <c r="K22" i="66"/>
  <c r="Q26" i="13"/>
  <c r="AC105" i="66"/>
  <c r="AE67" i="13"/>
  <c r="E94" i="67"/>
  <c r="E102" i="67" s="1"/>
  <c r="AT11" i="66"/>
  <c r="AZ47" i="66" s="1"/>
  <c r="AZ50" i="66" s="1"/>
  <c r="AZ15" i="13" s="1"/>
  <c r="DG7" i="13" s="1"/>
  <c r="BB64" i="67"/>
  <c r="BB85" i="67" s="1"/>
  <c r="C65" i="67"/>
  <c r="S140" i="12"/>
  <c r="E42" i="67"/>
  <c r="AV41" i="67"/>
  <c r="R56" i="12"/>
  <c r="AD32" i="67"/>
  <c r="AD42" i="67" s="1"/>
  <c r="AK69" i="67"/>
  <c r="AE69" i="67"/>
  <c r="AD64" i="67"/>
  <c r="AK63" i="67"/>
  <c r="E40" i="67"/>
  <c r="E105" i="67"/>
  <c r="E114" i="67" s="1"/>
  <c r="E41" i="67"/>
  <c r="S59" i="67"/>
  <c r="S166" i="12"/>
  <c r="S167" i="12" s="1"/>
  <c r="E36" i="67"/>
  <c r="E38" i="67" s="1"/>
  <c r="S63" i="67"/>
  <c r="AK84" i="66"/>
  <c r="AQ46" i="66"/>
  <c r="BX61" i="66"/>
  <c r="CD61" i="66" s="1"/>
  <c r="AV40" i="67"/>
  <c r="AV105" i="67"/>
  <c r="AV114" i="67" s="1"/>
  <c r="AE30" i="67"/>
  <c r="AE32" i="67" s="1"/>
  <c r="AE65" i="67" s="1"/>
  <c r="CD67" i="66"/>
  <c r="CD77" i="13"/>
  <c r="CC91" i="13"/>
  <c r="CK67" i="66"/>
  <c r="CK77" i="13"/>
  <c r="CE61" i="66"/>
  <c r="CE74" i="13"/>
  <c r="CF67" i="66"/>
  <c r="CF77" i="13"/>
  <c r="CI67" i="66"/>
  <c r="CI77" i="13"/>
  <c r="CE91" i="13"/>
  <c r="AE55" i="67"/>
  <c r="BA41" i="67"/>
  <c r="AV36" i="67"/>
  <c r="AV69" i="40" s="1"/>
  <c r="AV42" i="67"/>
  <c r="AV65" i="67"/>
  <c r="BC59" i="67"/>
  <c r="AE57" i="12"/>
  <c r="CG47" i="67"/>
  <c r="CJ47" i="67"/>
  <c r="CK47" i="67" s="1"/>
  <c r="CL47" i="67" s="1"/>
  <c r="C41" i="67"/>
  <c r="C42" i="67"/>
  <c r="CW7" i="13"/>
  <c r="CX15" i="13"/>
  <c r="BW61" i="66"/>
  <c r="AI67" i="13"/>
  <c r="CV7" i="13"/>
  <c r="BC140" i="12"/>
  <c r="AZ46" i="66"/>
  <c r="BF49" i="66"/>
  <c r="AI18" i="66"/>
  <c r="C40" i="67"/>
  <c r="C94" i="67"/>
  <c r="C102" i="67" s="1"/>
  <c r="S30" i="67"/>
  <c r="S73" i="67"/>
  <c r="S57" i="12"/>
  <c r="S104" i="13"/>
  <c r="S105" i="13" s="1"/>
  <c r="C36" i="67"/>
  <c r="C38" i="67" s="1"/>
  <c r="R64" i="67"/>
  <c r="S24" i="67"/>
  <c r="AJ67" i="13"/>
  <c r="AB113" i="66"/>
  <c r="AC113" i="66"/>
  <c r="AC110" i="66"/>
  <c r="AC106" i="66"/>
  <c r="AC108" i="66"/>
  <c r="AC112" i="66"/>
  <c r="AC107" i="66"/>
  <c r="AC109" i="66"/>
  <c r="AB108" i="66"/>
  <c r="AB110" i="66"/>
  <c r="AB112" i="66"/>
  <c r="AB106" i="66"/>
  <c r="AB107" i="66"/>
  <c r="AB109" i="66"/>
  <c r="AO89" i="66"/>
  <c r="AK85" i="66"/>
  <c r="BA42" i="67"/>
  <c r="S69" i="67"/>
  <c r="M64" i="67"/>
  <c r="BA94" i="67"/>
  <c r="BA102" i="67" s="1"/>
  <c r="M32" i="67"/>
  <c r="M105" i="67" s="1"/>
  <c r="M114" i="67" s="1"/>
  <c r="BU61" i="66"/>
  <c r="BZ61" i="66"/>
  <c r="BT74" i="13"/>
  <c r="BO61" i="66"/>
  <c r="BI90" i="66"/>
  <c r="BI62" i="66"/>
  <c r="P22" i="66"/>
  <c r="AK73" i="67"/>
  <c r="R32" i="67"/>
  <c r="R105" i="67" s="1"/>
  <c r="R114" i="67" s="1"/>
  <c r="AE59" i="67"/>
  <c r="AE140" i="12"/>
  <c r="AE18" i="66"/>
  <c r="AI100" i="66"/>
  <c r="AK20" i="66"/>
  <c r="AI114" i="66"/>
  <c r="AI111" i="66" s="1"/>
  <c r="AB126" i="66"/>
  <c r="AB105" i="66"/>
  <c r="AT20" i="66"/>
  <c r="AP84" i="66"/>
  <c r="AE115" i="66"/>
  <c r="AK92" i="66"/>
  <c r="AK90" i="66"/>
  <c r="AN100" i="66"/>
  <c r="AO87" i="66"/>
  <c r="AK83" i="66"/>
  <c r="AK87" i="66"/>
  <c r="AN47" i="66"/>
  <c r="AN50" i="66" s="1"/>
  <c r="AN15" i="13" s="1"/>
  <c r="AK17" i="66"/>
  <c r="AK115" i="66" s="1"/>
  <c r="AK93" i="66"/>
  <c r="AK89" i="66"/>
  <c r="AJ21" i="66"/>
  <c r="AS47" i="66"/>
  <c r="AS50" i="66" s="1"/>
  <c r="AS15" i="13" s="1"/>
  <c r="AN18" i="66"/>
  <c r="AK47" i="66"/>
  <c r="AK50" i="66" s="1"/>
  <c r="AK15" i="13" s="1"/>
  <c r="BA36" i="67"/>
  <c r="BA38" i="67" s="1"/>
  <c r="BA105" i="67"/>
  <c r="BA114" i="67" s="1"/>
  <c r="BA40" i="67"/>
  <c r="AD26" i="13"/>
  <c r="BC104" i="13"/>
  <c r="BC105" i="13" s="1"/>
  <c r="BC73" i="67"/>
  <c r="BI63" i="67"/>
  <c r="BC30" i="67"/>
  <c r="BI73" i="67"/>
  <c r="BC63" i="67"/>
  <c r="BC57" i="12"/>
  <c r="BE105" i="67"/>
  <c r="BE114" i="67" s="1"/>
  <c r="AK86" i="66"/>
  <c r="AK88" i="66"/>
  <c r="AO92" i="66"/>
  <c r="AO93" i="66"/>
  <c r="AJ113" i="66"/>
  <c r="AM126" i="66"/>
  <c r="AM67" i="13"/>
  <c r="BO77" i="13"/>
  <c r="AH67" i="13"/>
  <c r="AG67" i="13"/>
  <c r="BE40" i="67"/>
  <c r="R22" i="66"/>
  <c r="BI21" i="67"/>
  <c r="AO47" i="66"/>
  <c r="AO50" i="66" s="1"/>
  <c r="AO15" i="13" s="1"/>
  <c r="CZ7" i="13" s="1"/>
  <c r="AO118" i="67"/>
  <c r="AO120" i="67" s="1"/>
  <c r="AO129" i="67" s="1"/>
  <c r="AY47" i="66"/>
  <c r="AY50" i="66" s="1"/>
  <c r="AY15" i="13" s="1"/>
  <c r="DF7" i="13" s="1"/>
  <c r="AP47" i="66"/>
  <c r="AP50" i="66" s="1"/>
  <c r="AP15" i="13" s="1"/>
  <c r="DA7" i="13" s="1"/>
  <c r="AP118" i="67"/>
  <c r="AP120" i="67" s="1"/>
  <c r="AP129" i="67" s="1"/>
  <c r="BE41" i="67"/>
  <c r="BE65" i="67"/>
  <c r="G32" i="67"/>
  <c r="G65" i="67" s="1"/>
  <c r="BE36" i="67"/>
  <c r="BE42" i="67"/>
  <c r="BE94" i="67"/>
  <c r="BE102" i="67" s="1"/>
  <c r="G64" i="67"/>
  <c r="AC40" i="67"/>
  <c r="AC65" i="67"/>
  <c r="AC36" i="67"/>
  <c r="AC38" i="67" s="1"/>
  <c r="AC105" i="67"/>
  <c r="AC114" i="67" s="1"/>
  <c r="AQ105" i="13"/>
  <c r="AC42" i="67"/>
  <c r="AC94" i="67"/>
  <c r="AC102" i="67" s="1"/>
  <c r="AK105" i="13"/>
  <c r="AP93" i="66"/>
  <c r="AQ15" i="66"/>
  <c r="AP92" i="66"/>
  <c r="AO85" i="66"/>
  <c r="BH92" i="66"/>
  <c r="BN65" i="66"/>
  <c r="BF92" i="66"/>
  <c r="BL65" i="66"/>
  <c r="BG92" i="66"/>
  <c r="BM65" i="66"/>
  <c r="BU68" i="66"/>
  <c r="BU23" i="13" s="1"/>
  <c r="CA67" i="66"/>
  <c r="AP89" i="66"/>
  <c r="AQ19" i="66"/>
  <c r="AP85" i="66"/>
  <c r="AP17" i="66"/>
  <c r="AP114" i="66" s="1"/>
  <c r="AP83" i="66"/>
  <c r="AP90" i="66"/>
  <c r="AP86" i="66"/>
  <c r="AO85" i="67"/>
  <c r="D38" i="67"/>
  <c r="BR35" i="67"/>
  <c r="BQ11" i="11"/>
  <c r="O22" i="66"/>
  <c r="O26" i="13"/>
  <c r="O65" i="67"/>
  <c r="O40" i="67"/>
  <c r="O105" i="67"/>
  <c r="O114" i="67" s="1"/>
  <c r="O36" i="67"/>
  <c r="O41" i="67"/>
  <c r="O94" i="67"/>
  <c r="O102" i="67" s="1"/>
  <c r="O42" i="67"/>
  <c r="J74" i="67"/>
  <c r="AE63" i="67"/>
  <c r="Y104" i="13"/>
  <c r="Y166" i="12"/>
  <c r="Y167" i="12" s="1"/>
  <c r="Y140" i="12"/>
  <c r="Y57" i="12"/>
  <c r="AP38" i="67"/>
  <c r="AP69" i="40"/>
  <c r="AO52" i="67"/>
  <c r="AN51" i="67"/>
  <c r="AN89" i="12" s="1"/>
  <c r="F39" i="67"/>
  <c r="F88" i="12"/>
  <c r="AM38" i="67"/>
  <c r="AM69" i="40"/>
  <c r="BQ10" i="11"/>
  <c r="BR34" i="67"/>
  <c r="BQ33" i="67"/>
  <c r="S21" i="66"/>
  <c r="AD105" i="13"/>
  <c r="AN85" i="67"/>
  <c r="AH41" i="67"/>
  <c r="AH94" i="67"/>
  <c r="AH102" i="67" s="1"/>
  <c r="AH42" i="67"/>
  <c r="AH65" i="67"/>
  <c r="AH40" i="67"/>
  <c r="AH105" i="67"/>
  <c r="AH114" i="67" s="1"/>
  <c r="AH36" i="67"/>
  <c r="BF94" i="67"/>
  <c r="BF102" i="67" s="1"/>
  <c r="BF42" i="67"/>
  <c r="BF105" i="67"/>
  <c r="BF114" i="67" s="1"/>
  <c r="BF36" i="67"/>
  <c r="BF65" i="67"/>
  <c r="BF40" i="67"/>
  <c r="BF41" i="67"/>
  <c r="L22" i="66"/>
  <c r="L26" i="13"/>
  <c r="AW105" i="13"/>
  <c r="AP87" i="66"/>
  <c r="AP88" i="66"/>
  <c r="AV11" i="66"/>
  <c r="Y26" i="13"/>
  <c r="AN20" i="66"/>
  <c r="AH100" i="66"/>
  <c r="AH18" i="66"/>
  <c r="AH114" i="66"/>
  <c r="AQ11" i="66"/>
  <c r="AA102" i="13"/>
  <c r="AA78" i="13"/>
  <c r="AO83" i="66"/>
  <c r="AO17" i="66"/>
  <c r="AO18" i="66" s="1"/>
  <c r="AO84" i="66"/>
  <c r="AO90" i="66"/>
  <c r="AO88" i="66"/>
  <c r="AM20" i="66"/>
  <c r="AG100" i="66"/>
  <c r="AG18" i="66"/>
  <c r="AG114" i="66"/>
  <c r="AS20" i="66"/>
  <c r="AM18" i="66"/>
  <c r="AM100" i="66"/>
  <c r="AU11" i="66"/>
  <c r="AU46" i="66"/>
  <c r="BA46" i="66"/>
  <c r="BC38" i="66"/>
  <c r="AW9" i="66"/>
  <c r="AV46" i="66"/>
  <c r="BE49" i="66"/>
  <c r="BC45" i="66"/>
  <c r="BH49" i="66"/>
  <c r="BI48" i="66"/>
  <c r="AJ111" i="66"/>
  <c r="AJ107" i="66"/>
  <c r="AJ109" i="66"/>
  <c r="AJ126" i="66"/>
  <c r="AJ112" i="66"/>
  <c r="AJ108" i="66"/>
  <c r="AJ106" i="66"/>
  <c r="AJ110" i="66"/>
  <c r="AJ105" i="66"/>
  <c r="AG105" i="67"/>
  <c r="AG114" i="67" s="1"/>
  <c r="AG94" i="67"/>
  <c r="AG65" i="67"/>
  <c r="AG42" i="67"/>
  <c r="AG40" i="67"/>
  <c r="AG41" i="67"/>
  <c r="AG36" i="67"/>
  <c r="AB94" i="67"/>
  <c r="AB102" i="67" s="1"/>
  <c r="AB65" i="67"/>
  <c r="AB105" i="67"/>
  <c r="AB114" i="67" s="1"/>
  <c r="AB42" i="67"/>
  <c r="AB40" i="67"/>
  <c r="AB36" i="67"/>
  <c r="AB41" i="67"/>
  <c r="W105" i="67"/>
  <c r="W114" i="67" s="1"/>
  <c r="W94" i="67"/>
  <c r="W102" i="67" s="1"/>
  <c r="W65" i="67"/>
  <c r="W42" i="67"/>
  <c r="W40" i="67"/>
  <c r="W41" i="67"/>
  <c r="W36" i="67"/>
  <c r="AU94" i="67"/>
  <c r="AU102" i="67" s="1"/>
  <c r="AU65" i="67"/>
  <c r="AU105" i="67"/>
  <c r="AU114" i="67" s="1"/>
  <c r="AU42" i="67"/>
  <c r="AU40" i="67"/>
  <c r="AU36" i="67"/>
  <c r="AU41" i="67"/>
  <c r="BH32" i="67"/>
  <c r="BH64" i="67"/>
  <c r="BH85" i="67" s="1"/>
  <c r="I94" i="67"/>
  <c r="I65" i="67"/>
  <c r="I105" i="67"/>
  <c r="I114" i="67" s="1"/>
  <c r="I42" i="67"/>
  <c r="I40" i="67"/>
  <c r="I36" i="67"/>
  <c r="I41" i="67"/>
  <c r="AJ65" i="67"/>
  <c r="AJ94" i="67"/>
  <c r="AJ102" i="67" s="1"/>
  <c r="AJ105" i="67"/>
  <c r="AJ114" i="67" s="1"/>
  <c r="AJ41" i="67"/>
  <c r="AJ40" i="67"/>
  <c r="AJ42" i="67"/>
  <c r="AJ36" i="67"/>
  <c r="AQ32" i="67"/>
  <c r="AQ64" i="67"/>
  <c r="AS105" i="67"/>
  <c r="AS114" i="67" s="1"/>
  <c r="AS94" i="67"/>
  <c r="AS65" i="67"/>
  <c r="AS40" i="67"/>
  <c r="AS42" i="67"/>
  <c r="AS41" i="67"/>
  <c r="AS36" i="67"/>
  <c r="Y69" i="67"/>
  <c r="Y55" i="67"/>
  <c r="AN105" i="67"/>
  <c r="AN114" i="67" s="1"/>
  <c r="AN65" i="67"/>
  <c r="AN94" i="67"/>
  <c r="AN102" i="67" s="1"/>
  <c r="AN40" i="67"/>
  <c r="AN42" i="67"/>
  <c r="AN41" i="67"/>
  <c r="AN36" i="67"/>
  <c r="L65" i="67"/>
  <c r="L105" i="67"/>
  <c r="L114" i="67" s="1"/>
  <c r="L94" i="67"/>
  <c r="L102" i="67" s="1"/>
  <c r="L41" i="67"/>
  <c r="L40" i="67"/>
  <c r="L42" i="67"/>
  <c r="L36" i="67"/>
  <c r="AM102" i="67"/>
  <c r="P105" i="67"/>
  <c r="P114" i="67" s="1"/>
  <c r="P94" i="67"/>
  <c r="P65" i="67"/>
  <c r="P40" i="67"/>
  <c r="P42" i="67"/>
  <c r="P41" i="67"/>
  <c r="P36" i="67"/>
  <c r="Y73" i="67"/>
  <c r="Y63" i="67"/>
  <c r="Y59" i="67"/>
  <c r="Y30" i="67"/>
  <c r="AO94" i="67"/>
  <c r="AO102" i="67" s="1"/>
  <c r="AO65" i="67"/>
  <c r="AO105" i="67"/>
  <c r="AO114" i="67" s="1"/>
  <c r="AO41" i="67"/>
  <c r="AO40" i="67"/>
  <c r="AO42" i="67"/>
  <c r="AO36" i="67"/>
  <c r="BG105" i="67"/>
  <c r="BG114" i="67" s="1"/>
  <c r="BG65" i="67"/>
  <c r="BG94" i="67"/>
  <c r="BG102" i="67" s="1"/>
  <c r="BG40" i="67"/>
  <c r="BG42" i="67"/>
  <c r="BG41" i="67"/>
  <c r="BG36" i="67"/>
  <c r="BI32" i="67"/>
  <c r="BI64" i="67"/>
  <c r="U105" i="67"/>
  <c r="U114" i="67" s="1"/>
  <c r="U65" i="67"/>
  <c r="U94" i="67"/>
  <c r="U40" i="67"/>
  <c r="U42" i="67"/>
  <c r="U41" i="67"/>
  <c r="U36" i="67"/>
  <c r="V94" i="67"/>
  <c r="V102" i="67" s="1"/>
  <c r="V65" i="67"/>
  <c r="V105" i="67"/>
  <c r="V114" i="67" s="1"/>
  <c r="V41" i="67"/>
  <c r="V40" i="67"/>
  <c r="V42" i="67"/>
  <c r="V36" i="67"/>
  <c r="AT105" i="67"/>
  <c r="AT114" i="67" s="1"/>
  <c r="AT65" i="67"/>
  <c r="AT94" i="67"/>
  <c r="AT102" i="67" s="1"/>
  <c r="AT41" i="67"/>
  <c r="AT40" i="67"/>
  <c r="AT42" i="67"/>
  <c r="AT36" i="67"/>
  <c r="AY65" i="67"/>
  <c r="AY105" i="67"/>
  <c r="AY114" i="67" s="1"/>
  <c r="AY94" i="67"/>
  <c r="AY41" i="67"/>
  <c r="AY40" i="67"/>
  <c r="AY42" i="67"/>
  <c r="AY36" i="67"/>
  <c r="Q65" i="67"/>
  <c r="Q105" i="67"/>
  <c r="Q114" i="67" s="1"/>
  <c r="Q94" i="67"/>
  <c r="Q102" i="67" s="1"/>
  <c r="Q41" i="67"/>
  <c r="Q40" i="67"/>
  <c r="Q42" i="67"/>
  <c r="Q36" i="67"/>
  <c r="BX97" i="67"/>
  <c r="BR98" i="67"/>
  <c r="BQ95" i="67"/>
  <c r="X32" i="67"/>
  <c r="X64" i="67"/>
  <c r="BW96" i="67"/>
  <c r="K105" i="67"/>
  <c r="K114" i="67" s="1"/>
  <c r="K94" i="67"/>
  <c r="K102" i="67" s="1"/>
  <c r="K65" i="67"/>
  <c r="K40" i="67"/>
  <c r="K42" i="67"/>
  <c r="K41" i="67"/>
  <c r="K36" i="67"/>
  <c r="AS8" i="67"/>
  <c r="AN8" i="67"/>
  <c r="AO8" i="67" s="1"/>
  <c r="AP8" i="67" s="1"/>
  <c r="AZ105" i="67"/>
  <c r="AZ114" i="67" s="1"/>
  <c r="AZ94" i="67"/>
  <c r="AZ102" i="67" s="1"/>
  <c r="AZ65" i="67"/>
  <c r="AZ42" i="67"/>
  <c r="AZ40" i="67"/>
  <c r="AZ41" i="67"/>
  <c r="AZ36" i="67"/>
  <c r="AA105" i="67"/>
  <c r="AA114" i="67" s="1"/>
  <c r="AA65" i="67"/>
  <c r="AA94" i="67"/>
  <c r="AA41" i="67"/>
  <c r="AA40" i="67"/>
  <c r="AA42" i="67"/>
  <c r="AA36" i="67"/>
  <c r="AK32" i="67"/>
  <c r="AK64" i="67"/>
  <c r="AI105" i="67"/>
  <c r="AI114" i="67" s="1"/>
  <c r="AI94" i="67"/>
  <c r="AI102" i="67" s="1"/>
  <c r="AI65" i="67"/>
  <c r="AI40" i="67"/>
  <c r="AI42" i="67"/>
  <c r="AI41" i="67"/>
  <c r="AI36" i="67"/>
  <c r="AW32" i="67"/>
  <c r="AW64" i="67"/>
  <c r="AE73" i="67"/>
  <c r="BC87" i="66"/>
  <c r="BC49" i="66"/>
  <c r="BC118" i="66"/>
  <c r="BC113" i="66"/>
  <c r="BB121" i="66"/>
  <c r="AY121" i="66"/>
  <c r="AZ121" i="66"/>
  <c r="BA121" i="66"/>
  <c r="AZ122" i="66"/>
  <c r="AY122" i="66"/>
  <c r="BB122" i="66"/>
  <c r="BA122" i="66"/>
  <c r="BN117" i="66"/>
  <c r="BE117" i="66"/>
  <c r="BM117" i="66"/>
  <c r="BH117" i="66"/>
  <c r="BO117" i="66"/>
  <c r="BL117" i="66" s="1"/>
  <c r="BF117" i="66"/>
  <c r="BG117" i="66"/>
  <c r="BO124" i="66"/>
  <c r="BF124" i="66"/>
  <c r="BN124" i="66"/>
  <c r="BE124" i="66"/>
  <c r="BM124" i="66"/>
  <c r="BH124" i="66"/>
  <c r="BG124" i="66"/>
  <c r="BC85" i="66"/>
  <c r="BC34" i="66"/>
  <c r="BB120" i="66"/>
  <c r="BA120" i="66"/>
  <c r="AY120" i="66"/>
  <c r="AZ120" i="66"/>
  <c r="BB123" i="66"/>
  <c r="BA123" i="66"/>
  <c r="AZ123" i="66"/>
  <c r="AY123" i="66"/>
  <c r="BN119" i="66"/>
  <c r="BE119" i="66"/>
  <c r="BM119" i="66"/>
  <c r="BH119" i="66"/>
  <c r="BO119" i="66"/>
  <c r="BL119" i="66" s="1"/>
  <c r="BF119" i="66"/>
  <c r="BG119" i="66"/>
  <c r="BO126" i="66"/>
  <c r="BN126" i="66"/>
  <c r="BC86" i="66"/>
  <c r="BC36" i="66"/>
  <c r="AZ117" i="66"/>
  <c r="AY117" i="66"/>
  <c r="BA117" i="66"/>
  <c r="BB117" i="66"/>
  <c r="BA124" i="66"/>
  <c r="AZ124" i="66"/>
  <c r="AY124" i="66"/>
  <c r="BB124" i="66"/>
  <c r="BB46" i="66"/>
  <c r="BI113" i="66"/>
  <c r="BI118" i="66"/>
  <c r="BG121" i="66"/>
  <c r="BN121" i="66"/>
  <c r="BM121" i="66"/>
  <c r="BH121" i="66"/>
  <c r="BF121" i="66"/>
  <c r="BO121" i="66"/>
  <c r="BL121" i="66" s="1"/>
  <c r="BE121" i="66"/>
  <c r="BN122" i="66"/>
  <c r="BE122" i="66"/>
  <c r="BM122" i="66"/>
  <c r="BH122" i="66"/>
  <c r="BG122" i="66"/>
  <c r="BO122" i="66"/>
  <c r="BL122" i="66" s="1"/>
  <c r="BF122" i="66"/>
  <c r="AY46" i="66"/>
  <c r="AZ119" i="66"/>
  <c r="AY119" i="66"/>
  <c r="BA119" i="66"/>
  <c r="BB119" i="66"/>
  <c r="BN120" i="66"/>
  <c r="BG120" i="66"/>
  <c r="BF120" i="66"/>
  <c r="BM120" i="66"/>
  <c r="BH120" i="66"/>
  <c r="BE120" i="66"/>
  <c r="BO120" i="66"/>
  <c r="BL120" i="66" s="1"/>
  <c r="BG123" i="66"/>
  <c r="BO123" i="66"/>
  <c r="BL123" i="66" s="1"/>
  <c r="BF123" i="66"/>
  <c r="BN123" i="66"/>
  <c r="BE123" i="66"/>
  <c r="BM123" i="66"/>
  <c r="BH123" i="66"/>
  <c r="AH8" i="66"/>
  <c r="AI8" i="66" s="1"/>
  <c r="AJ8" i="66" s="1"/>
  <c r="AM8" i="66"/>
  <c r="AS103" i="66"/>
  <c r="AN103" i="66"/>
  <c r="AO103" i="66" s="1"/>
  <c r="AP103" i="66" s="1"/>
  <c r="BH37" i="40"/>
  <c r="BH47" i="12"/>
  <c r="BB65" i="67" l="1"/>
  <c r="BB36" i="67"/>
  <c r="V78" i="13"/>
  <c r="AA27" i="13"/>
  <c r="J78" i="13"/>
  <c r="AZ67" i="13"/>
  <c r="AT118" i="67"/>
  <c r="AT120" i="67" s="1"/>
  <c r="AT129" i="67" s="1"/>
  <c r="AT47" i="66"/>
  <c r="AT50" i="66" s="1"/>
  <c r="AT15" i="13" s="1"/>
  <c r="DC7" i="13" s="1"/>
  <c r="DG15" i="13" s="1"/>
  <c r="P78" i="13"/>
  <c r="I27" i="13"/>
  <c r="J102" i="13"/>
  <c r="BH78" i="13"/>
  <c r="Y22" i="66"/>
  <c r="M26" i="13"/>
  <c r="AD22" i="66"/>
  <c r="BB42" i="67"/>
  <c r="BB105" i="67"/>
  <c r="BB114" i="67" s="1"/>
  <c r="BB41" i="67"/>
  <c r="BB40" i="67"/>
  <c r="BB74" i="67" s="1"/>
  <c r="AJ26" i="13"/>
  <c r="CW11" i="13" s="1"/>
  <c r="AC27" i="13"/>
  <c r="AG21" i="66"/>
  <c r="AE21" i="66"/>
  <c r="AE22" i="66" s="1"/>
  <c r="AC26" i="13"/>
  <c r="AH21" i="66"/>
  <c r="AI21" i="66"/>
  <c r="AI26" i="13" s="1"/>
  <c r="CV11" i="13" s="1"/>
  <c r="AO21" i="66"/>
  <c r="AO22" i="66" s="1"/>
  <c r="AB78" i="13"/>
  <c r="AD105" i="67"/>
  <c r="AD114" i="67" s="1"/>
  <c r="I78" i="13"/>
  <c r="AD36" i="67"/>
  <c r="AD38" i="67" s="1"/>
  <c r="AD39" i="67" s="1"/>
  <c r="AV168" i="12"/>
  <c r="BE168" i="12"/>
  <c r="G168" i="12"/>
  <c r="AY168" i="12"/>
  <c r="AU168" i="12"/>
  <c r="BG168" i="12"/>
  <c r="BA168" i="12"/>
  <c r="BH141" i="12"/>
  <c r="BH165" i="12"/>
  <c r="BH166" i="12" s="1"/>
  <c r="BH167" i="12" s="1"/>
  <c r="AE166" i="12"/>
  <c r="AE167" i="12" s="1"/>
  <c r="AS168" i="12"/>
  <c r="AP168" i="12"/>
  <c r="BF168" i="12"/>
  <c r="AN141" i="12"/>
  <c r="AN165" i="12"/>
  <c r="AN166" i="12" s="1"/>
  <c r="AN167" i="12" s="1"/>
  <c r="M22" i="66"/>
  <c r="M27" i="13" s="1"/>
  <c r="Y168" i="12"/>
  <c r="AO141" i="12"/>
  <c r="AO165" i="12"/>
  <c r="AO166" i="12" s="1"/>
  <c r="AO167" i="12" s="1"/>
  <c r="X102" i="13"/>
  <c r="R78" i="13"/>
  <c r="S168" i="12"/>
  <c r="BB141" i="12"/>
  <c r="BB165" i="12"/>
  <c r="AM168" i="12"/>
  <c r="AZ168" i="12"/>
  <c r="AT168" i="12"/>
  <c r="BB166" i="12"/>
  <c r="BB167" i="12" s="1"/>
  <c r="AJ168" i="12"/>
  <c r="L27" i="13"/>
  <c r="O27" i="13"/>
  <c r="R27" i="13"/>
  <c r="Q78" i="13"/>
  <c r="J27" i="13"/>
  <c r="AD94" i="67"/>
  <c r="AD102" i="67" s="1"/>
  <c r="P27" i="13"/>
  <c r="K27" i="13"/>
  <c r="K78" i="13"/>
  <c r="K102" i="13"/>
  <c r="CZ15" i="13"/>
  <c r="AD41" i="67"/>
  <c r="AD40" i="67"/>
  <c r="AD65" i="67"/>
  <c r="AE64" i="67"/>
  <c r="S64" i="67"/>
  <c r="Y105" i="13"/>
  <c r="AV74" i="67"/>
  <c r="R42" i="67"/>
  <c r="AV38" i="67"/>
  <c r="CD74" i="13"/>
  <c r="CD88" i="13" s="1"/>
  <c r="AQ89" i="66"/>
  <c r="CG67" i="66"/>
  <c r="CG68" i="66" s="1"/>
  <c r="CG23" i="13" s="1"/>
  <c r="AJ22" i="66"/>
  <c r="BK124" i="66"/>
  <c r="BL124" i="66"/>
  <c r="R36" i="67"/>
  <c r="R94" i="67"/>
  <c r="R102" i="67" s="1"/>
  <c r="AI113" i="66"/>
  <c r="AQ84" i="66"/>
  <c r="CC61" i="66"/>
  <c r="CC74" i="13"/>
  <c r="CI91" i="13"/>
  <c r="CF91" i="13"/>
  <c r="CK61" i="66"/>
  <c r="CK74" i="13"/>
  <c r="CK91" i="13"/>
  <c r="CJ67" i="66"/>
  <c r="CJ77" i="13"/>
  <c r="CF74" i="13"/>
  <c r="CF61" i="66"/>
  <c r="CL67" i="66"/>
  <c r="CL77" i="13"/>
  <c r="CE88" i="13"/>
  <c r="CJ61" i="66"/>
  <c r="CJ74" i="13"/>
  <c r="CD91" i="13"/>
  <c r="BE38" i="67"/>
  <c r="CM47" i="67"/>
  <c r="DA15" i="13"/>
  <c r="S61" i="67"/>
  <c r="M36" i="67"/>
  <c r="AS67" i="13"/>
  <c r="DB7" i="13"/>
  <c r="DB15" i="13" s="1"/>
  <c r="CY7" i="13"/>
  <c r="CY15" i="13" s="1"/>
  <c r="G94" i="67"/>
  <c r="G102" i="67" s="1"/>
  <c r="BE69" i="40"/>
  <c r="S32" i="67"/>
  <c r="S105" i="67" s="1"/>
  <c r="S114" i="67" s="1"/>
  <c r="S56" i="12"/>
  <c r="M65" i="67"/>
  <c r="G105" i="67"/>
  <c r="G114" i="67" s="1"/>
  <c r="BI105" i="13"/>
  <c r="AK18" i="66"/>
  <c r="AI105" i="66"/>
  <c r="AI107" i="66"/>
  <c r="AI112" i="66"/>
  <c r="AI126" i="66"/>
  <c r="M40" i="67"/>
  <c r="M42" i="67"/>
  <c r="BA69" i="40"/>
  <c r="M41" i="67"/>
  <c r="BK119" i="66"/>
  <c r="BK120" i="66"/>
  <c r="BK122" i="66"/>
  <c r="BK121" i="66"/>
  <c r="AN67" i="13"/>
  <c r="BK123" i="66"/>
  <c r="BK117" i="66"/>
  <c r="G42" i="67"/>
  <c r="CA61" i="66"/>
  <c r="BO62" i="66"/>
  <c r="BU62" i="66"/>
  <c r="BU20" i="13" s="1"/>
  <c r="BC64" i="67"/>
  <c r="BC85" i="67" s="1"/>
  <c r="AE40" i="67"/>
  <c r="R41" i="67"/>
  <c r="R40" i="67"/>
  <c r="R65" i="67"/>
  <c r="AI109" i="66"/>
  <c r="AI106" i="66"/>
  <c r="AI108" i="66"/>
  <c r="AI110" i="66"/>
  <c r="AK100" i="66"/>
  <c r="AQ8" i="13"/>
  <c r="AQ68" i="13" s="1"/>
  <c r="AO100" i="66"/>
  <c r="AQ10" i="13"/>
  <c r="AQ70" i="13" s="1"/>
  <c r="AN21" i="66"/>
  <c r="AQ86" i="66"/>
  <c r="AP96" i="66"/>
  <c r="AP97" i="66" s="1"/>
  <c r="AP100" i="66" s="1"/>
  <c r="AK67" i="13"/>
  <c r="BC32" i="67"/>
  <c r="AD102" i="13"/>
  <c r="AD78" i="13"/>
  <c r="AE41" i="67"/>
  <c r="G40" i="67"/>
  <c r="AE36" i="67"/>
  <c r="AE38" i="67" s="1"/>
  <c r="AE105" i="67"/>
  <c r="AE114" i="67" s="1"/>
  <c r="G41" i="67"/>
  <c r="AE42" i="67"/>
  <c r="G36" i="67"/>
  <c r="BA74" i="67"/>
  <c r="AQ9" i="13"/>
  <c r="AQ69" i="13" s="1"/>
  <c r="AQ11" i="13"/>
  <c r="AQ20" i="66"/>
  <c r="BI125" i="66"/>
  <c r="BC125" i="66"/>
  <c r="AQ74" i="13"/>
  <c r="AP126" i="66"/>
  <c r="AP18" i="66"/>
  <c r="AQ83" i="66"/>
  <c r="AQ92" i="66"/>
  <c r="AQ93" i="66"/>
  <c r="AQ73" i="13"/>
  <c r="AP67" i="13"/>
  <c r="AY67" i="13"/>
  <c r="AO67" i="13"/>
  <c r="AQ17" i="66"/>
  <c r="AQ114" i="66" s="1"/>
  <c r="AQ90" i="66"/>
  <c r="AQ87" i="66"/>
  <c r="AQ88" i="66"/>
  <c r="AQ85" i="66"/>
  <c r="BB47" i="66"/>
  <c r="BB50" i="66" s="1"/>
  <c r="BB15" i="13" s="1"/>
  <c r="DI7" i="13" s="1"/>
  <c r="AV118" i="67"/>
  <c r="AV120" i="67" s="1"/>
  <c r="AV129" i="67" s="1"/>
  <c r="AV47" i="66"/>
  <c r="AV50" i="66" s="1"/>
  <c r="AV15" i="13" s="1"/>
  <c r="DE7" i="13" s="1"/>
  <c r="DE15" i="13" s="1"/>
  <c r="AU47" i="66"/>
  <c r="AU50" i="66" s="1"/>
  <c r="AU15" i="13" s="1"/>
  <c r="DD7" i="13" s="1"/>
  <c r="DD15" i="13" s="1"/>
  <c r="AU118" i="67"/>
  <c r="AU120" i="67" s="1"/>
  <c r="AU129" i="67" s="1"/>
  <c r="AQ47" i="66"/>
  <c r="AQ50" i="66" s="1"/>
  <c r="AQ15" i="13" s="1"/>
  <c r="AQ118" i="67"/>
  <c r="AQ120" i="67" s="1"/>
  <c r="AQ129" i="67" s="1"/>
  <c r="AC74" i="67"/>
  <c r="AE105" i="13"/>
  <c r="CA68" i="66"/>
  <c r="CA23" i="13" s="1"/>
  <c r="BT65" i="66"/>
  <c r="BS65" i="66"/>
  <c r="BR65" i="66"/>
  <c r="AI38" i="67"/>
  <c r="AI69" i="40"/>
  <c r="AA74" i="67"/>
  <c r="AY38" i="67"/>
  <c r="AY69" i="40"/>
  <c r="AT38" i="67"/>
  <c r="AT69" i="40"/>
  <c r="BG74" i="67"/>
  <c r="AO38" i="67"/>
  <c r="AO69" i="40"/>
  <c r="AS74" i="67"/>
  <c r="AQ85" i="67"/>
  <c r="AU38" i="67"/>
  <c r="AU69" i="40"/>
  <c r="AG38" i="67"/>
  <c r="AG69" i="40"/>
  <c r="AH38" i="67"/>
  <c r="AH69" i="40"/>
  <c r="C39" i="67"/>
  <c r="C88" i="12"/>
  <c r="S22" i="66"/>
  <c r="S26" i="13"/>
  <c r="AC39" i="67"/>
  <c r="AC88" i="12"/>
  <c r="AM39" i="67"/>
  <c r="AM88" i="12"/>
  <c r="BA39" i="67"/>
  <c r="BA88" i="12"/>
  <c r="O78" i="13"/>
  <c r="BS35" i="67"/>
  <c r="BR11" i="11"/>
  <c r="AZ38" i="67"/>
  <c r="AZ69" i="40"/>
  <c r="K74" i="67"/>
  <c r="Q38" i="67"/>
  <c r="BB38" i="67"/>
  <c r="BB69" i="40"/>
  <c r="U74" i="67"/>
  <c r="BG38" i="67"/>
  <c r="BG69" i="40"/>
  <c r="L74" i="67"/>
  <c r="AS38" i="67"/>
  <c r="AS69" i="40"/>
  <c r="W38" i="67"/>
  <c r="AB38" i="67"/>
  <c r="L78" i="13"/>
  <c r="AO51" i="67"/>
  <c r="AO89" i="12" s="1"/>
  <c r="AP52" i="67"/>
  <c r="AQ52" i="67" s="1"/>
  <c r="AW85" i="67"/>
  <c r="AA38" i="67"/>
  <c r="K38" i="67"/>
  <c r="BE74" i="67"/>
  <c r="AT74" i="67"/>
  <c r="U38" i="67"/>
  <c r="P74" i="67"/>
  <c r="AN74" i="67"/>
  <c r="AJ38" i="67"/>
  <c r="AJ69" i="40"/>
  <c r="I38" i="67"/>
  <c r="AP39" i="67"/>
  <c r="AP88" i="12"/>
  <c r="AI74" i="67"/>
  <c r="AK85" i="67"/>
  <c r="V38" i="67"/>
  <c r="BI85" i="67"/>
  <c r="P38" i="67"/>
  <c r="L38" i="67"/>
  <c r="AN38" i="67"/>
  <c r="AN69" i="40"/>
  <c r="BF38" i="67"/>
  <c r="BF69" i="40"/>
  <c r="E39" i="67"/>
  <c r="E88" i="12"/>
  <c r="BR10" i="11"/>
  <c r="BR33" i="67"/>
  <c r="BS34" i="67"/>
  <c r="O38" i="67"/>
  <c r="D39" i="67"/>
  <c r="D88" i="12"/>
  <c r="J39" i="67"/>
  <c r="J88" i="12"/>
  <c r="AW46" i="66"/>
  <c r="AO114" i="66"/>
  <c r="AH106" i="66"/>
  <c r="AH112" i="66"/>
  <c r="AH126" i="66"/>
  <c r="AH107" i="66"/>
  <c r="AH105" i="66"/>
  <c r="AH110" i="66"/>
  <c r="AH113" i="66"/>
  <c r="AH109" i="66"/>
  <c r="AH111" i="66"/>
  <c r="AH108" i="66"/>
  <c r="Y78" i="13"/>
  <c r="AW19" i="66"/>
  <c r="AU20" i="66"/>
  <c r="AW11" i="66"/>
  <c r="AG126" i="66"/>
  <c r="AG107" i="66"/>
  <c r="AG113" i="66"/>
  <c r="AG109" i="66"/>
  <c r="AG110" i="66"/>
  <c r="AG108" i="66"/>
  <c r="AG111" i="66"/>
  <c r="AG112" i="66"/>
  <c r="AG106" i="66"/>
  <c r="AG105" i="66"/>
  <c r="AM21" i="66"/>
  <c r="BA47" i="66"/>
  <c r="BA50" i="66" s="1"/>
  <c r="BA15" i="13" s="1"/>
  <c r="DH7" i="13" s="1"/>
  <c r="BC46" i="66"/>
  <c r="BF111" i="66"/>
  <c r="BB107" i="66"/>
  <c r="BE111" i="66"/>
  <c r="BE108" i="66"/>
  <c r="AY107" i="66"/>
  <c r="BF110" i="66"/>
  <c r="BF109" i="66"/>
  <c r="BG109" i="66"/>
  <c r="BA112" i="66"/>
  <c r="AZ105" i="66"/>
  <c r="BE107" i="66"/>
  <c r="AZ111" i="66"/>
  <c r="AY108" i="66"/>
  <c r="BA110" i="66"/>
  <c r="BA109" i="66"/>
  <c r="BG111" i="66"/>
  <c r="BH108" i="66"/>
  <c r="BG108" i="66"/>
  <c r="AZ107" i="66"/>
  <c r="BH110" i="66"/>
  <c r="BE109" i="66"/>
  <c r="BH109" i="66"/>
  <c r="BB112" i="66"/>
  <c r="BB105" i="66"/>
  <c r="BA111" i="66"/>
  <c r="BA108" i="66"/>
  <c r="BH112" i="66"/>
  <c r="BF112" i="66"/>
  <c r="BG105" i="66"/>
  <c r="BH105" i="66"/>
  <c r="BB110" i="66"/>
  <c r="AZ109" i="66"/>
  <c r="BH111" i="66"/>
  <c r="AY112" i="66"/>
  <c r="BA105" i="66"/>
  <c r="BG107" i="66"/>
  <c r="BH107" i="66"/>
  <c r="BB111" i="66"/>
  <c r="BB108" i="66"/>
  <c r="BF105" i="66"/>
  <c r="AY110" i="66"/>
  <c r="AY109" i="66"/>
  <c r="BF108" i="66"/>
  <c r="BA107" i="66"/>
  <c r="BG110" i="66"/>
  <c r="BE110" i="66"/>
  <c r="AZ112" i="66"/>
  <c r="AY105" i="66"/>
  <c r="BF107" i="66"/>
  <c r="AY111" i="66"/>
  <c r="AZ108" i="66"/>
  <c r="BG112" i="66"/>
  <c r="BE112" i="66"/>
  <c r="BE105" i="66"/>
  <c r="AZ110" i="66"/>
  <c r="BB109" i="66"/>
  <c r="AO74" i="67"/>
  <c r="AQ94" i="67"/>
  <c r="AQ102" i="67" s="1"/>
  <c r="AQ105" i="67"/>
  <c r="AQ114" i="67" s="1"/>
  <c r="AQ65" i="67"/>
  <c r="AQ41" i="67"/>
  <c r="AQ42" i="67"/>
  <c r="AQ40" i="67"/>
  <c r="AQ36" i="67"/>
  <c r="BH94" i="67"/>
  <c r="BH65" i="67"/>
  <c r="BH105" i="67"/>
  <c r="BH114" i="67" s="1"/>
  <c r="BH41" i="67"/>
  <c r="BH40" i="67"/>
  <c r="BH42" i="67"/>
  <c r="BH36" i="67"/>
  <c r="AG74" i="67"/>
  <c r="AU74" i="67"/>
  <c r="AW105" i="67"/>
  <c r="AW114" i="67" s="1"/>
  <c r="AW65" i="67"/>
  <c r="AW40" i="67"/>
  <c r="AW42" i="67"/>
  <c r="AW41" i="67"/>
  <c r="AW36" i="67"/>
  <c r="AA102" i="67"/>
  <c r="X94" i="67"/>
  <c r="X102" i="67" s="1"/>
  <c r="X105" i="67"/>
  <c r="X114" i="67" s="1"/>
  <c r="X65" i="67"/>
  <c r="X41" i="67"/>
  <c r="X42" i="67"/>
  <c r="X40" i="67"/>
  <c r="X36" i="67"/>
  <c r="BS98" i="67"/>
  <c r="BR95" i="67"/>
  <c r="AY74" i="67"/>
  <c r="V74" i="67"/>
  <c r="BI105" i="67"/>
  <c r="BI114" i="67" s="1"/>
  <c r="BI65" i="67"/>
  <c r="BI42" i="67"/>
  <c r="BI40" i="67"/>
  <c r="BI41" i="67"/>
  <c r="BI36" i="67"/>
  <c r="Y32" i="67"/>
  <c r="Y64" i="67"/>
  <c r="I74" i="67"/>
  <c r="O74" i="67"/>
  <c r="I102" i="67"/>
  <c r="M94" i="67"/>
  <c r="M102" i="67" s="1"/>
  <c r="AB74" i="67"/>
  <c r="AH74" i="67"/>
  <c r="AY102" i="67"/>
  <c r="BC94" i="67"/>
  <c r="BC102" i="67" s="1"/>
  <c r="AM74" i="67"/>
  <c r="AK105" i="67"/>
  <c r="AK114" i="67" s="1"/>
  <c r="AK65" i="67"/>
  <c r="AK42" i="67"/>
  <c r="AK40" i="67"/>
  <c r="AK36" i="67"/>
  <c r="AK41" i="67"/>
  <c r="AZ74" i="67"/>
  <c r="BF74" i="67"/>
  <c r="AY8" i="67"/>
  <c r="AT8" i="67"/>
  <c r="AU8" i="67" s="1"/>
  <c r="AV8" i="67" s="1"/>
  <c r="BX96" i="67"/>
  <c r="BY97" i="67"/>
  <c r="Q74" i="67"/>
  <c r="U102" i="67"/>
  <c r="P102" i="67"/>
  <c r="AS102" i="67"/>
  <c r="AW94" i="67"/>
  <c r="AW102" i="67" s="1"/>
  <c r="W74" i="67"/>
  <c r="AP74" i="67"/>
  <c r="AG102" i="67"/>
  <c r="AK94" i="67"/>
  <c r="AK102" i="67" s="1"/>
  <c r="BS117" i="66"/>
  <c r="BR117" i="66"/>
  <c r="BT117" i="66"/>
  <c r="BU117" i="66"/>
  <c r="BQ117" i="66"/>
  <c r="BS119" i="66"/>
  <c r="BR119" i="66"/>
  <c r="BT119" i="66"/>
  <c r="BU119" i="66"/>
  <c r="BQ119" i="66"/>
  <c r="BT126" i="66"/>
  <c r="BS126" i="66"/>
  <c r="BR126" i="66"/>
  <c r="BU126" i="66"/>
  <c r="BQ126" i="66"/>
  <c r="BU123" i="66"/>
  <c r="BQ123" i="66"/>
  <c r="BT123" i="66"/>
  <c r="BS123" i="66"/>
  <c r="BR123" i="66"/>
  <c r="BI49" i="66"/>
  <c r="AY103" i="66"/>
  <c r="AT103" i="66"/>
  <c r="AU103" i="66" s="1"/>
  <c r="AV103" i="66" s="1"/>
  <c r="AS8" i="66"/>
  <c r="AN8" i="66"/>
  <c r="AO8" i="66" s="1"/>
  <c r="AP8" i="66" s="1"/>
  <c r="BS120" i="66"/>
  <c r="BR120" i="66"/>
  <c r="BQ120" i="66"/>
  <c r="BT120" i="66"/>
  <c r="BU120" i="66"/>
  <c r="BS122" i="66"/>
  <c r="BR122" i="66"/>
  <c r="BU122" i="66"/>
  <c r="BQ122" i="66"/>
  <c r="BT122" i="66"/>
  <c r="BU121" i="66"/>
  <c r="BQ121" i="66"/>
  <c r="BS121" i="66"/>
  <c r="BR121" i="66"/>
  <c r="BT121" i="66"/>
  <c r="BG118" i="66"/>
  <c r="BO118" i="66"/>
  <c r="BL118" i="66" s="1"/>
  <c r="BF118" i="66"/>
  <c r="BM118" i="66"/>
  <c r="BH118" i="66"/>
  <c r="BE118" i="66"/>
  <c r="BN118" i="66"/>
  <c r="BT124" i="66"/>
  <c r="BS124" i="66"/>
  <c r="BR124" i="66"/>
  <c r="BU124" i="66"/>
  <c r="BQ124" i="66"/>
  <c r="BB118" i="66"/>
  <c r="BA118" i="66"/>
  <c r="AY118" i="66"/>
  <c r="AZ118" i="66"/>
  <c r="AT67" i="13" l="1"/>
  <c r="R38" i="67"/>
  <c r="AD88" i="12"/>
  <c r="V102" i="13"/>
  <c r="AB102" i="13"/>
  <c r="M78" i="13"/>
  <c r="AH26" i="13"/>
  <c r="CU11" i="13" s="1"/>
  <c r="Y27" i="13"/>
  <c r="AO26" i="13"/>
  <c r="CZ11" i="13" s="1"/>
  <c r="AG22" i="66"/>
  <c r="AG27" i="13" s="1"/>
  <c r="M102" i="13"/>
  <c r="AD27" i="13"/>
  <c r="P102" i="13"/>
  <c r="AG26" i="13"/>
  <c r="CT11" i="13" s="1"/>
  <c r="AH22" i="66"/>
  <c r="AJ78" i="13"/>
  <c r="AJ102" i="13"/>
  <c r="AV39" i="67"/>
  <c r="AW8" i="13"/>
  <c r="AO27" i="13"/>
  <c r="AP21" i="66"/>
  <c r="AE27" i="13"/>
  <c r="AK21" i="66"/>
  <c r="AJ27" i="13"/>
  <c r="AO68" i="67"/>
  <c r="AC102" i="13"/>
  <c r="AC78" i="13"/>
  <c r="AW20" i="66"/>
  <c r="AI22" i="66"/>
  <c r="AE26" i="13"/>
  <c r="AJ74" i="67"/>
  <c r="AE94" i="67"/>
  <c r="AE102" i="67" s="1"/>
  <c r="BH168" i="12"/>
  <c r="AE168" i="12"/>
  <c r="BI141" i="12"/>
  <c r="BI165" i="12"/>
  <c r="BI166" i="12" s="1"/>
  <c r="BI167" i="12" s="1"/>
  <c r="AK141" i="12"/>
  <c r="AK165" i="12"/>
  <c r="AK166" i="12" s="1"/>
  <c r="AK167" i="12" s="1"/>
  <c r="BC141" i="12"/>
  <c r="BC165" i="12"/>
  <c r="BC166" i="12" s="1"/>
  <c r="BC167" i="12" s="1"/>
  <c r="AN168" i="12"/>
  <c r="AW141" i="12"/>
  <c r="AW165" i="12"/>
  <c r="AW166" i="12" s="1"/>
  <c r="AW167" i="12" s="1"/>
  <c r="AQ141" i="12"/>
  <c r="AQ165" i="12"/>
  <c r="AQ166" i="12" s="1"/>
  <c r="AQ167" i="12" s="1"/>
  <c r="BB168" i="12"/>
  <c r="AO168" i="12"/>
  <c r="Q102" i="13"/>
  <c r="W102" i="13"/>
  <c r="S27" i="13"/>
  <c r="S40" i="67"/>
  <c r="S74" i="67" s="1"/>
  <c r="S65" i="67"/>
  <c r="S42" i="67"/>
  <c r="BN125" i="66"/>
  <c r="AV88" i="12"/>
  <c r="BE88" i="12"/>
  <c r="BE39" i="67"/>
  <c r="M38" i="67"/>
  <c r="M39" i="67" s="1"/>
  <c r="AN26" i="13"/>
  <c r="CY11" i="13" s="1"/>
  <c r="AN68" i="67"/>
  <c r="AM22" i="66"/>
  <c r="AM68" i="67"/>
  <c r="AP22" i="66"/>
  <c r="AP68" i="67"/>
  <c r="AK22" i="66"/>
  <c r="AK68" i="67"/>
  <c r="AI102" i="13"/>
  <c r="S94" i="67"/>
  <c r="S102" i="67" s="1"/>
  <c r="S36" i="67"/>
  <c r="S41" i="67"/>
  <c r="CJ88" i="13"/>
  <c r="CL74" i="13"/>
  <c r="CL61" i="66"/>
  <c r="CJ91" i="13"/>
  <c r="CI61" i="66"/>
  <c r="CI74" i="13"/>
  <c r="CG61" i="66"/>
  <c r="CL91" i="13"/>
  <c r="CG48" i="13"/>
  <c r="CM67" i="66"/>
  <c r="CM68" i="66" s="1"/>
  <c r="CF88" i="13"/>
  <c r="CG77" i="13"/>
  <c r="CK88" i="13"/>
  <c r="CC88" i="13"/>
  <c r="DH15" i="13"/>
  <c r="DF15" i="13"/>
  <c r="AI78" i="13"/>
  <c r="BC36" i="67"/>
  <c r="DI15" i="13"/>
  <c r="DC15" i="13"/>
  <c r="AN22" i="66"/>
  <c r="AK26" i="13"/>
  <c r="AK78" i="13" s="1"/>
  <c r="AP99" i="66"/>
  <c r="BH125" i="66"/>
  <c r="BH113" i="66" s="1"/>
  <c r="BG125" i="66"/>
  <c r="BG113" i="66" s="1"/>
  <c r="AV99" i="66"/>
  <c r="AQ96" i="66"/>
  <c r="AW99" i="66" s="1"/>
  <c r="CA62" i="66"/>
  <c r="CA20" i="13" s="1"/>
  <c r="BC105" i="67"/>
  <c r="BC114" i="67" s="1"/>
  <c r="BC40" i="67"/>
  <c r="BI74" i="13"/>
  <c r="BK118" i="66"/>
  <c r="AQ77" i="13"/>
  <c r="BO74" i="13"/>
  <c r="R74" i="67"/>
  <c r="BC42" i="67"/>
  <c r="BC41" i="67"/>
  <c r="BC65" i="67"/>
  <c r="BB125" i="66"/>
  <c r="AQ71" i="13"/>
  <c r="AZ125" i="66"/>
  <c r="AZ113" i="66" s="1"/>
  <c r="G38" i="67"/>
  <c r="G39" i="67" s="1"/>
  <c r="M74" i="67"/>
  <c r="BG74" i="13"/>
  <c r="BG77" i="13"/>
  <c r="AP26" i="13"/>
  <c r="BA67" i="13"/>
  <c r="AW77" i="13"/>
  <c r="AW68" i="13"/>
  <c r="AO126" i="66"/>
  <c r="AQ67" i="13"/>
  <c r="AU67" i="13"/>
  <c r="BA125" i="66"/>
  <c r="AY125" i="66"/>
  <c r="AY113" i="66" s="1"/>
  <c r="BE125" i="66"/>
  <c r="BF125" i="66"/>
  <c r="BO125" i="66"/>
  <c r="BR125" i="66" s="1"/>
  <c r="BM125" i="66"/>
  <c r="AW11" i="13"/>
  <c r="AQ18" i="66"/>
  <c r="AV67" i="13"/>
  <c r="BB67" i="13"/>
  <c r="BC47" i="66"/>
  <c r="BC50" i="66" s="1"/>
  <c r="BC15" i="13" s="1"/>
  <c r="AW118" i="67"/>
  <c r="AW120" i="67" s="1"/>
  <c r="AW129" i="67" s="1"/>
  <c r="Y94" i="67"/>
  <c r="Y102" i="67" s="1"/>
  <c r="AW47" i="66"/>
  <c r="AW50" i="66" s="1"/>
  <c r="AW15" i="13" s="1"/>
  <c r="AW10" i="13"/>
  <c r="BZ65" i="66"/>
  <c r="CF65" i="66" s="1"/>
  <c r="AN78" i="13"/>
  <c r="BX65" i="66"/>
  <c r="CD65" i="66" s="1"/>
  <c r="BY65" i="66"/>
  <c r="CE65" i="66" s="1"/>
  <c r="AW38" i="67"/>
  <c r="AQ38" i="67"/>
  <c r="R39" i="67"/>
  <c r="R88" i="12"/>
  <c r="I39" i="67"/>
  <c r="I88" i="12"/>
  <c r="AJ39" i="67"/>
  <c r="AJ88" i="12"/>
  <c r="U39" i="67"/>
  <c r="U88" i="12"/>
  <c r="AB39" i="67"/>
  <c r="AB88" i="12"/>
  <c r="AZ39" i="67"/>
  <c r="AZ88" i="12"/>
  <c r="BT35" i="67"/>
  <c r="BU35" i="67" s="1"/>
  <c r="BS11" i="11"/>
  <c r="AO39" i="67"/>
  <c r="AO88" i="12"/>
  <c r="AT39" i="67"/>
  <c r="AT88" i="12"/>
  <c r="AK38" i="67"/>
  <c r="X38" i="67"/>
  <c r="BH38" i="67"/>
  <c r="BH69" i="40"/>
  <c r="O39" i="67"/>
  <c r="O88" i="12"/>
  <c r="BS10" i="11"/>
  <c r="BT34" i="67"/>
  <c r="BS33" i="67"/>
  <c r="P39" i="67"/>
  <c r="P88" i="12"/>
  <c r="AE39" i="67"/>
  <c r="AE88" i="12"/>
  <c r="AS52" i="67"/>
  <c r="BG39" i="67"/>
  <c r="BG88" i="12"/>
  <c r="S78" i="13"/>
  <c r="S102" i="13"/>
  <c r="AH39" i="67"/>
  <c r="AH88" i="12"/>
  <c r="AG39" i="67"/>
  <c r="AG88" i="12"/>
  <c r="AU39" i="67"/>
  <c r="AU88" i="12"/>
  <c r="AY39" i="67"/>
  <c r="AY88" i="12"/>
  <c r="AK74" i="67"/>
  <c r="BF39" i="67"/>
  <c r="BF88" i="12"/>
  <c r="L39" i="67"/>
  <c r="L88" i="12"/>
  <c r="V39" i="67"/>
  <c r="V88" i="12"/>
  <c r="AA39" i="67"/>
  <c r="AA88" i="12"/>
  <c r="Q39" i="67"/>
  <c r="Q88" i="12"/>
  <c r="O102" i="13"/>
  <c r="U102" i="13"/>
  <c r="BI38" i="67"/>
  <c r="BH74" i="67"/>
  <c r="AN39" i="67"/>
  <c r="AN88" i="12"/>
  <c r="K39" i="67"/>
  <c r="K88" i="12"/>
  <c r="L102" i="13"/>
  <c r="R102" i="13"/>
  <c r="W39" i="67"/>
  <c r="W88" i="12"/>
  <c r="AS39" i="67"/>
  <c r="AS88" i="12"/>
  <c r="BB39" i="67"/>
  <c r="BB88" i="12"/>
  <c r="AI39" i="67"/>
  <c r="AI88" i="12"/>
  <c r="AW9" i="13"/>
  <c r="AH78" i="13"/>
  <c r="AM26" i="13"/>
  <c r="BE106" i="66"/>
  <c r="BB106" i="66"/>
  <c r="BG106" i="66"/>
  <c r="AZ106" i="66"/>
  <c r="BF106" i="66"/>
  <c r="AY106" i="66"/>
  <c r="BA106" i="66"/>
  <c r="BH106" i="66"/>
  <c r="AW74" i="67"/>
  <c r="AQ74" i="67"/>
  <c r="BY96" i="67"/>
  <c r="BE8" i="67"/>
  <c r="AZ8" i="67"/>
  <c r="BA8" i="67" s="1"/>
  <c r="BB8" i="67" s="1"/>
  <c r="BZ97" i="67"/>
  <c r="CC97" i="67" s="1"/>
  <c r="BT98" i="67"/>
  <c r="BU98" i="67" s="1"/>
  <c r="BU95" i="67" s="1"/>
  <c r="BS95" i="67"/>
  <c r="BH102" i="67"/>
  <c r="BI94" i="67"/>
  <c r="BI102" i="67" s="1"/>
  <c r="X74" i="67"/>
  <c r="AD74" i="67"/>
  <c r="Y105" i="67"/>
  <c r="Y114" i="67" s="1"/>
  <c r="Y65" i="67"/>
  <c r="Y40" i="67"/>
  <c r="Y42" i="67"/>
  <c r="Y41" i="67"/>
  <c r="Y36" i="67"/>
  <c r="BZ121" i="66"/>
  <c r="BX121" i="66"/>
  <c r="CA121" i="66"/>
  <c r="BW121" i="66"/>
  <c r="BY121" i="66"/>
  <c r="BZ123" i="66"/>
  <c r="BY123" i="66"/>
  <c r="BX123" i="66"/>
  <c r="CA123" i="66"/>
  <c r="BW123" i="66"/>
  <c r="BX119" i="66"/>
  <c r="CA119" i="66"/>
  <c r="BW119" i="66"/>
  <c r="BY119" i="66"/>
  <c r="BZ119" i="66"/>
  <c r="BU118" i="66"/>
  <c r="BQ118" i="66"/>
  <c r="BT118" i="66"/>
  <c r="BR118" i="66"/>
  <c r="BS118" i="66"/>
  <c r="BX122" i="66"/>
  <c r="CA122" i="66"/>
  <c r="BW122" i="66"/>
  <c r="BZ122" i="66"/>
  <c r="BY122" i="66"/>
  <c r="BE103" i="66"/>
  <c r="AZ103" i="66"/>
  <c r="BA103" i="66" s="1"/>
  <c r="BB103" i="66" s="1"/>
  <c r="BX117" i="66"/>
  <c r="CA117" i="66"/>
  <c r="BW117" i="66"/>
  <c r="BY117" i="66"/>
  <c r="BZ117" i="66"/>
  <c r="BX120" i="66"/>
  <c r="BY120" i="66"/>
  <c r="BW120" i="66"/>
  <c r="BZ120" i="66"/>
  <c r="CA120" i="66"/>
  <c r="AT8" i="66"/>
  <c r="AU8" i="66" s="1"/>
  <c r="AV8" i="66" s="1"/>
  <c r="AY8" i="66"/>
  <c r="BY126" i="66"/>
  <c r="BX126" i="66"/>
  <c r="CA126" i="66"/>
  <c r="BW126" i="66"/>
  <c r="BZ126" i="66"/>
  <c r="BY124" i="66"/>
  <c r="BX124" i="66"/>
  <c r="CA124" i="66"/>
  <c r="BW124" i="66"/>
  <c r="BZ124" i="66"/>
  <c r="AH102" i="13" l="1"/>
  <c r="AO102" i="13"/>
  <c r="AH27" i="13"/>
  <c r="AO78" i="13"/>
  <c r="AG78" i="13"/>
  <c r="AG102" i="13"/>
  <c r="AN27" i="13"/>
  <c r="AI27" i="13"/>
  <c r="AQ21" i="66"/>
  <c r="AP27" i="13"/>
  <c r="AE102" i="13"/>
  <c r="AE78" i="13"/>
  <c r="AK27" i="13"/>
  <c r="AM27" i="13"/>
  <c r="AQ168" i="12"/>
  <c r="AW168" i="12"/>
  <c r="BC168" i="12"/>
  <c r="AK168" i="12"/>
  <c r="BI168" i="12"/>
  <c r="M88" i="12"/>
  <c r="S38" i="67"/>
  <c r="G88" i="12"/>
  <c r="BC38" i="67"/>
  <c r="BC39" i="67" s="1"/>
  <c r="AQ22" i="66"/>
  <c r="BQ125" i="66"/>
  <c r="BL125" i="66"/>
  <c r="CF126" i="66"/>
  <c r="CD126" i="66"/>
  <c r="CG126" i="66"/>
  <c r="CE126" i="66"/>
  <c r="CC126" i="66"/>
  <c r="CF124" i="66"/>
  <c r="CD124" i="66"/>
  <c r="CG124" i="66"/>
  <c r="CE124" i="66"/>
  <c r="CC124" i="66"/>
  <c r="CF120" i="66"/>
  <c r="CD120" i="66"/>
  <c r="CG120" i="66"/>
  <c r="CE120" i="66"/>
  <c r="CC120" i="66"/>
  <c r="CG117" i="66"/>
  <c r="CE117" i="66"/>
  <c r="CC117" i="66"/>
  <c r="CF117" i="66"/>
  <c r="CD117" i="66"/>
  <c r="CG119" i="66"/>
  <c r="CE119" i="66"/>
  <c r="CC119" i="66"/>
  <c r="CF119" i="66"/>
  <c r="CD119" i="66"/>
  <c r="CL65" i="66"/>
  <c r="CM23" i="13"/>
  <c r="CI88" i="13"/>
  <c r="CM61" i="66"/>
  <c r="CM62" i="66" s="1"/>
  <c r="CL88" i="13"/>
  <c r="CF122" i="66"/>
  <c r="CD122" i="66"/>
  <c r="CG122" i="66"/>
  <c r="CE122" i="66"/>
  <c r="CC122" i="66"/>
  <c r="CG123" i="66"/>
  <c r="CE123" i="66"/>
  <c r="CC123" i="66"/>
  <c r="CF123" i="66"/>
  <c r="CD123" i="66"/>
  <c r="CG121" i="66"/>
  <c r="CE121" i="66"/>
  <c r="CC121" i="66"/>
  <c r="CF121" i="66"/>
  <c r="CD121" i="66"/>
  <c r="CK65" i="66"/>
  <c r="CJ65" i="66"/>
  <c r="CG62" i="66"/>
  <c r="CG20" i="13" s="1"/>
  <c r="CD97" i="67"/>
  <c r="CE97" i="67" s="1"/>
  <c r="CF97" i="67" s="1"/>
  <c r="CI97" i="67" s="1"/>
  <c r="BC74" i="67"/>
  <c r="BI74" i="67"/>
  <c r="CX11" i="13"/>
  <c r="AP78" i="13"/>
  <c r="DA11" i="13"/>
  <c r="BF113" i="66"/>
  <c r="AP102" i="13"/>
  <c r="AQ97" i="66"/>
  <c r="AQ100" i="66" s="1"/>
  <c r="AQ99" i="66"/>
  <c r="BB113" i="66"/>
  <c r="BE113" i="66"/>
  <c r="BA113" i="66"/>
  <c r="BK125" i="66"/>
  <c r="BS125" i="66"/>
  <c r="BT125" i="66"/>
  <c r="BU125" i="66"/>
  <c r="AW69" i="13"/>
  <c r="AW70" i="13"/>
  <c r="AW67" i="13"/>
  <c r="BC67" i="13"/>
  <c r="AW71" i="13"/>
  <c r="AW74" i="13"/>
  <c r="Y38" i="67"/>
  <c r="AK39" i="67"/>
  <c r="AK88" i="12"/>
  <c r="BW35" i="67"/>
  <c r="BT11" i="11"/>
  <c r="AW39" i="67"/>
  <c r="AW88" i="12"/>
  <c r="X39" i="67"/>
  <c r="X88" i="12"/>
  <c r="AQ39" i="67"/>
  <c r="AQ88" i="12"/>
  <c r="BT10" i="11"/>
  <c r="BU34" i="67"/>
  <c r="BW34" i="67"/>
  <c r="BT33" i="67"/>
  <c r="BU33" i="67" s="1"/>
  <c r="BH39" i="67"/>
  <c r="BH88" i="12"/>
  <c r="BI39" i="67"/>
  <c r="BI88" i="12"/>
  <c r="AT52" i="67"/>
  <c r="AS51" i="67"/>
  <c r="AS89" i="12" s="1"/>
  <c r="Y102" i="13"/>
  <c r="AM78" i="13"/>
  <c r="BW98" i="67"/>
  <c r="BT95" i="67"/>
  <c r="BZ96" i="67"/>
  <c r="CC96" i="67" s="1"/>
  <c r="Y74" i="67"/>
  <c r="AE74" i="67"/>
  <c r="CA97" i="67"/>
  <c r="BK8" i="67"/>
  <c r="BF8" i="67"/>
  <c r="BG8" i="67" s="1"/>
  <c r="BH8" i="67" s="1"/>
  <c r="BK103" i="66"/>
  <c r="BF103" i="66"/>
  <c r="BG103" i="66" s="1"/>
  <c r="BH103" i="66" s="1"/>
  <c r="BZ118" i="66"/>
  <c r="BY118" i="66"/>
  <c r="CA118" i="66"/>
  <c r="BW118" i="66"/>
  <c r="BX118" i="66"/>
  <c r="AZ8" i="66"/>
  <c r="BA8" i="66" s="1"/>
  <c r="BB8" i="66" s="1"/>
  <c r="BE8" i="66"/>
  <c r="AN102" i="13" l="1"/>
  <c r="AQ26" i="13"/>
  <c r="AQ102" i="13" s="1"/>
  <c r="AM102" i="13"/>
  <c r="AK102" i="13"/>
  <c r="AQ68" i="67"/>
  <c r="AQ27" i="13"/>
  <c r="S39" i="67"/>
  <c r="S88" i="12"/>
  <c r="BC88" i="12"/>
  <c r="CF118" i="66"/>
  <c r="CD118" i="66"/>
  <c r="CG118" i="66"/>
  <c r="CE118" i="66"/>
  <c r="CC118" i="66"/>
  <c r="CM122" i="66"/>
  <c r="CK122" i="66"/>
  <c r="CI122" i="66"/>
  <c r="CL122" i="66"/>
  <c r="CJ122" i="66"/>
  <c r="CL119" i="66"/>
  <c r="CJ119" i="66"/>
  <c r="CM119" i="66"/>
  <c r="CK119" i="66"/>
  <c r="CI119" i="66"/>
  <c r="CM120" i="66"/>
  <c r="CK120" i="66"/>
  <c r="CI120" i="66"/>
  <c r="CL120" i="66"/>
  <c r="CJ120" i="66"/>
  <c r="CM124" i="66"/>
  <c r="CK124" i="66"/>
  <c r="CI124" i="66"/>
  <c r="CL124" i="66"/>
  <c r="CJ124" i="66"/>
  <c r="CG74" i="13"/>
  <c r="CG45" i="13"/>
  <c r="CL121" i="66"/>
  <c r="CJ121" i="66"/>
  <c r="CM121" i="66"/>
  <c r="CK121" i="66"/>
  <c r="CI121" i="66"/>
  <c r="CL123" i="66"/>
  <c r="CJ123" i="66"/>
  <c r="CM123" i="66"/>
  <c r="CK123" i="66"/>
  <c r="CI123" i="66"/>
  <c r="CM20" i="13"/>
  <c r="CM77" i="13"/>
  <c r="CM48" i="13"/>
  <c r="CL117" i="66"/>
  <c r="CJ117" i="66"/>
  <c r="CM117" i="66"/>
  <c r="CK117" i="66"/>
  <c r="CI117" i="66"/>
  <c r="CM126" i="66"/>
  <c r="CK126" i="66"/>
  <c r="CI126" i="66"/>
  <c r="CL126" i="66"/>
  <c r="CJ126" i="66"/>
  <c r="CG97" i="67"/>
  <c r="CD96" i="67"/>
  <c r="CJ97" i="67"/>
  <c r="CK97" i="67" s="1"/>
  <c r="CL97" i="67" s="1"/>
  <c r="BY125" i="66"/>
  <c r="BW125" i="66"/>
  <c r="BZ125" i="66"/>
  <c r="BX125" i="66"/>
  <c r="CA125" i="66"/>
  <c r="AT51" i="67"/>
  <c r="AT89" i="12" s="1"/>
  <c r="AU52" i="67"/>
  <c r="BW10" i="11"/>
  <c r="BX34" i="67"/>
  <c r="BW33" i="67"/>
  <c r="BW11" i="11"/>
  <c r="BX35" i="67"/>
  <c r="Y39" i="67"/>
  <c r="Y88" i="12"/>
  <c r="BQ8" i="67"/>
  <c r="BL8" i="67"/>
  <c r="CA96" i="67"/>
  <c r="BX98" i="67"/>
  <c r="BW95" i="67"/>
  <c r="BQ103" i="66"/>
  <c r="BL103" i="66"/>
  <c r="BM103" i="66" s="1"/>
  <c r="BN103" i="66" s="1"/>
  <c r="BK8" i="66"/>
  <c r="BF8" i="66"/>
  <c r="BG8" i="66" s="1"/>
  <c r="BH8" i="66" s="1"/>
  <c r="AQ78" i="13" l="1"/>
  <c r="CM97" i="67"/>
  <c r="CG125" i="66"/>
  <c r="CE125" i="66"/>
  <c r="CC125" i="66"/>
  <c r="CF125" i="66"/>
  <c r="CD125" i="66"/>
  <c r="CM91" i="13"/>
  <c r="CM74" i="13"/>
  <c r="CM45" i="13"/>
  <c r="CM118" i="66"/>
  <c r="CK118" i="66"/>
  <c r="CI118" i="66"/>
  <c r="CL118" i="66"/>
  <c r="CJ118" i="66"/>
  <c r="CE96" i="67"/>
  <c r="BM8" i="67"/>
  <c r="BX10" i="11"/>
  <c r="BX33" i="67"/>
  <c r="BY34" i="67"/>
  <c r="BY35" i="67"/>
  <c r="BX11" i="11"/>
  <c r="AV52" i="67"/>
  <c r="AU51" i="67"/>
  <c r="AU89" i="12" s="1"/>
  <c r="BY98" i="67"/>
  <c r="BX95" i="67"/>
  <c r="BW8" i="67"/>
  <c r="BR8" i="67"/>
  <c r="BS8" i="67" s="1"/>
  <c r="BT8" i="67" s="1"/>
  <c r="BL8" i="66"/>
  <c r="BM8" i="66" s="1"/>
  <c r="BN8" i="66" s="1"/>
  <c r="BQ8" i="66"/>
  <c r="BW103" i="66"/>
  <c r="BR103" i="66"/>
  <c r="BS103" i="66" s="1"/>
  <c r="BT103" i="66" s="1"/>
  <c r="BN8" i="67" l="1"/>
  <c r="BX103" i="66"/>
  <c r="BY103" i="66" s="1"/>
  <c r="BZ103" i="66" s="1"/>
  <c r="CC103" i="66"/>
  <c r="CL125" i="66"/>
  <c r="CJ125" i="66"/>
  <c r="CM125" i="66"/>
  <c r="CK125" i="66"/>
  <c r="CI125" i="66"/>
  <c r="CM88" i="13"/>
  <c r="BX8" i="67"/>
  <c r="BY8" i="67" s="1"/>
  <c r="BZ8" i="67" s="1"/>
  <c r="CC8" i="67"/>
  <c r="CF96" i="67"/>
  <c r="CG96" i="67" s="1"/>
  <c r="AW52" i="67"/>
  <c r="AY52" i="67"/>
  <c r="BZ35" i="67"/>
  <c r="BY11" i="11"/>
  <c r="BY10" i="11"/>
  <c r="BZ34" i="67"/>
  <c r="CC34" i="67" s="1"/>
  <c r="BY33" i="67"/>
  <c r="BZ98" i="67"/>
  <c r="BY95" i="67"/>
  <c r="BW8" i="66"/>
  <c r="BR8" i="66"/>
  <c r="BS8" i="66" s="1"/>
  <c r="BT8" i="66" s="1"/>
  <c r="BX8" i="66" l="1"/>
  <c r="BY8" i="66" s="1"/>
  <c r="BZ8" i="66" s="1"/>
  <c r="CC8" i="66"/>
  <c r="CD103" i="66"/>
  <c r="CE103" i="66" s="1"/>
  <c r="CF103" i="66" s="1"/>
  <c r="CI103" i="66"/>
  <c r="CJ103" i="66" s="1"/>
  <c r="CK103" i="66" s="1"/>
  <c r="CL103" i="66" s="1"/>
  <c r="BZ11" i="11"/>
  <c r="CC35" i="67"/>
  <c r="CC33" i="67" s="1"/>
  <c r="CI8" i="67"/>
  <c r="CJ8" i="67" s="1"/>
  <c r="CK8" i="67" s="1"/>
  <c r="CL8" i="67" s="1"/>
  <c r="CD8" i="67"/>
  <c r="CE8" i="67" s="1"/>
  <c r="CF8" i="67" s="1"/>
  <c r="CA98" i="67"/>
  <c r="CA95" i="67" s="1"/>
  <c r="CC98" i="67"/>
  <c r="CD34" i="67"/>
  <c r="CC10" i="11"/>
  <c r="CI96" i="67"/>
  <c r="AY51" i="67"/>
  <c r="AY89" i="12" s="1"/>
  <c r="AZ52" i="67"/>
  <c r="BZ33" i="67"/>
  <c r="CA33" i="67" s="1"/>
  <c r="BZ10" i="11"/>
  <c r="CA34" i="67"/>
  <c r="CA35" i="67"/>
  <c r="BZ95" i="67"/>
  <c r="CD8" i="66" l="1"/>
  <c r="CE8" i="66" s="1"/>
  <c r="CF8" i="66" s="1"/>
  <c r="CI8" i="66"/>
  <c r="CJ8" i="66" s="1"/>
  <c r="CK8" i="66" s="1"/>
  <c r="CL8" i="66" s="1"/>
  <c r="CJ96" i="67"/>
  <c r="CD98" i="67"/>
  <c r="CC95" i="67"/>
  <c r="CD35" i="67"/>
  <c r="CD33" i="67" s="1"/>
  <c r="CC11" i="11"/>
  <c r="CD10" i="11"/>
  <c r="CE34" i="67"/>
  <c r="BA52" i="67"/>
  <c r="AZ51" i="67"/>
  <c r="AZ89" i="12" s="1"/>
  <c r="CE98" i="67" l="1"/>
  <c r="CD95" i="67"/>
  <c r="CE10" i="11"/>
  <c r="CF34" i="67"/>
  <c r="CE35" i="67"/>
  <c r="CD11" i="11"/>
  <c r="CK96" i="67"/>
  <c r="BB52" i="67"/>
  <c r="BA51" i="67"/>
  <c r="BA89" i="12" s="1"/>
  <c r="CF35" i="67" l="1"/>
  <c r="CF33" i="67" s="1"/>
  <c r="CE11" i="11"/>
  <c r="CI34" i="67"/>
  <c r="CF10" i="11"/>
  <c r="CG10" i="11" s="1"/>
  <c r="CE33" i="67"/>
  <c r="CF98" i="67"/>
  <c r="CE95" i="67"/>
  <c r="CL96" i="67"/>
  <c r="CM96" i="67" s="1"/>
  <c r="CG34" i="67"/>
  <c r="BB51" i="67"/>
  <c r="BE52" i="67"/>
  <c r="BC52" i="67"/>
  <c r="CG35" i="67" l="1"/>
  <c r="CG33" i="67"/>
  <c r="CF11" i="11"/>
  <c r="CG11" i="11" s="1"/>
  <c r="CI35" i="67"/>
  <c r="CI98" i="67"/>
  <c r="CF95" i="67"/>
  <c r="CG98" i="67"/>
  <c r="CG95" i="67" s="1"/>
  <c r="CJ34" i="67"/>
  <c r="CI10" i="11"/>
  <c r="BF52" i="67"/>
  <c r="BE51" i="67"/>
  <c r="BE89" i="12" s="1"/>
  <c r="BC51" i="67"/>
  <c r="BC89" i="12" s="1"/>
  <c r="BB89" i="12"/>
  <c r="CJ98" i="67" l="1"/>
  <c r="CI95" i="67"/>
  <c r="CJ35" i="67"/>
  <c r="CJ33" i="67" s="1"/>
  <c r="CI11" i="11"/>
  <c r="CI33" i="67"/>
  <c r="CJ10" i="11"/>
  <c r="CK34" i="67"/>
  <c r="BG52" i="67"/>
  <c r="BF51" i="67"/>
  <c r="BF89" i="12" s="1"/>
  <c r="CL34" i="67" l="1"/>
  <c r="CK10" i="11"/>
  <c r="CK98" i="67"/>
  <c r="CJ95" i="67"/>
  <c r="CK35" i="67"/>
  <c r="CJ11" i="11"/>
  <c r="BH52" i="67"/>
  <c r="BI52" i="67" s="1"/>
  <c r="BG51" i="67"/>
  <c r="BG89" i="12" s="1"/>
  <c r="CL10" i="11" l="1"/>
  <c r="CM10" i="11" s="1"/>
  <c r="CL35" i="67"/>
  <c r="CL11" i="11" s="1"/>
  <c r="CK11" i="11"/>
  <c r="CL98" i="67"/>
  <c r="CK95" i="67"/>
  <c r="CM34" i="67"/>
  <c r="CK33" i="67"/>
  <c r="BH51" i="67"/>
  <c r="BK52" i="67"/>
  <c r="CM35" i="67" l="1"/>
  <c r="CM11" i="11"/>
  <c r="CL95" i="67"/>
  <c r="CM98" i="67"/>
  <c r="CM95" i="67" s="1"/>
  <c r="CL33" i="67"/>
  <c r="CM33" i="67" s="1"/>
  <c r="BL52" i="67"/>
  <c r="BI51" i="67"/>
  <c r="BI89" i="12" s="1"/>
  <c r="BH89" i="12"/>
  <c r="BM52" i="67" l="1"/>
  <c r="BX120" i="12"/>
  <c r="BY120" i="12" s="1"/>
  <c r="BZ120" i="12" s="1"/>
  <c r="BR120" i="12"/>
  <c r="BS120" i="12" s="1"/>
  <c r="BT120" i="12" s="1"/>
  <c r="BX106" i="12"/>
  <c r="BY106" i="12" s="1"/>
  <c r="BZ106" i="12" s="1"/>
  <c r="BR106" i="12"/>
  <c r="BS106" i="12" s="1"/>
  <c r="BT106" i="12" s="1"/>
  <c r="BN52" i="67" l="1"/>
  <c r="BO52" i="67" l="1"/>
  <c r="BQ52" i="67"/>
  <c r="BR52" i="67" l="1"/>
  <c r="BS52" i="67" l="1"/>
  <c r="BT52" i="67" l="1"/>
  <c r="BW52" i="67" l="1"/>
  <c r="BU52" i="67"/>
  <c r="BX52" i="67" l="1"/>
  <c r="BY52" i="67" l="1"/>
  <c r="BZ52" i="67" l="1"/>
  <c r="CC52" i="67" s="1"/>
  <c r="BG14" i="40"/>
  <c r="BH26" i="40" s="1"/>
  <c r="BH28" i="40" s="1"/>
  <c r="CD52" i="67" l="1"/>
  <c r="CE52" i="67" s="1"/>
  <c r="CF52" i="67" s="1"/>
  <c r="CI52" i="67" s="1"/>
  <c r="CA52" i="67"/>
  <c r="BI13" i="40"/>
  <c r="BK25" i="40" s="1"/>
  <c r="BG35" i="40"/>
  <c r="BG29" i="40"/>
  <c r="BG25" i="40"/>
  <c r="BG24" i="40"/>
  <c r="BG23" i="40"/>
  <c r="BG22" i="40"/>
  <c r="A25" i="40"/>
  <c r="BF25" i="40"/>
  <c r="BB25" i="40"/>
  <c r="BA25" i="40"/>
  <c r="AZ25" i="40"/>
  <c r="AV25" i="40"/>
  <c r="AU25" i="40"/>
  <c r="AT25" i="40"/>
  <c r="AP25" i="40"/>
  <c r="AO25" i="40"/>
  <c r="AN25" i="40"/>
  <c r="AJ25" i="40"/>
  <c r="AI25" i="40"/>
  <c r="AH25" i="40"/>
  <c r="AG25" i="40"/>
  <c r="AE25" i="40"/>
  <c r="BC13" i="40"/>
  <c r="AW13" i="40"/>
  <c r="AQ13" i="40"/>
  <c r="AK13" i="40"/>
  <c r="AK25" i="40" s="1"/>
  <c r="BG129" i="12"/>
  <c r="BH125" i="12" s="1"/>
  <c r="BH128" i="12" s="1"/>
  <c r="BG122" i="12"/>
  <c r="BG110" i="12"/>
  <c r="BG102" i="12" s="1"/>
  <c r="BH97" i="12" s="1"/>
  <c r="BG104" i="12"/>
  <c r="BG90" i="12"/>
  <c r="BG87" i="12"/>
  <c r="BG46" i="12"/>
  <c r="BG171" i="12" s="1"/>
  <c r="BG89" i="11"/>
  <c r="BG48" i="67" l="1"/>
  <c r="BM90" i="11"/>
  <c r="CG52" i="67"/>
  <c r="CJ52" i="67"/>
  <c r="CK52" i="67" s="1"/>
  <c r="CL52" i="67" s="1"/>
  <c r="BO13" i="40"/>
  <c r="BI25" i="40"/>
  <c r="BG37" i="40"/>
  <c r="AW25" i="40"/>
  <c r="AQ25" i="40"/>
  <c r="BC25" i="40"/>
  <c r="AY25" i="40"/>
  <c r="AM25" i="40"/>
  <c r="AS25" i="40"/>
  <c r="BE25" i="40"/>
  <c r="BG47" i="12"/>
  <c r="BQ13" i="40" l="1"/>
  <c r="BR13" i="40" s="1"/>
  <c r="BS13" i="40" s="1"/>
  <c r="BT13" i="40" s="1"/>
  <c r="BU13" i="40" s="1"/>
  <c r="BW13" i="40" s="1"/>
  <c r="BX13" i="40" s="1"/>
  <c r="BY13" i="40" s="1"/>
  <c r="BZ13" i="40" s="1"/>
  <c r="CA13" i="40" s="1"/>
  <c r="CC13" i="40" s="1"/>
  <c r="CD13" i="40" s="1"/>
  <c r="CE13" i="40" s="1"/>
  <c r="CF13" i="40" s="1"/>
  <c r="CG13" i="40" s="1"/>
  <c r="CG25" i="40" s="1"/>
  <c r="BO25" i="40"/>
  <c r="CM52" i="67"/>
  <c r="CI13" i="40" l="1"/>
  <c r="CJ13" i="40" s="1"/>
  <c r="CK13" i="40" s="1"/>
  <c r="CL13" i="40" s="1"/>
  <c r="CM13" i="40" s="1"/>
  <c r="CM25" i="40" s="1"/>
  <c r="CA25" i="40"/>
  <c r="BU25" i="40"/>
  <c r="AJ47" i="13" l="1"/>
  <c r="AI47" i="13"/>
  <c r="AH47" i="13"/>
  <c r="AJ35" i="13"/>
  <c r="AJ34" i="13"/>
  <c r="AI34" i="13"/>
  <c r="AG47" i="13"/>
  <c r="AG35" i="13"/>
  <c r="AG34" i="13"/>
  <c r="CA88" i="11"/>
  <c r="CA51" i="11"/>
  <c r="CA48" i="11"/>
  <c r="BZ45" i="11"/>
  <c r="BY45" i="11"/>
  <c r="BX45" i="11"/>
  <c r="BW45" i="11"/>
  <c r="CA43" i="11"/>
  <c r="CA42" i="11"/>
  <c r="CA41" i="11"/>
  <c r="CA40" i="11"/>
  <c r="CA34" i="11"/>
  <c r="CA32" i="11"/>
  <c r="CA31" i="11"/>
  <c r="CA30" i="11"/>
  <c r="CA25" i="11"/>
  <c r="CA17" i="11"/>
  <c r="CA16" i="11"/>
  <c r="CA13" i="11"/>
  <c r="CA128" i="12"/>
  <c r="CA127" i="12"/>
  <c r="BZ126" i="12"/>
  <c r="BY126" i="12"/>
  <c r="BX126" i="12"/>
  <c r="BW126" i="12"/>
  <c r="CA121" i="12"/>
  <c r="BZ118" i="12"/>
  <c r="BY118" i="12"/>
  <c r="BX118" i="12"/>
  <c r="BW118" i="12"/>
  <c r="CA107" i="12"/>
  <c r="CA101" i="12"/>
  <c r="BZ100" i="12"/>
  <c r="BY100" i="12"/>
  <c r="BX100" i="12"/>
  <c r="BW100" i="12"/>
  <c r="BX99" i="12"/>
  <c r="BY99" i="12" s="1"/>
  <c r="BZ99" i="12" s="1"/>
  <c r="CA91" i="12"/>
  <c r="BZ72" i="40"/>
  <c r="BY72" i="40"/>
  <c r="BX72" i="40"/>
  <c r="BW72" i="40"/>
  <c r="BZ51" i="40"/>
  <c r="BY51" i="40"/>
  <c r="BX51" i="40"/>
  <c r="BW51" i="40"/>
  <c r="BZ39" i="11"/>
  <c r="BY38" i="11"/>
  <c r="BX39" i="11"/>
  <c r="BW39" i="11"/>
  <c r="AQ70" i="11"/>
  <c r="AN71" i="11"/>
  <c r="AO71" i="11" s="1"/>
  <c r="AN72" i="11"/>
  <c r="AO72" i="11" s="1"/>
  <c r="AO82" i="11" s="1"/>
  <c r="AN73" i="11"/>
  <c r="AT71" i="11"/>
  <c r="AU71" i="11" s="1"/>
  <c r="AT72" i="11"/>
  <c r="AU72" i="11" s="1"/>
  <c r="AU82" i="11" s="1"/>
  <c r="AU83" i="11" s="1"/>
  <c r="AT73" i="11"/>
  <c r="AU73" i="11" s="1"/>
  <c r="AZ71" i="11"/>
  <c r="BA71" i="11" s="1"/>
  <c r="AZ72" i="11"/>
  <c r="BF71" i="11"/>
  <c r="BF72" i="11"/>
  <c r="BS75" i="11"/>
  <c r="BY75" i="11" s="1"/>
  <c r="CE75" i="11" s="1"/>
  <c r="CK75" i="11" s="1"/>
  <c r="BQ75" i="11"/>
  <c r="BW75" i="11" s="1"/>
  <c r="CC75" i="11" s="1"/>
  <c r="CI75" i="11" s="1"/>
  <c r="BQ71" i="11"/>
  <c r="BW71" i="11" s="1"/>
  <c r="CC71" i="11" s="1"/>
  <c r="BR75" i="11"/>
  <c r="BX75" i="11" s="1"/>
  <c r="CD75" i="11" s="1"/>
  <c r="CJ75" i="11" s="1"/>
  <c r="BT75" i="11"/>
  <c r="BZ75" i="11" s="1"/>
  <c r="CF75" i="11" s="1"/>
  <c r="CL75" i="11" s="1"/>
  <c r="BF29" i="11"/>
  <c r="BF45" i="11"/>
  <c r="BF15" i="11"/>
  <c r="BF14" i="11"/>
  <c r="BF19" i="67" s="1"/>
  <c r="BF31" i="11"/>
  <c r="BF39" i="11"/>
  <c r="BF40" i="11"/>
  <c r="BF41" i="11"/>
  <c r="BF42" i="11"/>
  <c r="BF43" i="11"/>
  <c r="BF44" i="11"/>
  <c r="BF46" i="11"/>
  <c r="BF48" i="11"/>
  <c r="BF30" i="11"/>
  <c r="BF32" i="11"/>
  <c r="BF34" i="11"/>
  <c r="BF20" i="11"/>
  <c r="BF21" i="11"/>
  <c r="BF22" i="11"/>
  <c r="BF23" i="11"/>
  <c r="BF9" i="11"/>
  <c r="BF10" i="11"/>
  <c r="BF11" i="11"/>
  <c r="BF13" i="11"/>
  <c r="BF16" i="11"/>
  <c r="BF17" i="11"/>
  <c r="BF18" i="11"/>
  <c r="BF25" i="11"/>
  <c r="BF51" i="11"/>
  <c r="BE33" i="11"/>
  <c r="BE35" i="11" s="1"/>
  <c r="BE12" i="11"/>
  <c r="BE24" i="11" s="1"/>
  <c r="BE26" i="11" s="1"/>
  <c r="AY47" i="11"/>
  <c r="AY49" i="11" s="1"/>
  <c r="AZ38" i="11"/>
  <c r="AZ39" i="11"/>
  <c r="BA39" i="11" s="1"/>
  <c r="AZ40" i="11"/>
  <c r="AZ41" i="11"/>
  <c r="BA41" i="11" s="1"/>
  <c r="BB41" i="11" s="1"/>
  <c r="BC41" i="11" s="1"/>
  <c r="AZ42" i="11"/>
  <c r="BA42" i="11" s="1"/>
  <c r="AZ43" i="11"/>
  <c r="BA43" i="11" s="1"/>
  <c r="AZ44" i="11"/>
  <c r="BA44" i="11" s="1"/>
  <c r="BB44" i="11" s="1"/>
  <c r="BC44" i="11" s="1"/>
  <c r="AZ45" i="11"/>
  <c r="AZ46" i="11"/>
  <c r="BA46" i="11" s="1"/>
  <c r="AZ48" i="11"/>
  <c r="BA48" i="11" s="1"/>
  <c r="AZ29" i="11"/>
  <c r="AZ30" i="11"/>
  <c r="BA30" i="11" s="1"/>
  <c r="BB30" i="11" s="1"/>
  <c r="AZ31" i="11"/>
  <c r="AZ32" i="11"/>
  <c r="BA32" i="11" s="1"/>
  <c r="BB32" i="11" s="1"/>
  <c r="AZ34" i="11"/>
  <c r="BA34" i="11" s="1"/>
  <c r="AZ20" i="11"/>
  <c r="AZ21" i="11"/>
  <c r="BA21" i="11" s="1"/>
  <c r="AZ22" i="11"/>
  <c r="AZ23" i="11"/>
  <c r="AZ9" i="11"/>
  <c r="BA9" i="11" s="1"/>
  <c r="AZ10" i="11"/>
  <c r="BA10" i="11" s="1"/>
  <c r="BB10" i="11" s="1"/>
  <c r="BC10" i="11" s="1"/>
  <c r="AZ11" i="11"/>
  <c r="BA11" i="11" s="1"/>
  <c r="AZ13" i="11"/>
  <c r="BA13" i="11" s="1"/>
  <c r="AZ14" i="11"/>
  <c r="AZ105" i="12" s="1"/>
  <c r="AZ15" i="11"/>
  <c r="AZ16" i="11"/>
  <c r="BA16" i="11" s="1"/>
  <c r="AZ17" i="11"/>
  <c r="AZ18" i="11"/>
  <c r="BA18" i="11" s="1"/>
  <c r="BB18" i="11" s="1"/>
  <c r="BC18" i="11" s="1"/>
  <c r="AZ25" i="11"/>
  <c r="BA25" i="11" s="1"/>
  <c r="BB25" i="11" s="1"/>
  <c r="AZ51" i="11"/>
  <c r="BA51" i="11" s="1"/>
  <c r="AS47" i="11"/>
  <c r="AS49" i="11" s="1"/>
  <c r="AT38" i="11"/>
  <c r="AT39" i="11"/>
  <c r="AU39" i="11" s="1"/>
  <c r="AT40" i="11"/>
  <c r="AT41" i="11"/>
  <c r="AT42" i="11"/>
  <c r="AU42" i="11" s="1"/>
  <c r="AV42" i="11" s="1"/>
  <c r="AT43" i="11"/>
  <c r="AU43" i="11" s="1"/>
  <c r="AV43" i="11" s="1"/>
  <c r="AT44" i="11"/>
  <c r="AU44" i="11" s="1"/>
  <c r="AV44" i="11" s="1"/>
  <c r="AW44" i="11" s="1"/>
  <c r="AT45" i="11"/>
  <c r="AT46" i="11"/>
  <c r="AU46" i="11" s="1"/>
  <c r="AV46" i="11" s="1"/>
  <c r="AW46" i="11" s="1"/>
  <c r="AT48" i="11"/>
  <c r="AU48" i="11" s="1"/>
  <c r="AV48" i="11" s="1"/>
  <c r="AW48" i="11" s="1"/>
  <c r="AU40" i="11"/>
  <c r="AT29" i="11"/>
  <c r="AT30" i="11"/>
  <c r="AT31" i="11"/>
  <c r="AT32" i="11"/>
  <c r="AU32" i="11" s="1"/>
  <c r="AT34" i="11"/>
  <c r="AT20" i="11"/>
  <c r="AT21" i="11"/>
  <c r="AU21" i="11" s="1"/>
  <c r="AV21" i="11" s="1"/>
  <c r="AW21" i="11" s="1"/>
  <c r="AT22" i="11"/>
  <c r="AU22" i="11" s="1"/>
  <c r="AV22" i="11" s="1"/>
  <c r="AT23" i="11"/>
  <c r="AU23" i="11" s="1"/>
  <c r="AT9" i="11"/>
  <c r="AT10" i="11"/>
  <c r="AU10" i="11" s="1"/>
  <c r="AV10" i="11" s="1"/>
  <c r="AT11" i="11"/>
  <c r="AU11" i="11" s="1"/>
  <c r="AT13" i="11"/>
  <c r="AU13" i="11" s="1"/>
  <c r="AV13" i="11" s="1"/>
  <c r="AT14" i="11"/>
  <c r="AT19" i="67" s="1"/>
  <c r="AT15" i="11"/>
  <c r="AT16" i="11"/>
  <c r="AU16" i="11" s="1"/>
  <c r="AV16" i="11" s="1"/>
  <c r="AW16" i="11" s="1"/>
  <c r="AT17" i="11"/>
  <c r="AU17" i="11" s="1"/>
  <c r="AT18" i="11"/>
  <c r="AU18" i="11" s="1"/>
  <c r="AT25" i="11"/>
  <c r="AU25" i="11" s="1"/>
  <c r="AV25" i="11" s="1"/>
  <c r="AW25" i="11" s="1"/>
  <c r="AT51" i="11"/>
  <c r="AU51" i="11" s="1"/>
  <c r="AV51" i="11" s="1"/>
  <c r="AW51" i="11" s="1"/>
  <c r="AM47" i="11"/>
  <c r="AM49" i="11" s="1"/>
  <c r="AN38" i="11"/>
  <c r="AN39" i="11"/>
  <c r="AN40" i="11"/>
  <c r="AO40" i="11" s="1"/>
  <c r="AP40" i="11" s="1"/>
  <c r="AQ40" i="11" s="1"/>
  <c r="AN41" i="11"/>
  <c r="AO41" i="11" s="1"/>
  <c r="AP41" i="11" s="1"/>
  <c r="AN42" i="11"/>
  <c r="AO42" i="11" s="1"/>
  <c r="AN43" i="11"/>
  <c r="AO43" i="11" s="1"/>
  <c r="AN44" i="11"/>
  <c r="AO44" i="11" s="1"/>
  <c r="AN45" i="11"/>
  <c r="AN46" i="11"/>
  <c r="AO46" i="11" s="1"/>
  <c r="AP46" i="11" s="1"/>
  <c r="AQ46" i="11" s="1"/>
  <c r="AN48" i="11"/>
  <c r="AO48" i="11" s="1"/>
  <c r="AP48" i="11" s="1"/>
  <c r="AQ48" i="11" s="1"/>
  <c r="AN29" i="11"/>
  <c r="AO29" i="11" s="1"/>
  <c r="AN30" i="11"/>
  <c r="AN31" i="11"/>
  <c r="AN32" i="11"/>
  <c r="AO32" i="11" s="1"/>
  <c r="AN34" i="11"/>
  <c r="AO34" i="11" s="1"/>
  <c r="AN20" i="11"/>
  <c r="AN21" i="11"/>
  <c r="AO21" i="11" s="1"/>
  <c r="AP21" i="11" s="1"/>
  <c r="AN22" i="11"/>
  <c r="AO22" i="11" s="1"/>
  <c r="AP22" i="11" s="1"/>
  <c r="AQ22" i="11" s="1"/>
  <c r="AN23" i="11"/>
  <c r="AN9" i="11"/>
  <c r="AN10" i="11"/>
  <c r="AN11" i="11"/>
  <c r="AO11" i="11" s="1"/>
  <c r="AP11" i="11" s="1"/>
  <c r="AQ11" i="11" s="1"/>
  <c r="AN13" i="11"/>
  <c r="AO13" i="11" s="1"/>
  <c r="AN14" i="11"/>
  <c r="AN15" i="11"/>
  <c r="AN16" i="11"/>
  <c r="AO16" i="11" s="1"/>
  <c r="AN17" i="11"/>
  <c r="AO17" i="11" s="1"/>
  <c r="AP17" i="11" s="1"/>
  <c r="AQ17" i="11" s="1"/>
  <c r="AN18" i="11"/>
  <c r="AO18" i="11" s="1"/>
  <c r="AN25" i="11"/>
  <c r="AO25" i="11" s="1"/>
  <c r="AP25" i="11" s="1"/>
  <c r="AQ25" i="11" s="1"/>
  <c r="AN51" i="11"/>
  <c r="AO51" i="11" s="1"/>
  <c r="AP51" i="11" s="1"/>
  <c r="AQ51" i="11" s="1"/>
  <c r="AG47" i="11"/>
  <c r="AG49" i="11" s="1"/>
  <c r="AI47" i="11"/>
  <c r="AI49" i="11" s="1"/>
  <c r="AJ38" i="11"/>
  <c r="AJ39" i="11"/>
  <c r="AK39" i="11" s="1"/>
  <c r="AJ40" i="11"/>
  <c r="AK40" i="11" s="1"/>
  <c r="AJ41" i="11"/>
  <c r="AK41" i="11" s="1"/>
  <c r="AJ42" i="11"/>
  <c r="AK42" i="11" s="1"/>
  <c r="AJ43" i="11"/>
  <c r="AK43" i="11" s="1"/>
  <c r="AJ44" i="11"/>
  <c r="AK44" i="11" s="1"/>
  <c r="AJ45" i="11"/>
  <c r="AJ29" i="11"/>
  <c r="AJ30" i="11"/>
  <c r="AJ31" i="11"/>
  <c r="AK32" i="11"/>
  <c r="AJ34" i="11"/>
  <c r="AK34" i="11" s="1"/>
  <c r="AJ20" i="11"/>
  <c r="AJ21" i="11"/>
  <c r="AK21" i="11" s="1"/>
  <c r="AJ22" i="11"/>
  <c r="AK22" i="11" s="1"/>
  <c r="AJ23" i="11"/>
  <c r="AK23" i="11" s="1"/>
  <c r="AJ9" i="11"/>
  <c r="AK9" i="11" s="1"/>
  <c r="AJ10" i="11"/>
  <c r="AK10" i="11" s="1"/>
  <c r="AH11" i="11"/>
  <c r="AH12" i="11" s="1"/>
  <c r="AH24" i="11" s="1"/>
  <c r="AH26" i="11" s="1"/>
  <c r="AJ13" i="11"/>
  <c r="AK13" i="11" s="1"/>
  <c r="AJ15" i="11"/>
  <c r="AJ16" i="11"/>
  <c r="AK16" i="11" s="1"/>
  <c r="AJ17" i="11"/>
  <c r="AK17" i="11" s="1"/>
  <c r="AJ18" i="11"/>
  <c r="AK18" i="11" s="1"/>
  <c r="AJ25" i="11"/>
  <c r="AK25" i="11" s="1"/>
  <c r="AJ51" i="11"/>
  <c r="AK51" i="11" s="1"/>
  <c r="AA47" i="11"/>
  <c r="AA49" i="11" s="1"/>
  <c r="AB38" i="11"/>
  <c r="AB39" i="11"/>
  <c r="AC39" i="11" s="1"/>
  <c r="AD39" i="11" s="1"/>
  <c r="AE39" i="11" s="1"/>
  <c r="AB40" i="11"/>
  <c r="AB41" i="11"/>
  <c r="AB42" i="11"/>
  <c r="AB43" i="11"/>
  <c r="AC43" i="11" s="1"/>
  <c r="AD43" i="11" s="1"/>
  <c r="AB44" i="11"/>
  <c r="AB82" i="11" s="1"/>
  <c r="AB45" i="11"/>
  <c r="AB46" i="11"/>
  <c r="AB48" i="11"/>
  <c r="AC48" i="11" s="1"/>
  <c r="AC40" i="11"/>
  <c r="AD40" i="11" s="1"/>
  <c r="AC41" i="11"/>
  <c r="AB29" i="11"/>
  <c r="AB30" i="11"/>
  <c r="AC30" i="11" s="1"/>
  <c r="AB31" i="11"/>
  <c r="AB32" i="11"/>
  <c r="AB34" i="11"/>
  <c r="AC34" i="11" s="1"/>
  <c r="AB20" i="11"/>
  <c r="AC20" i="11" s="1"/>
  <c r="AB21" i="11"/>
  <c r="AC21" i="11" s="1"/>
  <c r="AB22" i="11"/>
  <c r="AB23" i="11"/>
  <c r="AC23" i="11" s="1"/>
  <c r="AB9" i="11"/>
  <c r="AC9" i="11" s="1"/>
  <c r="AD9" i="11" s="1"/>
  <c r="AB10" i="11"/>
  <c r="AC10" i="11" s="1"/>
  <c r="AB11" i="11"/>
  <c r="AB13" i="11"/>
  <c r="AC13" i="11" s="1"/>
  <c r="AD13" i="11" s="1"/>
  <c r="AB14" i="11"/>
  <c r="AB15" i="11"/>
  <c r="AB16" i="11"/>
  <c r="AB17" i="11"/>
  <c r="AC17" i="11" s="1"/>
  <c r="AD17" i="11" s="1"/>
  <c r="AB18" i="11"/>
  <c r="AC18" i="11" s="1"/>
  <c r="AD18" i="11" s="1"/>
  <c r="AE18" i="11" s="1"/>
  <c r="AB25" i="11"/>
  <c r="AC25" i="11" s="1"/>
  <c r="AB51" i="11"/>
  <c r="AC51" i="11" s="1"/>
  <c r="U47" i="11"/>
  <c r="U49" i="11" s="1"/>
  <c r="V38" i="11"/>
  <c r="V39" i="11"/>
  <c r="W39" i="11" s="1"/>
  <c r="V40" i="11"/>
  <c r="V41" i="11"/>
  <c r="W41" i="11" s="1"/>
  <c r="X41" i="11" s="1"/>
  <c r="Y41" i="11" s="1"/>
  <c r="V42" i="11"/>
  <c r="W42" i="11" s="1"/>
  <c r="V43" i="11"/>
  <c r="W43" i="11" s="1"/>
  <c r="V44" i="11"/>
  <c r="V82" i="11" s="1"/>
  <c r="V45" i="11"/>
  <c r="V46" i="11"/>
  <c r="V48" i="11"/>
  <c r="W48" i="11" s="1"/>
  <c r="V29" i="11"/>
  <c r="V30" i="11"/>
  <c r="W30" i="11" s="1"/>
  <c r="V31" i="11"/>
  <c r="V32" i="11"/>
  <c r="W32" i="11" s="1"/>
  <c r="V34" i="11"/>
  <c r="W34" i="11" s="1"/>
  <c r="X34" i="11" s="1"/>
  <c r="Y34" i="11" s="1"/>
  <c r="V20" i="11"/>
  <c r="V21" i="11"/>
  <c r="V22" i="11"/>
  <c r="W22" i="11" s="1"/>
  <c r="V23" i="11"/>
  <c r="W23" i="11" s="1"/>
  <c r="X23" i="11" s="1"/>
  <c r="V9" i="11"/>
  <c r="W9" i="11" s="1"/>
  <c r="X9" i="11" s="1"/>
  <c r="Y9" i="11" s="1"/>
  <c r="V10" i="11"/>
  <c r="V11" i="11"/>
  <c r="W11" i="11" s="1"/>
  <c r="V13" i="11"/>
  <c r="W13" i="11" s="1"/>
  <c r="X13" i="11" s="1"/>
  <c r="Y13" i="11" s="1"/>
  <c r="V14" i="11"/>
  <c r="V19" i="67" s="1"/>
  <c r="V15" i="11"/>
  <c r="V16" i="11"/>
  <c r="W16" i="11" s="1"/>
  <c r="X16" i="11" s="1"/>
  <c r="Y16" i="11" s="1"/>
  <c r="V17" i="11"/>
  <c r="W17" i="11" s="1"/>
  <c r="X17" i="11" s="1"/>
  <c r="V18" i="11"/>
  <c r="W18" i="11" s="1"/>
  <c r="X18" i="11" s="1"/>
  <c r="V25" i="11"/>
  <c r="V51" i="11"/>
  <c r="W51" i="11" s="1"/>
  <c r="X51" i="11" s="1"/>
  <c r="Y51" i="11" s="1"/>
  <c r="O47" i="11"/>
  <c r="O49" i="11" s="1"/>
  <c r="P38" i="11"/>
  <c r="P39" i="11"/>
  <c r="P40" i="11"/>
  <c r="Q40" i="11" s="1"/>
  <c r="R40" i="11" s="1"/>
  <c r="S40" i="11" s="1"/>
  <c r="P41" i="11"/>
  <c r="P42" i="11"/>
  <c r="Q42" i="11" s="1"/>
  <c r="P43" i="11"/>
  <c r="Q43" i="11" s="1"/>
  <c r="P44" i="11"/>
  <c r="P82" i="11" s="1"/>
  <c r="P45" i="11"/>
  <c r="P88" i="11" s="1"/>
  <c r="P46" i="11"/>
  <c r="P51" i="67" s="1"/>
  <c r="P48" i="11"/>
  <c r="Q48" i="11" s="1"/>
  <c r="P29" i="11"/>
  <c r="P98" i="12" s="1"/>
  <c r="P99" i="12" s="1"/>
  <c r="P30" i="11"/>
  <c r="Q30" i="11" s="1"/>
  <c r="R30" i="11" s="1"/>
  <c r="P31" i="11"/>
  <c r="P32" i="11"/>
  <c r="P34" i="11"/>
  <c r="Q34" i="11" s="1"/>
  <c r="R34" i="11" s="1"/>
  <c r="P20" i="11"/>
  <c r="Q20" i="11" s="1"/>
  <c r="P21" i="11"/>
  <c r="Q21" i="11" s="1"/>
  <c r="P22" i="11"/>
  <c r="P23" i="11"/>
  <c r="Q23" i="11" s="1"/>
  <c r="P9" i="11"/>
  <c r="Q9" i="11" s="1"/>
  <c r="R9" i="11" s="1"/>
  <c r="P10" i="11"/>
  <c r="Q10" i="11" s="1"/>
  <c r="R10" i="11" s="1"/>
  <c r="S10" i="11" s="1"/>
  <c r="P11" i="11"/>
  <c r="S13" i="11"/>
  <c r="S14" i="11"/>
  <c r="S15" i="11"/>
  <c r="S16" i="11"/>
  <c r="S17" i="11"/>
  <c r="P18" i="11"/>
  <c r="Q18" i="11" s="1"/>
  <c r="P25" i="11"/>
  <c r="Q25" i="11" s="1"/>
  <c r="P51" i="11"/>
  <c r="Q51" i="11" s="1"/>
  <c r="I47" i="11"/>
  <c r="I49" i="11" s="1"/>
  <c r="J38" i="11"/>
  <c r="J39" i="11"/>
  <c r="K39" i="11" s="1"/>
  <c r="J40" i="11"/>
  <c r="J41" i="11"/>
  <c r="K41" i="11" s="1"/>
  <c r="J42" i="11"/>
  <c r="K42" i="11" s="1"/>
  <c r="L42" i="11" s="1"/>
  <c r="J43" i="11"/>
  <c r="K43" i="11" s="1"/>
  <c r="J44" i="11"/>
  <c r="J82" i="11" s="1"/>
  <c r="J45" i="11"/>
  <c r="J46" i="11"/>
  <c r="J51" i="67" s="1"/>
  <c r="J48" i="11"/>
  <c r="J29" i="11"/>
  <c r="J30" i="11"/>
  <c r="K30" i="11" s="1"/>
  <c r="J32" i="11"/>
  <c r="K32" i="11" s="1"/>
  <c r="L32" i="11" s="1"/>
  <c r="M32" i="11" s="1"/>
  <c r="J34" i="11"/>
  <c r="K34" i="11" s="1"/>
  <c r="J20" i="11"/>
  <c r="K20" i="11" s="1"/>
  <c r="J21" i="11"/>
  <c r="K21" i="11" s="1"/>
  <c r="L21" i="11" s="1"/>
  <c r="M21" i="11" s="1"/>
  <c r="J22" i="11"/>
  <c r="K22" i="11" s="1"/>
  <c r="J23" i="11"/>
  <c r="J9" i="11"/>
  <c r="K9" i="11" s="1"/>
  <c r="J10" i="11"/>
  <c r="K10" i="11" s="1"/>
  <c r="J11" i="11"/>
  <c r="K11" i="11" s="1"/>
  <c r="L11" i="11" s="1"/>
  <c r="M11" i="11" s="1"/>
  <c r="J13" i="11"/>
  <c r="J14" i="11"/>
  <c r="J15" i="11"/>
  <c r="J16" i="11"/>
  <c r="K16" i="11" s="1"/>
  <c r="J17" i="11"/>
  <c r="K17" i="11" s="1"/>
  <c r="J18" i="11"/>
  <c r="K18" i="11" s="1"/>
  <c r="J25" i="11"/>
  <c r="K25" i="11" s="1"/>
  <c r="L25" i="11" s="1"/>
  <c r="M25" i="11" s="1"/>
  <c r="J51" i="11"/>
  <c r="D38" i="11"/>
  <c r="D39" i="11"/>
  <c r="E39" i="11" s="1"/>
  <c r="D40" i="11"/>
  <c r="E40" i="11" s="1"/>
  <c r="D41" i="11"/>
  <c r="D42" i="11"/>
  <c r="E42" i="11" s="1"/>
  <c r="F42" i="11" s="1"/>
  <c r="D43" i="11"/>
  <c r="E43" i="11" s="1"/>
  <c r="D44" i="11"/>
  <c r="E44" i="11" s="1"/>
  <c r="E82" i="11" s="1"/>
  <c r="D45" i="11"/>
  <c r="D46" i="11"/>
  <c r="D51" i="67" s="1"/>
  <c r="D48" i="11"/>
  <c r="E48" i="11" s="1"/>
  <c r="D29" i="11"/>
  <c r="D30" i="11"/>
  <c r="D32" i="11"/>
  <c r="E32" i="11" s="1"/>
  <c r="F32" i="11" s="1"/>
  <c r="G32" i="11" s="1"/>
  <c r="D34" i="11"/>
  <c r="E34" i="11" s="1"/>
  <c r="D20" i="11"/>
  <c r="E20" i="11" s="1"/>
  <c r="D21" i="11"/>
  <c r="E21" i="11" s="1"/>
  <c r="D22" i="11"/>
  <c r="E22" i="11" s="1"/>
  <c r="D23" i="11"/>
  <c r="E23" i="11" s="1"/>
  <c r="F23" i="11" s="1"/>
  <c r="G23" i="11" s="1"/>
  <c r="D9" i="11"/>
  <c r="E9" i="11" s="1"/>
  <c r="D10" i="11"/>
  <c r="D11" i="11"/>
  <c r="E11" i="11" s="1"/>
  <c r="D13" i="11"/>
  <c r="E13" i="11" s="1"/>
  <c r="F13" i="11" s="1"/>
  <c r="G13" i="11" s="1"/>
  <c r="D14" i="11"/>
  <c r="D15" i="11"/>
  <c r="D16" i="11"/>
  <c r="E16" i="11" s="1"/>
  <c r="D17" i="11"/>
  <c r="E17" i="11" s="1"/>
  <c r="D25" i="11"/>
  <c r="E25" i="11" s="1"/>
  <c r="D51" i="11"/>
  <c r="G55" i="11"/>
  <c r="BF110" i="12"/>
  <c r="BF102" i="12" s="1"/>
  <c r="BG97" i="12" s="1"/>
  <c r="BF122" i="12"/>
  <c r="BG117" i="12" s="1"/>
  <c r="BE98" i="12"/>
  <c r="BE99" i="12" s="1"/>
  <c r="U104" i="12"/>
  <c r="Y104" i="12" s="1"/>
  <c r="V119" i="12"/>
  <c r="W119" i="12" s="1"/>
  <c r="U105" i="12"/>
  <c r="V104" i="12"/>
  <c r="W104" i="12"/>
  <c r="X104" i="12"/>
  <c r="Y16" i="12"/>
  <c r="AA98" i="12"/>
  <c r="AA99" i="12" s="1"/>
  <c r="AE100" i="12"/>
  <c r="AA110" i="12"/>
  <c r="AA102" i="12" s="1"/>
  <c r="X110" i="12"/>
  <c r="X102" i="12" s="1"/>
  <c r="AA97" i="12" s="1"/>
  <c r="AB110" i="12"/>
  <c r="AB102" i="12" s="1"/>
  <c r="AC97" i="12" s="1"/>
  <c r="AC110" i="12"/>
  <c r="AC102" i="12" s="1"/>
  <c r="AD97" i="12" s="1"/>
  <c r="AD110" i="12"/>
  <c r="AD102" i="12" s="1"/>
  <c r="AG97" i="12" s="1"/>
  <c r="AG98" i="12"/>
  <c r="AG99" i="12" s="1"/>
  <c r="AH98" i="12"/>
  <c r="AH99" i="12" s="1"/>
  <c r="AI98" i="12"/>
  <c r="AI99" i="12" s="1"/>
  <c r="AK100" i="12"/>
  <c r="AG110" i="12"/>
  <c r="AG102" i="12" s="1"/>
  <c r="AH97" i="12" s="1"/>
  <c r="AH110" i="12"/>
  <c r="AH102" i="12" s="1"/>
  <c r="AI97" i="12" s="1"/>
  <c r="AI110" i="12"/>
  <c r="AI102" i="12" s="1"/>
  <c r="AJ97" i="12" s="1"/>
  <c r="AJ110" i="12"/>
  <c r="AJ102" i="12" s="1"/>
  <c r="AM97" i="12" s="1"/>
  <c r="AM98" i="12"/>
  <c r="AM99" i="12" s="1"/>
  <c r="AQ100" i="12"/>
  <c r="AM110" i="12"/>
  <c r="AM102" i="12" s="1"/>
  <c r="AN97" i="12" s="1"/>
  <c r="AN110" i="12"/>
  <c r="AO110" i="12"/>
  <c r="AO102" i="12" s="1"/>
  <c r="AP97" i="12" s="1"/>
  <c r="AP110" i="12"/>
  <c r="AP102" i="12" s="1"/>
  <c r="AS98" i="12"/>
  <c r="AS99" i="12" s="1"/>
  <c r="AW100" i="12"/>
  <c r="AS110" i="12"/>
  <c r="AS102" i="12" s="1"/>
  <c r="AT97" i="12" s="1"/>
  <c r="AT110" i="12"/>
  <c r="AT102" i="12" s="1"/>
  <c r="AU110" i="12"/>
  <c r="AU102" i="12" s="1"/>
  <c r="AV110" i="12"/>
  <c r="AV102" i="12" s="1"/>
  <c r="AY98" i="12"/>
  <c r="AY99" i="12" s="1"/>
  <c r="BC100" i="12"/>
  <c r="AY110" i="12"/>
  <c r="AY102" i="12" s="1"/>
  <c r="AZ97" i="12" s="1"/>
  <c r="AZ110" i="12"/>
  <c r="AZ102" i="12" s="1"/>
  <c r="BA97" i="12" s="1"/>
  <c r="BA110" i="12"/>
  <c r="BA102" i="12" s="1"/>
  <c r="BB97" i="12" s="1"/>
  <c r="BB110" i="12"/>
  <c r="BB102" i="12" s="1"/>
  <c r="BE110" i="12"/>
  <c r="BE102" i="12" s="1"/>
  <c r="BF97" i="12" s="1"/>
  <c r="Y18" i="12"/>
  <c r="AE118" i="12"/>
  <c r="AB119" i="12"/>
  <c r="AC119" i="12" s="1"/>
  <c r="AA122" i="12"/>
  <c r="AB122" i="12"/>
  <c r="AC117" i="12" s="1"/>
  <c r="AC122" i="12"/>
  <c r="AD117" i="12" s="1"/>
  <c r="AD122" i="12"/>
  <c r="AK118" i="12"/>
  <c r="AH119" i="12"/>
  <c r="AG122" i="12"/>
  <c r="AH117" i="12" s="1"/>
  <c r="AH122" i="12"/>
  <c r="AI117" i="12" s="1"/>
  <c r="AI122" i="12"/>
  <c r="AJ117" i="12" s="1"/>
  <c r="AJ122" i="12"/>
  <c r="AQ118" i="12"/>
  <c r="AN119" i="12"/>
  <c r="AO119" i="12" s="1"/>
  <c r="AM122" i="12"/>
  <c r="AN117" i="12" s="1"/>
  <c r="AN122" i="12"/>
  <c r="AO117" i="12" s="1"/>
  <c r="AO122" i="12"/>
  <c r="AP117" i="12" s="1"/>
  <c r="AP122" i="12"/>
  <c r="AW118" i="12"/>
  <c r="AW119" i="12"/>
  <c r="AS122" i="12"/>
  <c r="AT117" i="12" s="1"/>
  <c r="AT120" i="12" s="1"/>
  <c r="AT122" i="12"/>
  <c r="AU117" i="12" s="1"/>
  <c r="AU120" i="12" s="1"/>
  <c r="AU122" i="12"/>
  <c r="AV117" i="12" s="1"/>
  <c r="AV122" i="12"/>
  <c r="BC118" i="12"/>
  <c r="BB119" i="12"/>
  <c r="AY122" i="12"/>
  <c r="AZ117" i="12" s="1"/>
  <c r="AZ120" i="12" s="1"/>
  <c r="AZ122" i="12"/>
  <c r="BA117" i="12" s="1"/>
  <c r="BA122" i="12"/>
  <c r="BB117" i="12" s="1"/>
  <c r="BB122" i="12"/>
  <c r="BE122" i="12"/>
  <c r="BF117" i="12" s="1"/>
  <c r="BQ45" i="11"/>
  <c r="BO30" i="11"/>
  <c r="BO31" i="11"/>
  <c r="BO32" i="11"/>
  <c r="BO34" i="11"/>
  <c r="BO13" i="11"/>
  <c r="BO16" i="11"/>
  <c r="BO17" i="11"/>
  <c r="BO25" i="11"/>
  <c r="BO51" i="11"/>
  <c r="BR45" i="11"/>
  <c r="BR99" i="12"/>
  <c r="BS99" i="12" s="1"/>
  <c r="BQ100" i="12"/>
  <c r="BQ118" i="12"/>
  <c r="BS45" i="11"/>
  <c r="BR100" i="12"/>
  <c r="BR118" i="12"/>
  <c r="BS100" i="12"/>
  <c r="BS118" i="12"/>
  <c r="AZ46" i="12"/>
  <c r="AZ47" i="12" s="1"/>
  <c r="BU88" i="11"/>
  <c r="BT72" i="40"/>
  <c r="BS72" i="40"/>
  <c r="BR72" i="40"/>
  <c r="BQ72" i="40"/>
  <c r="BN72" i="40"/>
  <c r="BM72" i="40"/>
  <c r="BL72" i="40"/>
  <c r="BK72" i="40"/>
  <c r="BH72" i="40"/>
  <c r="BG72" i="40"/>
  <c r="BF72" i="40"/>
  <c r="BE72" i="40"/>
  <c r="BB72" i="40"/>
  <c r="BA72" i="40"/>
  <c r="AZ72" i="40"/>
  <c r="AY72" i="40"/>
  <c r="AV72" i="40"/>
  <c r="AU72" i="40"/>
  <c r="AT72" i="40"/>
  <c r="AS72" i="40"/>
  <c r="AP72" i="40"/>
  <c r="AO72" i="40"/>
  <c r="AN72" i="40"/>
  <c r="AM72" i="40"/>
  <c r="AJ72" i="40"/>
  <c r="AI72" i="40"/>
  <c r="AH72" i="40"/>
  <c r="AG72" i="40"/>
  <c r="AD72" i="40"/>
  <c r="AC72" i="40"/>
  <c r="AB72" i="40"/>
  <c r="AA72" i="40"/>
  <c r="X72" i="40"/>
  <c r="W72" i="40"/>
  <c r="V72" i="40"/>
  <c r="U72" i="40"/>
  <c r="AJ61" i="40"/>
  <c r="AI61" i="40"/>
  <c r="AG61" i="40"/>
  <c r="AA61" i="40"/>
  <c r="AQ60" i="40"/>
  <c r="AK60" i="40"/>
  <c r="AE60" i="40"/>
  <c r="AE59" i="40"/>
  <c r="AK59" i="40" s="1"/>
  <c r="AQ59" i="40" s="1"/>
  <c r="AW59" i="40" s="1"/>
  <c r="BC59" i="40" s="1"/>
  <c r="BI59" i="40" s="1"/>
  <c r="BO59" i="40" s="1"/>
  <c r="BU59" i="40" s="1"/>
  <c r="CA59" i="40" s="1"/>
  <c r="CG59" i="40" s="1"/>
  <c r="AH58" i="40"/>
  <c r="AH61" i="40" s="1"/>
  <c r="AB58" i="40"/>
  <c r="AC58" i="40" s="1"/>
  <c r="AG56" i="40"/>
  <c r="AA56" i="40"/>
  <c r="AE55" i="40"/>
  <c r="AE54" i="40"/>
  <c r="AK54" i="40" s="1"/>
  <c r="AH53" i="40"/>
  <c r="AH56" i="40" s="1"/>
  <c r="AB53" i="40"/>
  <c r="AB56" i="40" s="1"/>
  <c r="BT51" i="40"/>
  <c r="BS51" i="40"/>
  <c r="BR51" i="40"/>
  <c r="BQ51" i="40"/>
  <c r="BN51" i="40"/>
  <c r="BM51" i="40"/>
  <c r="BL51" i="40"/>
  <c r="BK51" i="40"/>
  <c r="BH51" i="40"/>
  <c r="BG51" i="40"/>
  <c r="BF51" i="40"/>
  <c r="BE51" i="40"/>
  <c r="BB51" i="40"/>
  <c r="BA51" i="40"/>
  <c r="AZ51" i="40"/>
  <c r="AY51" i="40"/>
  <c r="AV51" i="40"/>
  <c r="AU51" i="40"/>
  <c r="AT51" i="40"/>
  <c r="AS51" i="40"/>
  <c r="AP51" i="40"/>
  <c r="AO51" i="40"/>
  <c r="AN51" i="40"/>
  <c r="AM51" i="40"/>
  <c r="AJ51" i="40"/>
  <c r="AI51" i="40"/>
  <c r="AD51" i="40"/>
  <c r="AE51" i="40" s="1"/>
  <c r="AE50" i="40"/>
  <c r="AE49" i="40"/>
  <c r="AK49" i="40" s="1"/>
  <c r="AQ49" i="40" s="1"/>
  <c r="AW49" i="40" s="1"/>
  <c r="BC49" i="40" s="1"/>
  <c r="BI49" i="40" s="1"/>
  <c r="BO49" i="40" s="1"/>
  <c r="BU49" i="40" s="1"/>
  <c r="CA49" i="40" s="1"/>
  <c r="CG49" i="40" s="1"/>
  <c r="AE48" i="40"/>
  <c r="AK48" i="40" s="1"/>
  <c r="AQ48" i="40" s="1"/>
  <c r="AH46" i="40"/>
  <c r="AB46" i="40"/>
  <c r="AC46" i="40" s="1"/>
  <c r="X43" i="40"/>
  <c r="X41" i="40" s="1"/>
  <c r="AG43" i="40"/>
  <c r="AG42" i="40"/>
  <c r="AA43" i="40"/>
  <c r="AA42" i="40"/>
  <c r="BF35" i="40"/>
  <c r="BE35" i="40"/>
  <c r="BI35" i="40" s="1"/>
  <c r="BB35" i="40"/>
  <c r="BA35" i="40"/>
  <c r="AZ35" i="40"/>
  <c r="AY35" i="40"/>
  <c r="BC35" i="40" s="1"/>
  <c r="AV35" i="40"/>
  <c r="AU35" i="40"/>
  <c r="AT35" i="40"/>
  <c r="AS35" i="40"/>
  <c r="AW35" i="40" s="1"/>
  <c r="AP35" i="40"/>
  <c r="AO35" i="40"/>
  <c r="AN35" i="40"/>
  <c r="AM35" i="40"/>
  <c r="AQ35" i="40" s="1"/>
  <c r="AJ35" i="40"/>
  <c r="AI35" i="40"/>
  <c r="AH35" i="40"/>
  <c r="AE32" i="40"/>
  <c r="BB32" i="40"/>
  <c r="AP32" i="40"/>
  <c r="AH32" i="40"/>
  <c r="AG32" i="40"/>
  <c r="AE29" i="40"/>
  <c r="AE26" i="40"/>
  <c r="AE24" i="40"/>
  <c r="AE23" i="40"/>
  <c r="AE22" i="40"/>
  <c r="BT39" i="11"/>
  <c r="BS39" i="11"/>
  <c r="BR38" i="11"/>
  <c r="BQ39" i="11"/>
  <c r="BF29" i="40"/>
  <c r="BF24" i="40"/>
  <c r="BF23" i="40"/>
  <c r="BF22" i="40"/>
  <c r="BB29" i="40"/>
  <c r="BA29" i="40"/>
  <c r="AZ29" i="40"/>
  <c r="BB24" i="40"/>
  <c r="BA24" i="40"/>
  <c r="AZ24" i="40"/>
  <c r="BB23" i="40"/>
  <c r="BA23" i="40"/>
  <c r="AZ23" i="40"/>
  <c r="BB22" i="40"/>
  <c r="BA22" i="40"/>
  <c r="AZ22" i="40"/>
  <c r="AV29" i="40"/>
  <c r="AU29" i="40"/>
  <c r="AT29" i="40"/>
  <c r="AV24" i="40"/>
  <c r="AU24" i="40"/>
  <c r="AT24" i="40"/>
  <c r="AV23" i="40"/>
  <c r="AU23" i="40"/>
  <c r="AT23" i="40"/>
  <c r="AV22" i="40"/>
  <c r="AU22" i="40"/>
  <c r="AT22" i="40"/>
  <c r="AP29" i="40"/>
  <c r="AO29" i="40"/>
  <c r="AN29" i="40"/>
  <c r="AP24" i="40"/>
  <c r="AO24" i="40"/>
  <c r="AN24" i="40"/>
  <c r="AP23" i="40"/>
  <c r="AO23" i="40"/>
  <c r="AN23" i="40"/>
  <c r="AP22" i="40"/>
  <c r="AO22" i="40"/>
  <c r="AN22" i="40"/>
  <c r="AJ29" i="40"/>
  <c r="AI29" i="40"/>
  <c r="AH29" i="40"/>
  <c r="AG29" i="40"/>
  <c r="AH26" i="40"/>
  <c r="AG26" i="40"/>
  <c r="AJ24" i="40"/>
  <c r="AI24" i="40"/>
  <c r="AH24" i="40"/>
  <c r="AG24" i="40"/>
  <c r="AJ23" i="40"/>
  <c r="AI23" i="40"/>
  <c r="AH23" i="40"/>
  <c r="AG23" i="40"/>
  <c r="AJ22" i="40"/>
  <c r="AI22" i="40"/>
  <c r="AH22" i="40"/>
  <c r="AH28" i="40" s="1"/>
  <c r="AG22" i="40"/>
  <c r="BC17" i="40"/>
  <c r="BE29" i="40" s="1"/>
  <c r="BC14" i="40"/>
  <c r="BC12" i="40"/>
  <c r="BE24" i="40" s="1"/>
  <c r="BC11" i="40"/>
  <c r="BC10" i="40"/>
  <c r="BE22" i="40" s="1"/>
  <c r="AW17" i="40"/>
  <c r="AW12" i="40"/>
  <c r="AW11" i="40"/>
  <c r="AY23" i="40" s="1"/>
  <c r="AW10" i="40"/>
  <c r="AY22" i="40" s="1"/>
  <c r="AQ17" i="40"/>
  <c r="AS29" i="40" s="1"/>
  <c r="AQ14" i="40"/>
  <c r="AQ12" i="40"/>
  <c r="AQ11" i="40"/>
  <c r="AQ10" i="40"/>
  <c r="AS22" i="40" s="1"/>
  <c r="AK17" i="40"/>
  <c r="AM29" i="40" s="1"/>
  <c r="AK12" i="40"/>
  <c r="AK24" i="40" s="1"/>
  <c r="AK11" i="40"/>
  <c r="AK23" i="40" s="1"/>
  <c r="AK10" i="40"/>
  <c r="AM22" i="40" s="1"/>
  <c r="BB16" i="40"/>
  <c r="BB19" i="40" s="1"/>
  <c r="AP16" i="40"/>
  <c r="AH16" i="40"/>
  <c r="AH19" i="40" s="1"/>
  <c r="AG16" i="40"/>
  <c r="AG19" i="40" s="1"/>
  <c r="AE16" i="40"/>
  <c r="AE18" i="40" s="1"/>
  <c r="AE30" i="40" s="1"/>
  <c r="BF14" i="40"/>
  <c r="BE14" i="40"/>
  <c r="BA14" i="40"/>
  <c r="BA16" i="40" s="1"/>
  <c r="AZ14" i="40"/>
  <c r="AY14" i="40"/>
  <c r="AY32" i="40"/>
  <c r="AV14" i="40"/>
  <c r="AU14" i="40"/>
  <c r="AT14" i="40"/>
  <c r="AS14" i="40"/>
  <c r="AS16" i="40" s="1"/>
  <c r="AS18" i="40" s="1"/>
  <c r="AO14" i="40"/>
  <c r="AN14" i="40"/>
  <c r="AM14" i="40"/>
  <c r="AM16" i="40" s="1"/>
  <c r="AJ14" i="40"/>
  <c r="AI14" i="40"/>
  <c r="AI16" i="40" s="1"/>
  <c r="AI19" i="40" s="1"/>
  <c r="BI14" i="40"/>
  <c r="BI12" i="40"/>
  <c r="BK24" i="40" s="1"/>
  <c r="Y89" i="11"/>
  <c r="Y48" i="67" s="1"/>
  <c r="S89" i="11"/>
  <c r="S48" i="67" s="1"/>
  <c r="M89" i="11"/>
  <c r="M48" i="67" s="1"/>
  <c r="G89" i="11"/>
  <c r="G48" i="67" s="1"/>
  <c r="BF89" i="11"/>
  <c r="AZ89" i="11"/>
  <c r="AZ48" i="67" s="1"/>
  <c r="BE89" i="11"/>
  <c r="AY89" i="11"/>
  <c r="AY48" i="67" s="1"/>
  <c r="AQ89" i="11"/>
  <c r="AQ48" i="67" s="1"/>
  <c r="AP89" i="11"/>
  <c r="AP48" i="67" s="1"/>
  <c r="AO89" i="11"/>
  <c r="AO48" i="67" s="1"/>
  <c r="AN89" i="11"/>
  <c r="AN48" i="67" s="1"/>
  <c r="AM89" i="11"/>
  <c r="AM48" i="67" s="1"/>
  <c r="AK89" i="11"/>
  <c r="AK48" i="67" s="1"/>
  <c r="AJ89" i="11"/>
  <c r="AJ48" i="67" s="1"/>
  <c r="AI89" i="11"/>
  <c r="AI48" i="67" s="1"/>
  <c r="AH89" i="11"/>
  <c r="AH48" i="67" s="1"/>
  <c r="AB89" i="11"/>
  <c r="AB48" i="67" s="1"/>
  <c r="AG89" i="11"/>
  <c r="AA89" i="11"/>
  <c r="AA48" i="67" s="1"/>
  <c r="BE88" i="11"/>
  <c r="BB89" i="11"/>
  <c r="BB48" i="67" s="1"/>
  <c r="AV89" i="11"/>
  <c r="AV48" i="67" s="1"/>
  <c r="BA89" i="11"/>
  <c r="AU89" i="11"/>
  <c r="AU48" i="67" s="1"/>
  <c r="AT89" i="11"/>
  <c r="AY88" i="11"/>
  <c r="AS89" i="11"/>
  <c r="AS48" i="67" s="1"/>
  <c r="AS88" i="11"/>
  <c r="AI88" i="11"/>
  <c r="AH88" i="11"/>
  <c r="AD89" i="11"/>
  <c r="AD48" i="67" s="1"/>
  <c r="AC89" i="11"/>
  <c r="AC48" i="67" s="1"/>
  <c r="W89" i="11"/>
  <c r="W48" i="67" s="1"/>
  <c r="V89" i="11"/>
  <c r="V48" i="67" s="1"/>
  <c r="U89" i="11"/>
  <c r="U48" i="67" s="1"/>
  <c r="AA88" i="11"/>
  <c r="X89" i="11"/>
  <c r="X48" i="67" s="1"/>
  <c r="U88" i="11"/>
  <c r="R89" i="11"/>
  <c r="R48" i="67" s="1"/>
  <c r="Q89" i="11"/>
  <c r="Q48" i="67" s="1"/>
  <c r="P89" i="11"/>
  <c r="P48" i="67" s="1"/>
  <c r="O89" i="11"/>
  <c r="O48" i="67" s="1"/>
  <c r="O88" i="11"/>
  <c r="L89" i="11"/>
  <c r="L48" i="67" s="1"/>
  <c r="K89" i="11"/>
  <c r="K48" i="67" s="1"/>
  <c r="J89" i="11"/>
  <c r="J48" i="67" s="1"/>
  <c r="I89" i="11"/>
  <c r="I48" i="67" s="1"/>
  <c r="I88" i="11"/>
  <c r="F89" i="11"/>
  <c r="F48" i="67" s="1"/>
  <c r="E89" i="11"/>
  <c r="E48" i="67" s="1"/>
  <c r="D89" i="11"/>
  <c r="D48" i="67" s="1"/>
  <c r="C89" i="11"/>
  <c r="C48" i="67" s="1"/>
  <c r="C88" i="11"/>
  <c r="BE82" i="11"/>
  <c r="BE83" i="11" s="1"/>
  <c r="AY82" i="11"/>
  <c r="AY83" i="11" s="1"/>
  <c r="AS82" i="11"/>
  <c r="AS83" i="11" s="1"/>
  <c r="AM82" i="11"/>
  <c r="AI82" i="11"/>
  <c r="AH82" i="11"/>
  <c r="AA82" i="11"/>
  <c r="U82" i="11"/>
  <c r="O82" i="11"/>
  <c r="I82" i="11"/>
  <c r="C82" i="11"/>
  <c r="AA80" i="11"/>
  <c r="Y80" i="11"/>
  <c r="U80" i="11"/>
  <c r="S80" i="11"/>
  <c r="O80" i="11"/>
  <c r="M80" i="11"/>
  <c r="I80" i="11"/>
  <c r="C78" i="11"/>
  <c r="AJ75" i="11"/>
  <c r="AG75" i="11"/>
  <c r="AG71" i="11"/>
  <c r="AH71" i="11" s="1"/>
  <c r="AE75" i="11"/>
  <c r="AK75" i="11" s="1"/>
  <c r="AQ75" i="11" s="1"/>
  <c r="AW75" i="11" s="1"/>
  <c r="BC75" i="11" s="1"/>
  <c r="BE73" i="11"/>
  <c r="BF73" i="11" s="1"/>
  <c r="AY73" i="11"/>
  <c r="AA73" i="11"/>
  <c r="AB73" i="11" s="1"/>
  <c r="AC73" i="11" s="1"/>
  <c r="Y73" i="11"/>
  <c r="U73" i="11"/>
  <c r="S73" i="11"/>
  <c r="O73" i="11"/>
  <c r="M73" i="11"/>
  <c r="I73" i="11"/>
  <c r="C73" i="11"/>
  <c r="V72" i="11"/>
  <c r="W72" i="11" s="1"/>
  <c r="V71" i="11"/>
  <c r="W71" i="11" s="1"/>
  <c r="P71" i="11"/>
  <c r="Q71" i="11" s="1"/>
  <c r="P72" i="11"/>
  <c r="Q72" i="11" s="1"/>
  <c r="J72" i="11"/>
  <c r="K72" i="11" s="1"/>
  <c r="L72" i="11" s="1"/>
  <c r="J71" i="11"/>
  <c r="D71" i="11"/>
  <c r="E71" i="11" s="1"/>
  <c r="D72" i="11"/>
  <c r="E72" i="11" s="1"/>
  <c r="F72" i="11" s="1"/>
  <c r="AM70" i="11"/>
  <c r="AM74" i="11" s="1"/>
  <c r="AN70" i="11" s="1"/>
  <c r="AB72" i="11"/>
  <c r="AC72" i="11" s="1"/>
  <c r="AC82" i="11" s="1"/>
  <c r="AB71" i="11"/>
  <c r="G70" i="11"/>
  <c r="G74" i="11" s="1"/>
  <c r="BC66" i="11"/>
  <c r="BC89" i="11" s="1"/>
  <c r="BC48" i="67" s="1"/>
  <c r="AW66" i="11"/>
  <c r="AW89" i="11" s="1"/>
  <c r="AW48" i="67" s="1"/>
  <c r="AE66" i="11"/>
  <c r="AE89" i="11" s="1"/>
  <c r="AE48" i="67" s="1"/>
  <c r="BU51" i="11"/>
  <c r="BU48" i="11"/>
  <c r="BU43" i="11"/>
  <c r="BU42" i="11"/>
  <c r="BU41" i="11"/>
  <c r="BU40" i="11"/>
  <c r="BO48" i="11"/>
  <c r="BO43" i="11"/>
  <c r="BO42" i="11"/>
  <c r="BO41" i="11"/>
  <c r="BO40" i="11"/>
  <c r="AK48" i="11"/>
  <c r="C47" i="11"/>
  <c r="C49" i="11" s="1"/>
  <c r="AJ88" i="11"/>
  <c r="AH46" i="11"/>
  <c r="AJ46" i="11" s="1"/>
  <c r="BE38" i="11"/>
  <c r="AH33" i="11"/>
  <c r="AH35" i="11" s="1"/>
  <c r="BU34" i="11"/>
  <c r="BU32" i="11"/>
  <c r="BU31" i="11"/>
  <c r="BU30" i="11"/>
  <c r="AY33" i="11"/>
  <c r="AY35" i="11" s="1"/>
  <c r="AS33" i="11"/>
  <c r="AS35" i="11" s="1"/>
  <c r="AM33" i="11"/>
  <c r="AM35" i="11" s="1"/>
  <c r="AI33" i="11"/>
  <c r="AI35" i="11" s="1"/>
  <c r="AG33" i="11"/>
  <c r="AG35" i="11" s="1"/>
  <c r="AA33" i="11"/>
  <c r="AA35" i="11" s="1"/>
  <c r="U33" i="11"/>
  <c r="U35" i="11" s="1"/>
  <c r="O33" i="11"/>
  <c r="O35" i="11" s="1"/>
  <c r="I31" i="11"/>
  <c r="C31" i="11"/>
  <c r="BU25" i="11"/>
  <c r="BU17" i="11"/>
  <c r="BU16" i="11"/>
  <c r="BU13" i="11"/>
  <c r="AY12" i="11"/>
  <c r="AY24" i="11" s="1"/>
  <c r="AY26" i="11" s="1"/>
  <c r="O12" i="11"/>
  <c r="O24" i="11" s="1"/>
  <c r="O26" i="11" s="1"/>
  <c r="BE19" i="11"/>
  <c r="AY19" i="11"/>
  <c r="AS19" i="11"/>
  <c r="AM19" i="11"/>
  <c r="AI19" i="11"/>
  <c r="AH19" i="11"/>
  <c r="AG19" i="11"/>
  <c r="AA19" i="11"/>
  <c r="U19" i="11"/>
  <c r="O19" i="11"/>
  <c r="I19" i="11"/>
  <c r="C19" i="11"/>
  <c r="C18" i="11"/>
  <c r="D18" i="11" s="1"/>
  <c r="E18" i="11" s="1"/>
  <c r="F18" i="11" s="1"/>
  <c r="G18" i="11" s="1"/>
  <c r="AI14" i="11"/>
  <c r="AS12" i="11"/>
  <c r="AS24" i="11" s="1"/>
  <c r="AS26" i="11" s="1"/>
  <c r="AM12" i="11"/>
  <c r="AM24" i="11" s="1"/>
  <c r="AM26" i="11" s="1"/>
  <c r="AG12" i="11"/>
  <c r="AG24" i="11" s="1"/>
  <c r="AG26" i="11" s="1"/>
  <c r="AA12" i="11"/>
  <c r="AA24" i="11" s="1"/>
  <c r="AA26" i="11" s="1"/>
  <c r="U12" i="11"/>
  <c r="U24" i="11" s="1"/>
  <c r="U26" i="11" s="1"/>
  <c r="I12" i="11"/>
  <c r="I24" i="11" s="1"/>
  <c r="I26" i="11" s="1"/>
  <c r="C12" i="11"/>
  <c r="C24" i="11" s="1"/>
  <c r="C26" i="11" s="1"/>
  <c r="I8" i="11"/>
  <c r="O8" i="11" s="1"/>
  <c r="P8" i="11" s="1"/>
  <c r="Q8" i="11" s="1"/>
  <c r="R8" i="11" s="1"/>
  <c r="D8" i="11"/>
  <c r="E8" i="11" s="1"/>
  <c r="F8" i="11" s="1"/>
  <c r="I7" i="11"/>
  <c r="O7" i="11" s="1"/>
  <c r="U7" i="11" s="1"/>
  <c r="AA7" i="11" s="1"/>
  <c r="AG7" i="11" s="1"/>
  <c r="AM7" i="11" s="1"/>
  <c r="AS7" i="11" s="1"/>
  <c r="AY7" i="11" s="1"/>
  <c r="BE7" i="11" s="1"/>
  <c r="BK7" i="11" s="1"/>
  <c r="BQ7" i="11" s="1"/>
  <c r="BW7" i="11" s="1"/>
  <c r="CC7" i="11" s="1"/>
  <c r="CI7" i="11" s="1"/>
  <c r="M7" i="11"/>
  <c r="S7" i="11" s="1"/>
  <c r="Y7" i="11" s="1"/>
  <c r="AE7" i="11" s="1"/>
  <c r="AK7" i="11" s="1"/>
  <c r="AQ7" i="11" s="1"/>
  <c r="AW7" i="11" s="1"/>
  <c r="BC7" i="11" s="1"/>
  <c r="BI7" i="11" s="1"/>
  <c r="BO7" i="11" s="1"/>
  <c r="BU7" i="11" s="1"/>
  <c r="CA7" i="11" s="1"/>
  <c r="CG7" i="11" s="1"/>
  <c r="CM7" i="11" s="1"/>
  <c r="BF155" i="12"/>
  <c r="BE155" i="12"/>
  <c r="BF154" i="12"/>
  <c r="BE154" i="12"/>
  <c r="BF153" i="12"/>
  <c r="BE153" i="12"/>
  <c r="BB155" i="12"/>
  <c r="BA155" i="12"/>
  <c r="AZ155" i="12"/>
  <c r="AY155" i="12"/>
  <c r="BB154" i="12"/>
  <c r="BA154" i="12"/>
  <c r="BA153" i="12"/>
  <c r="AZ154" i="12"/>
  <c r="AY154" i="12"/>
  <c r="BB153" i="12"/>
  <c r="AZ153" i="12"/>
  <c r="AY153" i="12"/>
  <c r="AV155" i="12"/>
  <c r="AU155" i="12"/>
  <c r="AT155" i="12"/>
  <c r="AS155" i="12"/>
  <c r="AV154" i="12"/>
  <c r="AU154" i="12"/>
  <c r="AU153" i="12"/>
  <c r="AT154" i="12"/>
  <c r="AS154" i="12"/>
  <c r="AV153" i="12"/>
  <c r="AT153" i="12"/>
  <c r="AS153" i="12"/>
  <c r="AP155" i="12"/>
  <c r="AO155" i="12"/>
  <c r="AN155" i="12"/>
  <c r="AM155" i="12"/>
  <c r="AP154" i="12"/>
  <c r="AO154" i="12"/>
  <c r="AO153" i="12"/>
  <c r="AN154" i="12"/>
  <c r="AM154" i="12"/>
  <c r="AP153" i="12"/>
  <c r="AN153" i="12"/>
  <c r="AM153" i="12"/>
  <c r="AJ155" i="12"/>
  <c r="AH155" i="12"/>
  <c r="AG155" i="12"/>
  <c r="AJ154" i="12"/>
  <c r="AI154" i="12"/>
  <c r="AH154" i="12"/>
  <c r="AG154" i="12"/>
  <c r="AJ153" i="12"/>
  <c r="AI153" i="12"/>
  <c r="AH153" i="12"/>
  <c r="AG153" i="12"/>
  <c r="AD155" i="12"/>
  <c r="AC155" i="12"/>
  <c r="AB155" i="12"/>
  <c r="AA155" i="12"/>
  <c r="AD154" i="12"/>
  <c r="AC154" i="12"/>
  <c r="AC153" i="12"/>
  <c r="AB154" i="12"/>
  <c r="AA154" i="12"/>
  <c r="AD153" i="12"/>
  <c r="AB153" i="12"/>
  <c r="AA153" i="12"/>
  <c r="X155" i="12"/>
  <c r="W155" i="12"/>
  <c r="V155" i="12"/>
  <c r="U155" i="12"/>
  <c r="X154" i="12"/>
  <c r="W154" i="12"/>
  <c r="W153" i="12"/>
  <c r="V154" i="12"/>
  <c r="U154" i="12"/>
  <c r="X153" i="12"/>
  <c r="V153" i="12"/>
  <c r="U153" i="12"/>
  <c r="R155" i="12"/>
  <c r="Q155" i="12"/>
  <c r="P155" i="12"/>
  <c r="O155" i="12"/>
  <c r="R154" i="12"/>
  <c r="Q154" i="12"/>
  <c r="Q153" i="12"/>
  <c r="P154" i="12"/>
  <c r="O154" i="12"/>
  <c r="R153" i="12"/>
  <c r="P153" i="12"/>
  <c r="O153" i="12"/>
  <c r="L155" i="12"/>
  <c r="K155" i="12"/>
  <c r="J155" i="12"/>
  <c r="I155" i="12"/>
  <c r="L154" i="12"/>
  <c r="K154" i="12"/>
  <c r="K153" i="12"/>
  <c r="J154" i="12"/>
  <c r="I154" i="12"/>
  <c r="L153" i="12"/>
  <c r="J153" i="12"/>
  <c r="I153" i="12"/>
  <c r="F155" i="12"/>
  <c r="E155" i="12"/>
  <c r="D155" i="12"/>
  <c r="C155" i="12"/>
  <c r="F154" i="12"/>
  <c r="E154" i="12"/>
  <c r="E153" i="12"/>
  <c r="D154" i="12"/>
  <c r="C154" i="12"/>
  <c r="F153" i="12"/>
  <c r="D153" i="12"/>
  <c r="C153" i="12"/>
  <c r="AD150" i="12"/>
  <c r="AC150" i="12"/>
  <c r="AB150" i="12"/>
  <c r="AA150" i="12"/>
  <c r="AD149" i="12"/>
  <c r="AC149" i="12"/>
  <c r="AB149" i="12"/>
  <c r="AA149" i="12"/>
  <c r="AD148" i="12"/>
  <c r="AC148" i="12"/>
  <c r="AB148" i="12"/>
  <c r="AA148" i="12"/>
  <c r="AD147" i="12"/>
  <c r="AC147" i="12"/>
  <c r="AB147" i="12"/>
  <c r="AB145" i="12"/>
  <c r="AB146" i="12"/>
  <c r="AA147" i="12"/>
  <c r="AD146" i="12"/>
  <c r="AC146" i="12"/>
  <c r="AA146" i="12"/>
  <c r="AD145" i="12"/>
  <c r="AC145" i="12"/>
  <c r="AA145" i="12"/>
  <c r="F150" i="12"/>
  <c r="E150" i="12"/>
  <c r="D150" i="12"/>
  <c r="C150" i="12"/>
  <c r="F149" i="12"/>
  <c r="E149" i="12"/>
  <c r="D149" i="12"/>
  <c r="C149" i="12"/>
  <c r="F148" i="12"/>
  <c r="E148" i="12"/>
  <c r="D148" i="12"/>
  <c r="C148" i="12"/>
  <c r="F147" i="12"/>
  <c r="F145" i="12"/>
  <c r="F146" i="12"/>
  <c r="E147" i="12"/>
  <c r="D147" i="12"/>
  <c r="C147" i="12"/>
  <c r="E146" i="12"/>
  <c r="D146" i="12"/>
  <c r="C146" i="12"/>
  <c r="E145" i="12"/>
  <c r="D145" i="12"/>
  <c r="C145" i="12"/>
  <c r="BF150" i="12"/>
  <c r="BE150" i="12"/>
  <c r="BF149" i="12"/>
  <c r="BE149" i="12"/>
  <c r="BF148" i="12"/>
  <c r="BE148" i="12"/>
  <c r="BF147" i="12"/>
  <c r="BE147" i="12"/>
  <c r="BF146" i="12"/>
  <c r="BE146" i="12"/>
  <c r="BE145" i="12"/>
  <c r="BF145" i="12"/>
  <c r="BB150" i="12"/>
  <c r="BA150" i="12"/>
  <c r="AZ150" i="12"/>
  <c r="AY150" i="12"/>
  <c r="BB149" i="12"/>
  <c r="BA149" i="12"/>
  <c r="AZ149" i="12"/>
  <c r="AY149" i="12"/>
  <c r="BB148" i="12"/>
  <c r="BA148" i="12"/>
  <c r="AZ148" i="12"/>
  <c r="AY148" i="12"/>
  <c r="BB147" i="12"/>
  <c r="BA147" i="12"/>
  <c r="AZ147" i="12"/>
  <c r="AY147" i="12"/>
  <c r="BB146" i="12"/>
  <c r="BA146" i="12"/>
  <c r="BA145" i="12"/>
  <c r="AZ146" i="12"/>
  <c r="AY146" i="12"/>
  <c r="BB145" i="12"/>
  <c r="AZ145" i="12"/>
  <c r="AY145" i="12"/>
  <c r="AV150" i="12"/>
  <c r="AU150" i="12"/>
  <c r="AT150" i="12"/>
  <c r="AS150" i="12"/>
  <c r="AV149" i="12"/>
  <c r="AU149" i="12"/>
  <c r="AT149" i="12"/>
  <c r="AS149" i="12"/>
  <c r="AV148" i="12"/>
  <c r="AU148" i="12"/>
  <c r="AT148" i="12"/>
  <c r="AS148" i="12"/>
  <c r="AV147" i="12"/>
  <c r="AU147" i="12"/>
  <c r="AT147" i="12"/>
  <c r="AS147" i="12"/>
  <c r="AV146" i="12"/>
  <c r="AU146" i="12"/>
  <c r="AT146" i="12"/>
  <c r="AS146" i="12"/>
  <c r="AV145" i="12"/>
  <c r="AV151" i="12" s="1"/>
  <c r="AU145" i="12"/>
  <c r="AT145" i="12"/>
  <c r="AS145" i="12"/>
  <c r="AS151" i="12" s="1"/>
  <c r="AP150" i="12"/>
  <c r="AO150" i="12"/>
  <c r="AN150" i="12"/>
  <c r="AM150" i="12"/>
  <c r="AP149" i="12"/>
  <c r="AO149" i="12"/>
  <c r="AN149" i="12"/>
  <c r="AM149" i="12"/>
  <c r="AP148" i="12"/>
  <c r="AO148" i="12"/>
  <c r="AN148" i="12"/>
  <c r="AM148" i="12"/>
  <c r="AP147" i="12"/>
  <c r="AO147" i="12"/>
  <c r="AN147" i="12"/>
  <c r="AM147" i="12"/>
  <c r="AP146" i="12"/>
  <c r="AO146" i="12"/>
  <c r="AO145" i="12"/>
  <c r="AN146" i="12"/>
  <c r="AM146" i="12"/>
  <c r="AP145" i="12"/>
  <c r="AN145" i="12"/>
  <c r="AM145" i="12"/>
  <c r="AJ150" i="12"/>
  <c r="AI150" i="12"/>
  <c r="AH150" i="12"/>
  <c r="AG150" i="12"/>
  <c r="AJ149" i="12"/>
  <c r="AI149" i="12"/>
  <c r="AH149" i="12"/>
  <c r="AG149" i="12"/>
  <c r="AJ148" i="12"/>
  <c r="AI148" i="12"/>
  <c r="AH148" i="12"/>
  <c r="AG148" i="12"/>
  <c r="AJ147" i="12"/>
  <c r="AI147" i="12"/>
  <c r="AH147" i="12"/>
  <c r="AG147" i="12"/>
  <c r="AJ146" i="12"/>
  <c r="AI146" i="12"/>
  <c r="AH146" i="12"/>
  <c r="AG146" i="12"/>
  <c r="AJ145" i="12"/>
  <c r="AJ151" i="12" s="1"/>
  <c r="AI145" i="12"/>
  <c r="AI151" i="12" s="1"/>
  <c r="AH145" i="12"/>
  <c r="AG145" i="12"/>
  <c r="AG151" i="12" s="1"/>
  <c r="X150" i="12"/>
  <c r="W150" i="12"/>
  <c r="V150" i="12"/>
  <c r="V145" i="12"/>
  <c r="V146" i="12"/>
  <c r="V147" i="12"/>
  <c r="V148" i="12"/>
  <c r="V149" i="12"/>
  <c r="U150" i="12"/>
  <c r="X149" i="12"/>
  <c r="U149" i="12"/>
  <c r="X148" i="12"/>
  <c r="W148" i="12"/>
  <c r="U148" i="12"/>
  <c r="X147" i="12"/>
  <c r="W147" i="12"/>
  <c r="U147" i="12"/>
  <c r="X146" i="12"/>
  <c r="W146" i="12"/>
  <c r="U146" i="12"/>
  <c r="X145" i="12"/>
  <c r="W145" i="12"/>
  <c r="U145" i="12"/>
  <c r="R150" i="12"/>
  <c r="Q150" i="12"/>
  <c r="P150" i="12"/>
  <c r="O150" i="12"/>
  <c r="R149" i="12"/>
  <c r="Q149" i="12"/>
  <c r="P149" i="12"/>
  <c r="O149" i="12"/>
  <c r="R148" i="12"/>
  <c r="Q148" i="12"/>
  <c r="P148" i="12"/>
  <c r="O148" i="12"/>
  <c r="R147" i="12"/>
  <c r="Q147" i="12"/>
  <c r="P147" i="12"/>
  <c r="O147" i="12"/>
  <c r="R146" i="12"/>
  <c r="R145" i="12"/>
  <c r="Q146" i="12"/>
  <c r="P146" i="12"/>
  <c r="O146" i="12"/>
  <c r="Q145" i="12"/>
  <c r="P145" i="12"/>
  <c r="O145" i="12"/>
  <c r="L150" i="12"/>
  <c r="K150" i="12"/>
  <c r="J150" i="12"/>
  <c r="I150" i="12"/>
  <c r="L149" i="12"/>
  <c r="K149" i="12"/>
  <c r="J149" i="12"/>
  <c r="I149" i="12"/>
  <c r="L148" i="12"/>
  <c r="K148" i="12"/>
  <c r="J148" i="12"/>
  <c r="I148" i="12"/>
  <c r="L147" i="12"/>
  <c r="K147" i="12"/>
  <c r="J147" i="12"/>
  <c r="I147" i="12"/>
  <c r="L146" i="12"/>
  <c r="K146" i="12"/>
  <c r="J146" i="12"/>
  <c r="J145" i="12"/>
  <c r="I146" i="12"/>
  <c r="L145" i="12"/>
  <c r="K145" i="12"/>
  <c r="I145" i="12"/>
  <c r="BF129" i="12"/>
  <c r="BG125" i="12" s="1"/>
  <c r="BG128" i="12" s="1"/>
  <c r="BE129" i="12"/>
  <c r="BF125" i="12" s="1"/>
  <c r="BU128" i="12"/>
  <c r="BU127" i="12"/>
  <c r="BB129" i="12"/>
  <c r="BA129" i="12"/>
  <c r="BB125" i="12" s="1"/>
  <c r="AZ129" i="12"/>
  <c r="BA125" i="12" s="1"/>
  <c r="AY129" i="12"/>
  <c r="AZ125" i="12" s="1"/>
  <c r="AV129" i="12"/>
  <c r="AU129" i="12"/>
  <c r="AV125" i="12" s="1"/>
  <c r="AT129" i="12"/>
  <c r="AU125" i="12" s="1"/>
  <c r="AS129" i="12"/>
  <c r="AT125" i="12" s="1"/>
  <c r="AP129" i="12"/>
  <c r="AO129" i="12"/>
  <c r="AP125" i="12" s="1"/>
  <c r="AN129" i="12"/>
  <c r="AO125" i="12" s="1"/>
  <c r="AM129" i="12"/>
  <c r="AN125" i="12" s="1"/>
  <c r="AJ129" i="12"/>
  <c r="AI129" i="12"/>
  <c r="AH129" i="12"/>
  <c r="AI125" i="12" s="1"/>
  <c r="AG129" i="12"/>
  <c r="AH125" i="12" s="1"/>
  <c r="AD129" i="12"/>
  <c r="AC129" i="12"/>
  <c r="AD125" i="12" s="1"/>
  <c r="AB129" i="12"/>
  <c r="AA129" i="12"/>
  <c r="AB125" i="12" s="1"/>
  <c r="BC127" i="12"/>
  <c r="BC126" i="12"/>
  <c r="AQ127" i="12"/>
  <c r="AQ126" i="12"/>
  <c r="AK127" i="12"/>
  <c r="AK126" i="12"/>
  <c r="AE127" i="12"/>
  <c r="AE126" i="12"/>
  <c r="BT126" i="12"/>
  <c r="BS126" i="12"/>
  <c r="BR126" i="12"/>
  <c r="BQ126" i="12"/>
  <c r="BU121" i="12"/>
  <c r="X122" i="12"/>
  <c r="W122" i="12"/>
  <c r="X117" i="12" s="1"/>
  <c r="V122" i="12"/>
  <c r="W117" i="12" s="1"/>
  <c r="U122" i="12"/>
  <c r="V117" i="12" s="1"/>
  <c r="R122" i="12"/>
  <c r="Q122" i="12"/>
  <c r="R117" i="12" s="1"/>
  <c r="P122" i="12"/>
  <c r="Q117" i="12" s="1"/>
  <c r="O122" i="12"/>
  <c r="P117" i="12" s="1"/>
  <c r="L122" i="12"/>
  <c r="K122" i="12"/>
  <c r="L117" i="12" s="1"/>
  <c r="J122" i="12"/>
  <c r="K117" i="12" s="1"/>
  <c r="I122" i="12"/>
  <c r="J117" i="12" s="1"/>
  <c r="F122" i="12"/>
  <c r="E122" i="12"/>
  <c r="F117" i="12" s="1"/>
  <c r="D122" i="12"/>
  <c r="E117" i="12" s="1"/>
  <c r="C122" i="12"/>
  <c r="D117" i="12" s="1"/>
  <c r="C120" i="12"/>
  <c r="P119" i="12"/>
  <c r="P105" i="12" s="1"/>
  <c r="J119" i="12"/>
  <c r="D119" i="12"/>
  <c r="E119" i="12" s="1"/>
  <c r="Y118" i="12"/>
  <c r="S118" i="12"/>
  <c r="M118" i="12"/>
  <c r="G118" i="12"/>
  <c r="G117" i="12"/>
  <c r="BT118" i="12"/>
  <c r="W110" i="12"/>
  <c r="W102" i="12" s="1"/>
  <c r="V110" i="12"/>
  <c r="V102" i="12" s="1"/>
  <c r="W97" i="12" s="1"/>
  <c r="U110" i="12"/>
  <c r="U102" i="12" s="1"/>
  <c r="R110" i="12"/>
  <c r="R102" i="12" s="1"/>
  <c r="U97" i="12" s="1"/>
  <c r="Y97" i="12" s="1"/>
  <c r="Q110" i="12"/>
  <c r="Q102" i="12" s="1"/>
  <c r="R97" i="12" s="1"/>
  <c r="P110" i="12"/>
  <c r="P102" i="12" s="1"/>
  <c r="Q97" i="12" s="1"/>
  <c r="O110" i="12"/>
  <c r="O102" i="12" s="1"/>
  <c r="P97" i="12" s="1"/>
  <c r="L110" i="12"/>
  <c r="L102" i="12" s="1"/>
  <c r="O97" i="12" s="1"/>
  <c r="S97" i="12" s="1"/>
  <c r="K110" i="12"/>
  <c r="K102" i="12" s="1"/>
  <c r="J110" i="12"/>
  <c r="J102" i="12" s="1"/>
  <c r="K97" i="12" s="1"/>
  <c r="I110" i="12"/>
  <c r="I102" i="12" s="1"/>
  <c r="J97" i="12" s="1"/>
  <c r="F110" i="12"/>
  <c r="F102" i="12" s="1"/>
  <c r="I97" i="12" s="1"/>
  <c r="M97" i="12" s="1"/>
  <c r="E110" i="12"/>
  <c r="E102" i="12" s="1"/>
  <c r="F97" i="12" s="1"/>
  <c r="D110" i="12"/>
  <c r="D102" i="12" s="1"/>
  <c r="E97" i="12" s="1"/>
  <c r="C110" i="12"/>
  <c r="C102" i="12" s="1"/>
  <c r="D97" i="12" s="1"/>
  <c r="AN108" i="12"/>
  <c r="AN104" i="12"/>
  <c r="G104" i="12"/>
  <c r="BU107" i="12"/>
  <c r="AM105" i="12"/>
  <c r="AM104" i="12"/>
  <c r="C105" i="12"/>
  <c r="BE105" i="12"/>
  <c r="BF104" i="12"/>
  <c r="AY105" i="12"/>
  <c r="BB104" i="12"/>
  <c r="BA104" i="12"/>
  <c r="AZ104" i="12"/>
  <c r="AS105" i="12"/>
  <c r="AV104" i="12"/>
  <c r="AU104" i="12"/>
  <c r="AT104" i="12"/>
  <c r="AP104" i="12"/>
  <c r="AH104" i="12"/>
  <c r="AG105" i="12"/>
  <c r="AJ104" i="12"/>
  <c r="AI104" i="12"/>
  <c r="AG104" i="12"/>
  <c r="AA105" i="12"/>
  <c r="AD104" i="12"/>
  <c r="AC104" i="12"/>
  <c r="AB104" i="12"/>
  <c r="AA104" i="12"/>
  <c r="O105" i="12"/>
  <c r="R104" i="12"/>
  <c r="Q104" i="12"/>
  <c r="P104" i="12"/>
  <c r="O104" i="12"/>
  <c r="S104" i="12" s="1"/>
  <c r="J104" i="12"/>
  <c r="I105" i="12"/>
  <c r="L104" i="12"/>
  <c r="K104" i="12"/>
  <c r="I104" i="12"/>
  <c r="M104" i="12" s="1"/>
  <c r="F104" i="12"/>
  <c r="E104" i="12"/>
  <c r="D104" i="12"/>
  <c r="BU101" i="12"/>
  <c r="BT100" i="12"/>
  <c r="Y100" i="12"/>
  <c r="S100" i="12"/>
  <c r="M100" i="12"/>
  <c r="G100" i="12"/>
  <c r="G97" i="12"/>
  <c r="C98" i="12"/>
  <c r="U98" i="12"/>
  <c r="U99" i="12" s="1"/>
  <c r="O98" i="12"/>
  <c r="O99" i="12" s="1"/>
  <c r="I98" i="12"/>
  <c r="I99" i="12" s="1"/>
  <c r="BU91" i="12"/>
  <c r="F90" i="12"/>
  <c r="E90" i="12"/>
  <c r="D90" i="12"/>
  <c r="C90" i="12"/>
  <c r="F87" i="12"/>
  <c r="E87" i="12"/>
  <c r="D87" i="12"/>
  <c r="C87" i="12"/>
  <c r="BF90" i="12"/>
  <c r="BF87" i="12"/>
  <c r="BB90" i="12"/>
  <c r="BA90" i="12"/>
  <c r="AZ90" i="12"/>
  <c r="BB87" i="12"/>
  <c r="BA87" i="12"/>
  <c r="AZ87" i="12"/>
  <c r="AV90" i="12"/>
  <c r="AU90" i="12"/>
  <c r="AT90" i="12"/>
  <c r="AV87" i="12"/>
  <c r="AU87" i="12"/>
  <c r="AT87" i="12"/>
  <c r="AP90" i="12"/>
  <c r="AO90" i="12"/>
  <c r="AN90" i="12"/>
  <c r="AP87" i="12"/>
  <c r="AO87" i="12"/>
  <c r="AN87" i="12"/>
  <c r="AJ90" i="12"/>
  <c r="AI90" i="12"/>
  <c r="AH90" i="12"/>
  <c r="AJ87" i="12"/>
  <c r="AI87" i="12"/>
  <c r="AH87" i="12"/>
  <c r="AD90" i="12"/>
  <c r="AC90" i="12"/>
  <c r="AB90" i="12"/>
  <c r="AD87" i="12"/>
  <c r="AC87" i="12"/>
  <c r="AB87" i="12"/>
  <c r="X90" i="12"/>
  <c r="W90" i="12"/>
  <c r="V90" i="12"/>
  <c r="X87" i="12"/>
  <c r="W87" i="12"/>
  <c r="V87" i="12"/>
  <c r="R90" i="12"/>
  <c r="Q90" i="12"/>
  <c r="P90" i="12"/>
  <c r="R87" i="12"/>
  <c r="Q87" i="12"/>
  <c r="P87" i="12"/>
  <c r="L90" i="12"/>
  <c r="K90" i="12"/>
  <c r="J90" i="12"/>
  <c r="L87" i="12"/>
  <c r="K87" i="12"/>
  <c r="J87" i="12"/>
  <c r="G86" i="12"/>
  <c r="BF46" i="12"/>
  <c r="BF40" i="12"/>
  <c r="BF178" i="12" s="1"/>
  <c r="BE46" i="12"/>
  <c r="BB46" i="12"/>
  <c r="BB40" i="12"/>
  <c r="BB178" i="12" s="1"/>
  <c r="BA46" i="12"/>
  <c r="AZ40" i="12"/>
  <c r="AZ178" i="12" s="1"/>
  <c r="AY46" i="12"/>
  <c r="AY171" i="12" s="1"/>
  <c r="AS46" i="12"/>
  <c r="AS171" i="12" s="1"/>
  <c r="AV46" i="12"/>
  <c r="AV171" i="12" s="1"/>
  <c r="AV40" i="12"/>
  <c r="AV178" i="12" s="1"/>
  <c r="AU46" i="12"/>
  <c r="AU171" i="12" s="1"/>
  <c r="AT46" i="12"/>
  <c r="AT171" i="12" s="1"/>
  <c r="AP46" i="12"/>
  <c r="AO46" i="12"/>
  <c r="AO171" i="12" s="1"/>
  <c r="AN46" i="12"/>
  <c r="AN171" i="12" s="1"/>
  <c r="AM46" i="12"/>
  <c r="AM171" i="12" s="1"/>
  <c r="AJ46" i="12"/>
  <c r="AJ171" i="12" s="1"/>
  <c r="AI46" i="12"/>
  <c r="AI171" i="12" s="1"/>
  <c r="AH46" i="12"/>
  <c r="AH171" i="12" s="1"/>
  <c r="AH40" i="12"/>
  <c r="AH178" i="12" s="1"/>
  <c r="AG46" i="12"/>
  <c r="AG171" i="12" s="1"/>
  <c r="AD46" i="12"/>
  <c r="AD171" i="12" s="1"/>
  <c r="AD40" i="12"/>
  <c r="AD178" i="12" s="1"/>
  <c r="AC46" i="12"/>
  <c r="AC171" i="12" s="1"/>
  <c r="AB46" i="12"/>
  <c r="AB171" i="12" s="1"/>
  <c r="AB40" i="12"/>
  <c r="AA46" i="12"/>
  <c r="X46" i="12"/>
  <c r="X171" i="12" s="1"/>
  <c r="X40" i="12"/>
  <c r="X178" i="12" s="1"/>
  <c r="W46" i="12"/>
  <c r="W171" i="12" s="1"/>
  <c r="V46" i="12"/>
  <c r="V171" i="12" s="1"/>
  <c r="U46" i="12"/>
  <c r="R46" i="12"/>
  <c r="R40" i="12"/>
  <c r="R178" i="12" s="1"/>
  <c r="Q46" i="12"/>
  <c r="P46" i="12"/>
  <c r="O46" i="12"/>
  <c r="L46" i="12"/>
  <c r="L171" i="12" s="1"/>
  <c r="K46" i="12"/>
  <c r="K171" i="12" s="1"/>
  <c r="J46" i="12"/>
  <c r="J171" i="12" s="1"/>
  <c r="J40" i="12"/>
  <c r="J178" i="12" s="1"/>
  <c r="I46" i="12"/>
  <c r="F46" i="12"/>
  <c r="F171" i="12" s="1"/>
  <c r="F40" i="12"/>
  <c r="F178" i="12" s="1"/>
  <c r="E46" i="12"/>
  <c r="E171" i="12" s="1"/>
  <c r="D46" i="12"/>
  <c r="D171" i="12" s="1"/>
  <c r="C46" i="12"/>
  <c r="BE40" i="12"/>
  <c r="BE178" i="12" s="1"/>
  <c r="BA40" i="12"/>
  <c r="BA178" i="12" s="1"/>
  <c r="AY40" i="12"/>
  <c r="AY178" i="12" s="1"/>
  <c r="AU40" i="12"/>
  <c r="AU178" i="12" s="1"/>
  <c r="AT40" i="12"/>
  <c r="AT178" i="12" s="1"/>
  <c r="AS40" i="12"/>
  <c r="AS178" i="12" s="1"/>
  <c r="AP40" i="12"/>
  <c r="AO40" i="12"/>
  <c r="AO178" i="12" s="1"/>
  <c r="AN40" i="12"/>
  <c r="AN178" i="12" s="1"/>
  <c r="AM40" i="12"/>
  <c r="AM178" i="12" s="1"/>
  <c r="AJ40" i="12"/>
  <c r="AI40" i="12"/>
  <c r="AI178" i="12" s="1"/>
  <c r="AG40" i="12"/>
  <c r="AG178" i="12" s="1"/>
  <c r="AC40" i="12"/>
  <c r="AC178" i="12" s="1"/>
  <c r="AA40" i="12"/>
  <c r="W40" i="12"/>
  <c r="W178" i="12" s="1"/>
  <c r="V40" i="12"/>
  <c r="V178" i="12" s="1"/>
  <c r="U40" i="12"/>
  <c r="U178" i="12" s="1"/>
  <c r="Q40" i="12"/>
  <c r="Q178" i="12" s="1"/>
  <c r="P40" i="12"/>
  <c r="P178" i="12" s="1"/>
  <c r="O40" i="12"/>
  <c r="O178" i="12" s="1"/>
  <c r="L40" i="12"/>
  <c r="L178" i="12" s="1"/>
  <c r="K40" i="12"/>
  <c r="K178" i="12" s="1"/>
  <c r="I40" i="12"/>
  <c r="E40" i="12"/>
  <c r="E178" i="12" s="1"/>
  <c r="D40" i="12"/>
  <c r="D178" i="12" s="1"/>
  <c r="C40" i="12"/>
  <c r="BC39" i="12"/>
  <c r="BE90" i="12" s="1"/>
  <c r="BC38" i="12"/>
  <c r="BC37" i="12"/>
  <c r="BC36" i="12"/>
  <c r="BC35" i="12"/>
  <c r="AW39" i="12"/>
  <c r="AY90" i="12" s="1"/>
  <c r="AW38" i="12"/>
  <c r="AW37" i="12"/>
  <c r="AW36" i="12"/>
  <c r="AW35" i="12"/>
  <c r="AQ39" i="12"/>
  <c r="AQ38" i="12"/>
  <c r="AQ37" i="12"/>
  <c r="AQ36" i="12"/>
  <c r="AQ35" i="12"/>
  <c r="AK39" i="12"/>
  <c r="AM90" i="12" s="1"/>
  <c r="AK38" i="12"/>
  <c r="AK37" i="12"/>
  <c r="AK36" i="12"/>
  <c r="AK35" i="12"/>
  <c r="AE39" i="12"/>
  <c r="AG90" i="12" s="1"/>
  <c r="AE38" i="12"/>
  <c r="AE37" i="12"/>
  <c r="AE36" i="12"/>
  <c r="AE35" i="12"/>
  <c r="Y39" i="12"/>
  <c r="AA90" i="12" s="1"/>
  <c r="Y38" i="12"/>
  <c r="Y37" i="12"/>
  <c r="Y36" i="12"/>
  <c r="Y35" i="12"/>
  <c r="S39" i="12"/>
  <c r="S38" i="12"/>
  <c r="S37" i="12"/>
  <c r="S36" i="12"/>
  <c r="S35" i="12"/>
  <c r="M39" i="12"/>
  <c r="O90" i="12" s="1"/>
  <c r="M38" i="12"/>
  <c r="M37" i="12"/>
  <c r="M36" i="12"/>
  <c r="M35" i="12"/>
  <c r="G39" i="12"/>
  <c r="G38" i="12"/>
  <c r="G37" i="12"/>
  <c r="G36" i="12"/>
  <c r="G35" i="12"/>
  <c r="BI36" i="12"/>
  <c r="BI35" i="12"/>
  <c r="BO35" i="12" s="1"/>
  <c r="BQ35" i="12" s="1"/>
  <c r="BR35" i="12" s="1"/>
  <c r="BS35" i="12" s="1"/>
  <c r="BT35" i="12" s="1"/>
  <c r="BU35" i="12" s="1"/>
  <c r="BW35" i="12" s="1"/>
  <c r="BX35" i="12" s="1"/>
  <c r="BY35" i="12" s="1"/>
  <c r="BZ35" i="12" s="1"/>
  <c r="CA35" i="12" s="1"/>
  <c r="CC35" i="12" s="1"/>
  <c r="CD35" i="12" s="1"/>
  <c r="CE35" i="12" s="1"/>
  <c r="CF35" i="12" s="1"/>
  <c r="CG35" i="12" s="1"/>
  <c r="CI35" i="12" s="1"/>
  <c r="CJ35" i="12" s="1"/>
  <c r="CK35" i="12" s="1"/>
  <c r="CL35" i="12" s="1"/>
  <c r="CM35" i="12" s="1"/>
  <c r="BC32" i="12"/>
  <c r="BC31" i="12"/>
  <c r="BC30" i="12"/>
  <c r="BC28" i="12"/>
  <c r="BC27" i="12"/>
  <c r="BC82" i="12" s="1"/>
  <c r="BC26" i="12"/>
  <c r="BC25" i="12"/>
  <c r="BC24" i="12"/>
  <c r="AW32" i="12"/>
  <c r="AW31" i="12"/>
  <c r="AW30" i="12"/>
  <c r="AW28" i="12"/>
  <c r="AW27" i="12"/>
  <c r="AW82" i="12" s="1"/>
  <c r="AW26" i="12"/>
  <c r="AW25" i="12"/>
  <c r="AW24" i="12"/>
  <c r="AQ32" i="12"/>
  <c r="AQ31" i="12"/>
  <c r="AQ30" i="12"/>
  <c r="AQ28" i="12"/>
  <c r="AQ27" i="12"/>
  <c r="AQ82" i="12" s="1"/>
  <c r="AQ26" i="12"/>
  <c r="AQ25" i="12"/>
  <c r="AQ153" i="12" s="1"/>
  <c r="AQ24" i="12"/>
  <c r="AK32" i="12"/>
  <c r="AK31" i="12"/>
  <c r="AK30" i="12"/>
  <c r="AK24" i="12"/>
  <c r="AK10" i="12"/>
  <c r="AK181" i="12" s="1"/>
  <c r="AK28" i="12"/>
  <c r="AK27" i="12"/>
  <c r="AK82" i="12" s="1"/>
  <c r="AK26" i="12"/>
  <c r="AK25" i="12"/>
  <c r="AK153" i="12" s="1"/>
  <c r="AE32" i="12"/>
  <c r="AE31" i="12"/>
  <c r="AE30" i="12"/>
  <c r="AE28" i="12"/>
  <c r="AE27" i="12"/>
  <c r="AE82" i="12" s="1"/>
  <c r="AE26" i="12"/>
  <c r="AE25" i="12"/>
  <c r="AE24" i="12"/>
  <c r="Y32" i="12"/>
  <c r="Y31" i="12"/>
  <c r="Y30" i="12"/>
  <c r="Y24" i="12"/>
  <c r="Y28" i="12"/>
  <c r="Y27" i="12"/>
  <c r="Y82" i="12" s="1"/>
  <c r="Y26" i="12"/>
  <c r="Y25" i="12"/>
  <c r="S32" i="12"/>
  <c r="S31" i="12"/>
  <c r="S30" i="12"/>
  <c r="S24" i="12"/>
  <c r="S28" i="12"/>
  <c r="S27" i="12"/>
  <c r="S82" i="12" s="1"/>
  <c r="S26" i="12"/>
  <c r="S25" i="12"/>
  <c r="M32" i="12"/>
  <c r="M31" i="12"/>
  <c r="M25" i="12"/>
  <c r="M27" i="12"/>
  <c r="M82" i="12" s="1"/>
  <c r="M26" i="12"/>
  <c r="M30" i="12"/>
  <c r="M24" i="12"/>
  <c r="M28" i="12"/>
  <c r="G32" i="12"/>
  <c r="G31" i="12"/>
  <c r="G30" i="12"/>
  <c r="G24" i="12"/>
  <c r="G28" i="12"/>
  <c r="G27" i="12"/>
  <c r="G82" i="12" s="1"/>
  <c r="G26" i="12"/>
  <c r="G25" i="12"/>
  <c r="AI31" i="12"/>
  <c r="AI155" i="12" s="1"/>
  <c r="BF29" i="12"/>
  <c r="BE29" i="12"/>
  <c r="BB29" i="12"/>
  <c r="BA29" i="12"/>
  <c r="AZ29" i="12"/>
  <c r="AY29" i="12"/>
  <c r="AV29" i="12"/>
  <c r="AU29" i="12"/>
  <c r="AT29" i="12"/>
  <c r="AS29" i="12"/>
  <c r="AP29" i="12"/>
  <c r="AO29" i="12"/>
  <c r="AN29" i="12"/>
  <c r="AM29" i="12"/>
  <c r="AJ29" i="12"/>
  <c r="AI29" i="12"/>
  <c r="AH29" i="12"/>
  <c r="AG29" i="12"/>
  <c r="AD29" i="12"/>
  <c r="AC29" i="12"/>
  <c r="AB29" i="12"/>
  <c r="AA29" i="12"/>
  <c r="X29" i="12"/>
  <c r="W29" i="12"/>
  <c r="V29" i="12"/>
  <c r="U29" i="12"/>
  <c r="R29" i="12"/>
  <c r="Q29" i="12"/>
  <c r="P29" i="12"/>
  <c r="O29" i="12"/>
  <c r="L29" i="12"/>
  <c r="K29" i="12"/>
  <c r="J29" i="12"/>
  <c r="I29" i="12"/>
  <c r="F29" i="12"/>
  <c r="E29" i="12"/>
  <c r="D29" i="12"/>
  <c r="C29" i="12"/>
  <c r="BC21" i="12"/>
  <c r="BC20" i="12"/>
  <c r="BC149" i="12" s="1"/>
  <c r="BC19" i="12"/>
  <c r="BC183" i="12" s="1"/>
  <c r="BC18" i="12"/>
  <c r="BC17" i="12"/>
  <c r="BC16" i="12"/>
  <c r="BC14" i="12"/>
  <c r="BC13" i="12"/>
  <c r="BC12" i="12"/>
  <c r="BC11" i="12"/>
  <c r="AW21" i="12"/>
  <c r="AW20" i="12"/>
  <c r="AW149" i="12" s="1"/>
  <c r="AW19" i="12"/>
  <c r="AW183" i="12" s="1"/>
  <c r="AW18" i="12"/>
  <c r="AW17" i="12"/>
  <c r="AW16" i="12"/>
  <c r="AW14" i="12"/>
  <c r="AW13" i="12"/>
  <c r="AW12" i="12"/>
  <c r="AW11" i="12"/>
  <c r="AW10" i="12"/>
  <c r="AQ21" i="12"/>
  <c r="AQ20" i="12"/>
  <c r="AQ149" i="12" s="1"/>
  <c r="AQ19" i="12"/>
  <c r="AQ183" i="12" s="1"/>
  <c r="AQ18" i="12"/>
  <c r="AQ17" i="12"/>
  <c r="AQ16" i="12"/>
  <c r="AQ14" i="12"/>
  <c r="AQ13" i="12"/>
  <c r="AQ81" i="12" s="1"/>
  <c r="AQ12" i="12"/>
  <c r="AQ11" i="12"/>
  <c r="AQ145" i="12" s="1"/>
  <c r="AQ10" i="12"/>
  <c r="AQ181" i="12" s="1"/>
  <c r="AK21" i="12"/>
  <c r="AK20" i="12"/>
  <c r="AK149" i="12" s="1"/>
  <c r="AK19" i="12"/>
  <c r="AK183" i="12" s="1"/>
  <c r="AK18" i="12"/>
  <c r="AK17" i="12"/>
  <c r="AK16" i="12"/>
  <c r="AK14" i="12"/>
  <c r="AK13" i="12"/>
  <c r="AK12" i="12"/>
  <c r="AK11" i="12"/>
  <c r="AE21" i="12"/>
  <c r="AE20" i="12"/>
  <c r="AE149" i="12" s="1"/>
  <c r="AE19" i="12"/>
  <c r="AE183" i="12" s="1"/>
  <c r="AE18" i="12"/>
  <c r="AE17" i="12"/>
  <c r="AE16" i="12"/>
  <c r="AE14" i="12"/>
  <c r="AE13" i="12"/>
  <c r="AE12" i="12"/>
  <c r="AE11" i="12"/>
  <c r="Y21" i="12"/>
  <c r="Y20" i="12"/>
  <c r="Y149" i="12" s="1"/>
  <c r="Y19" i="12"/>
  <c r="Y17" i="12"/>
  <c r="Y14" i="12"/>
  <c r="Y13" i="12"/>
  <c r="Y12" i="12"/>
  <c r="Y11" i="12"/>
  <c r="S21" i="12"/>
  <c r="S20" i="12"/>
  <c r="S149" i="12" s="1"/>
  <c r="S19" i="12"/>
  <c r="S183" i="12" s="1"/>
  <c r="S18" i="12"/>
  <c r="S17" i="12"/>
  <c r="S16" i="12"/>
  <c r="S110" i="12" s="1"/>
  <c r="S14" i="12"/>
  <c r="S13" i="12"/>
  <c r="S12" i="12"/>
  <c r="S11" i="12"/>
  <c r="M21" i="12"/>
  <c r="M20" i="12"/>
  <c r="M149" i="12" s="1"/>
  <c r="M19" i="12"/>
  <c r="M18" i="12"/>
  <c r="M17" i="12"/>
  <c r="M16" i="12"/>
  <c r="M14" i="12"/>
  <c r="M13" i="12"/>
  <c r="M12" i="12"/>
  <c r="M11" i="12"/>
  <c r="G21" i="12"/>
  <c r="G20" i="12"/>
  <c r="G149" i="12" s="1"/>
  <c r="G19" i="12"/>
  <c r="G18" i="12"/>
  <c r="G17" i="12"/>
  <c r="G16" i="12"/>
  <c r="G14" i="12"/>
  <c r="G13" i="12"/>
  <c r="G12" i="12"/>
  <c r="G11" i="12"/>
  <c r="W20" i="12"/>
  <c r="W149" i="12" s="1"/>
  <c r="BF15" i="12"/>
  <c r="BE15" i="12"/>
  <c r="BB15" i="12"/>
  <c r="BA15" i="12"/>
  <c r="AZ15" i="12"/>
  <c r="AY15" i="12"/>
  <c r="AV15" i="12"/>
  <c r="AU15" i="12"/>
  <c r="AT15" i="12"/>
  <c r="AS15" i="12"/>
  <c r="AP15" i="12"/>
  <c r="AO15" i="12"/>
  <c r="AN15" i="12"/>
  <c r="AM15" i="12"/>
  <c r="AJ15" i="12"/>
  <c r="AI15" i="12"/>
  <c r="AH15" i="12"/>
  <c r="AG15" i="12"/>
  <c r="I8" i="12"/>
  <c r="J8" i="12" s="1"/>
  <c r="K8" i="12" s="1"/>
  <c r="L8" i="12" s="1"/>
  <c r="D8" i="12"/>
  <c r="E8" i="12" s="1"/>
  <c r="F8" i="12" s="1"/>
  <c r="M7" i="12"/>
  <c r="S7" i="12" s="1"/>
  <c r="Y7" i="12" s="1"/>
  <c r="AE7" i="12" s="1"/>
  <c r="AK7" i="12" s="1"/>
  <c r="AQ7" i="12" s="1"/>
  <c r="AW7" i="12" s="1"/>
  <c r="BC7" i="12" s="1"/>
  <c r="BI7" i="12" s="1"/>
  <c r="BO7" i="12" s="1"/>
  <c r="BU7" i="12" s="1"/>
  <c r="CA7" i="12" s="1"/>
  <c r="CG7" i="12" s="1"/>
  <c r="CM7" i="12" s="1"/>
  <c r="I7" i="12"/>
  <c r="O7" i="12" s="1"/>
  <c r="U7" i="12" s="1"/>
  <c r="AA7" i="12" s="1"/>
  <c r="AG7" i="12" s="1"/>
  <c r="AM7" i="12" s="1"/>
  <c r="AS7" i="12" s="1"/>
  <c r="AY7" i="12" s="1"/>
  <c r="BE7" i="12" s="1"/>
  <c r="BK7" i="12" s="1"/>
  <c r="BQ7" i="12" s="1"/>
  <c r="BW7" i="12" s="1"/>
  <c r="CC7" i="12" s="1"/>
  <c r="CI7" i="12" s="1"/>
  <c r="A91" i="13"/>
  <c r="A90" i="13"/>
  <c r="A89" i="13"/>
  <c r="A88" i="13"/>
  <c r="A87" i="13"/>
  <c r="A86" i="13"/>
  <c r="A85" i="13"/>
  <c r="A84" i="13"/>
  <c r="A83" i="13"/>
  <c r="A82" i="13"/>
  <c r="A81" i="13"/>
  <c r="A78" i="13"/>
  <c r="A92" i="13" s="1"/>
  <c r="S59" i="13"/>
  <c r="S58" i="13"/>
  <c r="S57" i="13"/>
  <c r="S56" i="13"/>
  <c r="S55" i="13"/>
  <c r="Y58" i="13"/>
  <c r="Y57" i="13"/>
  <c r="Y56" i="13"/>
  <c r="Y55" i="13"/>
  <c r="I6" i="13"/>
  <c r="O6" i="13" s="1"/>
  <c r="D6" i="13"/>
  <c r="E6" i="13" s="1"/>
  <c r="F6" i="13" s="1"/>
  <c r="M5" i="13"/>
  <c r="S5" i="13" s="1"/>
  <c r="Y5" i="13" s="1"/>
  <c r="AE5" i="13" s="1"/>
  <c r="AK5" i="13" s="1"/>
  <c r="AQ5" i="13" s="1"/>
  <c r="AW5" i="13" s="1"/>
  <c r="BC5" i="13" s="1"/>
  <c r="BI5" i="13" s="1"/>
  <c r="BO5" i="13" s="1"/>
  <c r="BU5" i="13" s="1"/>
  <c r="CA5" i="13" s="1"/>
  <c r="CG5" i="13" s="1"/>
  <c r="CM5" i="13" s="1"/>
  <c r="I5" i="13"/>
  <c r="O5" i="13" s="1"/>
  <c r="U5" i="13" s="1"/>
  <c r="AA5" i="13" s="1"/>
  <c r="AG5" i="13" s="1"/>
  <c r="AM5" i="13" s="1"/>
  <c r="AS5" i="13" s="1"/>
  <c r="AY5" i="13" s="1"/>
  <c r="BE5" i="13" s="1"/>
  <c r="BK5" i="13" s="1"/>
  <c r="BQ5" i="13" s="1"/>
  <c r="BW5" i="13" s="1"/>
  <c r="CC5" i="13" s="1"/>
  <c r="CI5" i="13" s="1"/>
  <c r="K134" i="67"/>
  <c r="K141" i="67" s="1"/>
  <c r="J134" i="67"/>
  <c r="J141" i="67" s="1"/>
  <c r="F120" i="67"/>
  <c r="F129" i="67" s="1"/>
  <c r="E120" i="67"/>
  <c r="E129" i="67" s="1"/>
  <c r="L120" i="67"/>
  <c r="L129" i="67" s="1"/>
  <c r="J120" i="67"/>
  <c r="J129" i="67" s="1"/>
  <c r="AN32" i="40"/>
  <c r="AN16" i="40"/>
  <c r="AN18" i="40" s="1"/>
  <c r="AN26" i="40"/>
  <c r="AU32" i="40"/>
  <c r="AU26" i="40"/>
  <c r="BA32" i="40"/>
  <c r="BB26" i="40"/>
  <c r="AU16" i="40"/>
  <c r="AU18" i="40" s="1"/>
  <c r="AV16" i="40"/>
  <c r="AV19" i="40" s="1"/>
  <c r="BF26" i="40"/>
  <c r="AM32" i="40"/>
  <c r="AY16" i="40"/>
  <c r="AY18" i="40" s="1"/>
  <c r="AO26" i="40"/>
  <c r="AT16" i="40"/>
  <c r="AT19" i="40" s="1"/>
  <c r="AZ26" i="40"/>
  <c r="AA63" i="40"/>
  <c r="P73" i="11"/>
  <c r="Q73" i="11" s="1"/>
  <c r="R73" i="11" s="1"/>
  <c r="V73" i="11"/>
  <c r="W73" i="11" s="1"/>
  <c r="X73" i="11" s="1"/>
  <c r="J73" i="11"/>
  <c r="K73" i="11" s="1"/>
  <c r="L73" i="11" s="1"/>
  <c r="BF33" i="12"/>
  <c r="AO47" i="12"/>
  <c r="BT45" i="11"/>
  <c r="BG155" i="12"/>
  <c r="BI31" i="12"/>
  <c r="BI28" i="12"/>
  <c r="R18" i="11"/>
  <c r="S18" i="11" s="1"/>
  <c r="K46" i="11"/>
  <c r="K51" i="67" s="1"/>
  <c r="K89" i="12" s="1"/>
  <c r="K38" i="11"/>
  <c r="K51" i="11"/>
  <c r="AO20" i="11"/>
  <c r="AP20" i="11" s="1"/>
  <c r="AQ20" i="11" s="1"/>
  <c r="AU97" i="12"/>
  <c r="AP64" i="12"/>
  <c r="BI10" i="40"/>
  <c r="BK22" i="40" s="1"/>
  <c r="BG16" i="40"/>
  <c r="BG18" i="40" s="1"/>
  <c r="AB117" i="12"/>
  <c r="AT64" i="12"/>
  <c r="AH47" i="11"/>
  <c r="AH49" i="11" s="1"/>
  <c r="C33" i="11"/>
  <c r="C35" i="11" s="1"/>
  <c r="D31" i="11"/>
  <c r="BE47" i="11"/>
  <c r="BE49" i="11" s="1"/>
  <c r="BI32" i="12"/>
  <c r="AI11" i="11"/>
  <c r="AJ11" i="11" s="1"/>
  <c r="J6" i="13" l="1"/>
  <c r="K6" i="13" s="1"/>
  <c r="L6" i="13" s="1"/>
  <c r="AK29" i="40"/>
  <c r="AI64" i="12"/>
  <c r="AB43" i="40"/>
  <c r="AC53" i="40"/>
  <c r="AU33" i="12"/>
  <c r="G129" i="12"/>
  <c r="M125" i="12" s="1"/>
  <c r="G183" i="12"/>
  <c r="M129" i="12"/>
  <c r="S125" i="12" s="1"/>
  <c r="M183" i="12"/>
  <c r="Y129" i="12"/>
  <c r="AE125" i="12" s="1"/>
  <c r="Y183" i="12"/>
  <c r="AY68" i="40"/>
  <c r="AW181" i="12"/>
  <c r="AK155" i="12"/>
  <c r="AK173" i="12"/>
  <c r="AQ155" i="12"/>
  <c r="AQ173" i="12"/>
  <c r="AW155" i="12"/>
  <c r="AW173" i="12"/>
  <c r="BC155" i="12"/>
  <c r="BC173" i="12"/>
  <c r="I178" i="12"/>
  <c r="C171" i="12"/>
  <c r="O171" i="12"/>
  <c r="Q171" i="12"/>
  <c r="R171" i="12"/>
  <c r="AA171" i="12"/>
  <c r="AG185" i="12"/>
  <c r="AG184" i="12"/>
  <c r="AH184" i="12"/>
  <c r="AH187" i="12" s="1"/>
  <c r="AH185" i="12"/>
  <c r="AH188" i="12" s="1"/>
  <c r="AH53" i="12" s="1"/>
  <c r="AN185" i="12"/>
  <c r="AN188" i="12" s="1"/>
  <c r="AN53" i="12" s="1"/>
  <c r="AN184" i="12"/>
  <c r="AN187" i="12" s="1"/>
  <c r="AP47" i="12"/>
  <c r="AP171" i="12"/>
  <c r="AU185" i="12"/>
  <c r="AU188" i="12" s="1"/>
  <c r="AU53" i="12" s="1"/>
  <c r="AU184" i="12"/>
  <c r="AU187" i="12" s="1"/>
  <c r="AV184" i="12"/>
  <c r="AV187" i="12" s="1"/>
  <c r="AV185" i="12"/>
  <c r="AV188" i="12" s="1"/>
  <c r="AV53" i="12" s="1"/>
  <c r="AY185" i="12"/>
  <c r="AY184" i="12"/>
  <c r="BA47" i="12"/>
  <c r="BA171" i="12"/>
  <c r="BB47" i="12"/>
  <c r="BB171" i="12"/>
  <c r="BE171" i="12"/>
  <c r="BF47" i="12"/>
  <c r="BF171" i="12"/>
  <c r="AZ171" i="12"/>
  <c r="BI173" i="12"/>
  <c r="G155" i="12"/>
  <c r="G173" i="12"/>
  <c r="M155" i="12"/>
  <c r="M173" i="12"/>
  <c r="S155" i="12"/>
  <c r="S173" i="12"/>
  <c r="Y155" i="12"/>
  <c r="Y173" i="12"/>
  <c r="AE155" i="12"/>
  <c r="AE173" i="12"/>
  <c r="C178" i="12"/>
  <c r="AA178" i="12"/>
  <c r="AJ178" i="12"/>
  <c r="AJ184" i="12" s="1"/>
  <c r="AJ187" i="12" s="1"/>
  <c r="AP178" i="12"/>
  <c r="I171" i="12"/>
  <c r="P171" i="12"/>
  <c r="U171" i="12"/>
  <c r="AB178" i="12"/>
  <c r="AI185" i="12"/>
  <c r="AI188" i="12" s="1"/>
  <c r="AI53" i="12" s="1"/>
  <c r="AI184" i="12"/>
  <c r="AI187" i="12" s="1"/>
  <c r="AM184" i="12"/>
  <c r="AM185" i="12"/>
  <c r="AO184" i="12"/>
  <c r="AO187" i="12" s="1"/>
  <c r="AO185" i="12"/>
  <c r="AO188" i="12" s="1"/>
  <c r="AO53" i="12" s="1"/>
  <c r="AT184" i="12"/>
  <c r="AT187" i="12" s="1"/>
  <c r="AT185" i="12"/>
  <c r="AT188" i="12" s="1"/>
  <c r="AT53" i="12" s="1"/>
  <c r="AS185" i="12"/>
  <c r="AS184" i="12"/>
  <c r="AP44" i="11"/>
  <c r="AQ44" i="11" s="1"/>
  <c r="AP33" i="12"/>
  <c r="AE40" i="11"/>
  <c r="U8" i="11"/>
  <c r="AA8" i="11" s="1"/>
  <c r="AB8" i="11" s="1"/>
  <c r="AC8" i="11" s="1"/>
  <c r="AD8" i="11" s="1"/>
  <c r="AU64" i="12"/>
  <c r="BA33" i="12"/>
  <c r="AE146" i="12"/>
  <c r="W59" i="12"/>
  <c r="C121" i="12"/>
  <c r="AH128" i="12"/>
  <c r="AQ147" i="12"/>
  <c r="F119" i="12"/>
  <c r="G119" i="12" s="1"/>
  <c r="G120" i="12" s="1"/>
  <c r="AN105" i="12"/>
  <c r="AN106" i="12" s="1"/>
  <c r="L10" i="11"/>
  <c r="M10" i="11" s="1"/>
  <c r="L41" i="11"/>
  <c r="M41" i="11" s="1"/>
  <c r="J88" i="11"/>
  <c r="J87" i="11" s="1"/>
  <c r="Q44" i="11"/>
  <c r="R44" i="11" s="1"/>
  <c r="R82" i="11" s="1"/>
  <c r="BF48" i="67"/>
  <c r="BL90" i="11"/>
  <c r="BW38" i="11"/>
  <c r="AT18" i="40"/>
  <c r="I33" i="11"/>
  <c r="I35" i="11" s="1"/>
  <c r="I53" i="11" s="1"/>
  <c r="CI71" i="11"/>
  <c r="AD34" i="11"/>
  <c r="AE34" i="11" s="1"/>
  <c r="BB9" i="11"/>
  <c r="BC9" i="11" s="1"/>
  <c r="R23" i="11"/>
  <c r="S23" i="11" s="1"/>
  <c r="AJ14" i="11"/>
  <c r="AJ19" i="67" s="1"/>
  <c r="AI19" i="67"/>
  <c r="BF38" i="11"/>
  <c r="CM49" i="40"/>
  <c r="AY19" i="40"/>
  <c r="AM24" i="40"/>
  <c r="BI26" i="40"/>
  <c r="BK26" i="40"/>
  <c r="CM59" i="40"/>
  <c r="AA107" i="12"/>
  <c r="X42" i="11"/>
  <c r="Y42" i="11" s="1"/>
  <c r="AD23" i="11"/>
  <c r="AE23" i="11" s="1"/>
  <c r="AW42" i="11"/>
  <c r="BE48" i="67"/>
  <c r="BK90" i="11"/>
  <c r="BQ38" i="11"/>
  <c r="AN19" i="40"/>
  <c r="BI24" i="40"/>
  <c r="V98" i="12"/>
  <c r="V99" i="12" s="1"/>
  <c r="Q41" i="11"/>
  <c r="R41" i="11" s="1"/>
  <c r="S41" i="11" s="1"/>
  <c r="AO9" i="11"/>
  <c r="AP9" i="11" s="1"/>
  <c r="L30" i="11"/>
  <c r="M30" i="11" s="1"/>
  <c r="AB88" i="11"/>
  <c r="AB87" i="11" s="1"/>
  <c r="J8" i="11"/>
  <c r="K8" i="11" s="1"/>
  <c r="L8" i="11" s="1"/>
  <c r="AY87" i="11"/>
  <c r="F43" i="11"/>
  <c r="G43" i="11" s="1"/>
  <c r="X22" i="11"/>
  <c r="Y22" i="11" s="1"/>
  <c r="F39" i="11"/>
  <c r="G39" i="11" s="1"/>
  <c r="AN90" i="11"/>
  <c r="AY90" i="11"/>
  <c r="AI87" i="11"/>
  <c r="AP71" i="11"/>
  <c r="AQ71" i="11" s="1"/>
  <c r="AD20" i="11"/>
  <c r="AE20" i="11" s="1"/>
  <c r="E46" i="11"/>
  <c r="E51" i="67" s="1"/>
  <c r="E89" i="12" s="1"/>
  <c r="F16" i="11"/>
  <c r="G16" i="11" s="1"/>
  <c r="Q82" i="11"/>
  <c r="AV73" i="11"/>
  <c r="AW73" i="11" s="1"/>
  <c r="AD51" i="11"/>
  <c r="AE51" i="11" s="1"/>
  <c r="AW43" i="11"/>
  <c r="AK45" i="11"/>
  <c r="AA87" i="11"/>
  <c r="AT151" i="12"/>
  <c r="AN64" i="12"/>
  <c r="AT65" i="12"/>
  <c r="AZ65" i="12"/>
  <c r="AO63" i="12"/>
  <c r="AH63" i="12"/>
  <c r="D59" i="12"/>
  <c r="AG106" i="12"/>
  <c r="AJ22" i="12"/>
  <c r="BB22" i="12"/>
  <c r="G145" i="12"/>
  <c r="G69" i="12"/>
  <c r="G147" i="12"/>
  <c r="G81" i="12"/>
  <c r="M69" i="12"/>
  <c r="M147" i="12"/>
  <c r="M81" i="12"/>
  <c r="S69" i="12"/>
  <c r="S147" i="12"/>
  <c r="S81" i="12"/>
  <c r="S122" i="12"/>
  <c r="U117" i="12" s="1"/>
  <c r="U121" i="12" s="1"/>
  <c r="Y69" i="12"/>
  <c r="Y147" i="12"/>
  <c r="Y81" i="12"/>
  <c r="AE145" i="12"/>
  <c r="AE69" i="12"/>
  <c r="AE147" i="12"/>
  <c r="AE81" i="12"/>
  <c r="AE148" i="12"/>
  <c r="AK69" i="12"/>
  <c r="AK147" i="12"/>
  <c r="AK81" i="12"/>
  <c r="AK148" i="12"/>
  <c r="AQ48" i="12"/>
  <c r="AQ70" i="12"/>
  <c r="AW69" i="12"/>
  <c r="AW147" i="12"/>
  <c r="AW81" i="12"/>
  <c r="AW148" i="12"/>
  <c r="BC145" i="12"/>
  <c r="BC69" i="12"/>
  <c r="BC147" i="12"/>
  <c r="BC81" i="12"/>
  <c r="BC148" i="12"/>
  <c r="D33" i="12"/>
  <c r="P33" i="12"/>
  <c r="BF64" i="12"/>
  <c r="G71" i="12"/>
  <c r="S153" i="12"/>
  <c r="S71" i="12"/>
  <c r="Y71" i="12"/>
  <c r="AK71" i="12"/>
  <c r="AK48" i="12"/>
  <c r="AQ71" i="12"/>
  <c r="AW153" i="12"/>
  <c r="AW71" i="12"/>
  <c r="BC153" i="12"/>
  <c r="BC71" i="12"/>
  <c r="E51" i="12"/>
  <c r="K51" i="12"/>
  <c r="Q51" i="12"/>
  <c r="V51" i="12"/>
  <c r="AJ51" i="12"/>
  <c r="AN51" i="12"/>
  <c r="AP51" i="12"/>
  <c r="AT51" i="12"/>
  <c r="F51" i="12"/>
  <c r="R51" i="12"/>
  <c r="AB51" i="12"/>
  <c r="AH51" i="12"/>
  <c r="AM47" i="12"/>
  <c r="AV51" i="12"/>
  <c r="AS47" i="12"/>
  <c r="AZ59" i="12"/>
  <c r="AZ51" i="12"/>
  <c r="BB51" i="12"/>
  <c r="BF51" i="12"/>
  <c r="BC119" i="12"/>
  <c r="BB21" i="67"/>
  <c r="AT63" i="12"/>
  <c r="AT33" i="12"/>
  <c r="V33" i="12"/>
  <c r="V42" i="12" s="1"/>
  <c r="AH22" i="12"/>
  <c r="AB120" i="12"/>
  <c r="J33" i="12"/>
  <c r="AZ33" i="12"/>
  <c r="AZ63" i="12"/>
  <c r="AJ64" i="12"/>
  <c r="AI47" i="12"/>
  <c r="AM68" i="40"/>
  <c r="BB63" i="12"/>
  <c r="AN65" i="12"/>
  <c r="Y153" i="12"/>
  <c r="AK145" i="12"/>
  <c r="BF63" i="12"/>
  <c r="AH33" i="12"/>
  <c r="AJ62" i="12"/>
  <c r="AM22" i="12"/>
  <c r="G70" i="12"/>
  <c r="M146" i="12"/>
  <c r="M70" i="12"/>
  <c r="S70" i="12"/>
  <c r="Y146" i="12"/>
  <c r="Y70" i="12"/>
  <c r="AE70" i="12"/>
  <c r="AK70" i="12"/>
  <c r="AQ69" i="12"/>
  <c r="AQ148" i="12"/>
  <c r="AW48" i="12"/>
  <c r="AW146" i="12"/>
  <c r="AW70" i="12"/>
  <c r="BC70" i="12"/>
  <c r="I33" i="12"/>
  <c r="AA33" i="12"/>
  <c r="AU63" i="12"/>
  <c r="M71" i="12"/>
  <c r="AE71" i="12"/>
  <c r="D51" i="12"/>
  <c r="I59" i="12"/>
  <c r="L51" i="12"/>
  <c r="P51" i="12"/>
  <c r="W51" i="12"/>
  <c r="AC51" i="12"/>
  <c r="AI51" i="12"/>
  <c r="AO51" i="12"/>
  <c r="AU51" i="12"/>
  <c r="BA51" i="12"/>
  <c r="J51" i="12"/>
  <c r="X51" i="12"/>
  <c r="AD51" i="12"/>
  <c r="AG47" i="12"/>
  <c r="AH47" i="12"/>
  <c r="AY47" i="12"/>
  <c r="AN102" i="12"/>
  <c r="AO97" i="12" s="1"/>
  <c r="K151" i="12"/>
  <c r="AG107" i="12"/>
  <c r="L38" i="11"/>
  <c r="AG60" i="11"/>
  <c r="AZ90" i="11"/>
  <c r="AT48" i="67"/>
  <c r="D89" i="12"/>
  <c r="S92" i="67"/>
  <c r="S93" i="67" s="1"/>
  <c r="Q31" i="11"/>
  <c r="V92" i="67"/>
  <c r="W46" i="11"/>
  <c r="W51" i="67" s="1"/>
  <c r="W89" i="12" s="1"/>
  <c r="V51" i="67"/>
  <c r="W38" i="11"/>
  <c r="AC14" i="11"/>
  <c r="AC105" i="12" s="1"/>
  <c r="AB19" i="67"/>
  <c r="AJ92" i="67"/>
  <c r="AT92" i="67"/>
  <c r="AU31" i="11"/>
  <c r="AV31" i="11" s="1"/>
  <c r="BA15" i="11"/>
  <c r="AZ92" i="67"/>
  <c r="AO98" i="12"/>
  <c r="AO99" i="12" s="1"/>
  <c r="BU75" i="11"/>
  <c r="CA75" i="11" s="1"/>
  <c r="CG75" i="11" s="1"/>
  <c r="CM75" i="11" s="1"/>
  <c r="D92" i="67"/>
  <c r="J89" i="12"/>
  <c r="P89" i="12"/>
  <c r="Q38" i="11"/>
  <c r="R38" i="11" s="1"/>
  <c r="V20" i="67"/>
  <c r="AC46" i="11"/>
  <c r="AC51" i="67" s="1"/>
  <c r="AC89" i="12" s="1"/>
  <c r="AB51" i="67"/>
  <c r="AN92" i="67"/>
  <c r="AT20" i="67"/>
  <c r="AU38" i="11"/>
  <c r="BA14" i="11"/>
  <c r="AZ19" i="67"/>
  <c r="BA45" i="11"/>
  <c r="BF20" i="67"/>
  <c r="BG90" i="11"/>
  <c r="BA48" i="67"/>
  <c r="E14" i="11"/>
  <c r="E19" i="67" s="1"/>
  <c r="D19" i="67"/>
  <c r="E29" i="11"/>
  <c r="F29" i="11" s="1"/>
  <c r="K15" i="11"/>
  <c r="J92" i="67"/>
  <c r="K45" i="11"/>
  <c r="L45" i="11" s="1"/>
  <c r="Q29" i="11"/>
  <c r="Q98" i="12" s="1"/>
  <c r="Q99" i="12" s="1"/>
  <c r="Q45" i="11"/>
  <c r="W29" i="11"/>
  <c r="X29" i="11" s="1"/>
  <c r="AC45" i="11"/>
  <c r="AO14" i="11"/>
  <c r="AO105" i="12" s="1"/>
  <c r="AN19" i="67"/>
  <c r="AT88" i="11"/>
  <c r="AT87" i="11" s="1"/>
  <c r="BF92" i="67"/>
  <c r="E31" i="11"/>
  <c r="C101" i="12"/>
  <c r="C99" i="12"/>
  <c r="AG90" i="11"/>
  <c r="AG48" i="67"/>
  <c r="K14" i="11"/>
  <c r="K19" i="67" s="1"/>
  <c r="J19" i="67"/>
  <c r="K29" i="11"/>
  <c r="L29" i="11" s="1"/>
  <c r="AB92" i="67"/>
  <c r="AC31" i="11"/>
  <c r="AK31" i="11"/>
  <c r="AN98" i="12"/>
  <c r="AN99" i="12" s="1"/>
  <c r="I120" i="67"/>
  <c r="I129" i="67" s="1"/>
  <c r="M120" i="67"/>
  <c r="M129" i="67" s="1"/>
  <c r="C134" i="67"/>
  <c r="C141" i="67" s="1"/>
  <c r="G134" i="67"/>
  <c r="G141" i="67" s="1"/>
  <c r="I134" i="67"/>
  <c r="I141" i="67" s="1"/>
  <c r="M134" i="67"/>
  <c r="M141" i="67" s="1"/>
  <c r="BI22" i="40"/>
  <c r="BC154" i="12"/>
  <c r="AK90" i="12"/>
  <c r="BO36" i="12"/>
  <c r="AT128" i="12"/>
  <c r="AZ128" i="12"/>
  <c r="BI37" i="40"/>
  <c r="BG51" i="11"/>
  <c r="BH51" i="11" s="1"/>
  <c r="BG18" i="11"/>
  <c r="BH18" i="11" s="1"/>
  <c r="BG11" i="11"/>
  <c r="BH11" i="11" s="1"/>
  <c r="BI11" i="11" s="1"/>
  <c r="BG22" i="11"/>
  <c r="BH22" i="11" s="1"/>
  <c r="BG32" i="11"/>
  <c r="BH32" i="11" s="1"/>
  <c r="BG44" i="11"/>
  <c r="BH44" i="11" s="1"/>
  <c r="BG72" i="11"/>
  <c r="BG82" i="11" s="1"/>
  <c r="BG83" i="11" s="1"/>
  <c r="Q46" i="11"/>
  <c r="F17" i="11"/>
  <c r="G17" i="11" s="1"/>
  <c r="X43" i="11"/>
  <c r="Y43" i="11" s="1"/>
  <c r="AW10" i="11"/>
  <c r="AO31" i="11"/>
  <c r="AP31" i="11" s="1"/>
  <c r="BB13" i="11"/>
  <c r="BC13" i="11" s="1"/>
  <c r="BA31" i="11"/>
  <c r="AU15" i="11"/>
  <c r="X11" i="11"/>
  <c r="Y11" i="11" s="1"/>
  <c r="S30" i="11"/>
  <c r="X32" i="11"/>
  <c r="Y32" i="11" s="1"/>
  <c r="AN82" i="11"/>
  <c r="J98" i="12"/>
  <c r="J99" i="12" s="1"/>
  <c r="BF82" i="11"/>
  <c r="BF83" i="11" s="1"/>
  <c r="BG73" i="11"/>
  <c r="BH73" i="11" s="1"/>
  <c r="BI73" i="11" s="1"/>
  <c r="BH90" i="11"/>
  <c r="BG17" i="11"/>
  <c r="BH17" i="11" s="1"/>
  <c r="BI17" i="11" s="1"/>
  <c r="BG13" i="11"/>
  <c r="BH13" i="11" s="1"/>
  <c r="BI13" i="11" s="1"/>
  <c r="BG10" i="11"/>
  <c r="BH10" i="11" s="1"/>
  <c r="BI10" i="11" s="1"/>
  <c r="BG23" i="11"/>
  <c r="BH23" i="11" s="1"/>
  <c r="BG21" i="11"/>
  <c r="BH21" i="11" s="1"/>
  <c r="BG30" i="11"/>
  <c r="BH30" i="11" s="1"/>
  <c r="BI30" i="11" s="1"/>
  <c r="BG46" i="11"/>
  <c r="BH46" i="11" s="1"/>
  <c r="BG43" i="11"/>
  <c r="BH43" i="11" s="1"/>
  <c r="BI43" i="11" s="1"/>
  <c r="BG39" i="11"/>
  <c r="BH39" i="11" s="1"/>
  <c r="BI39" i="12"/>
  <c r="BK90" i="12" s="1"/>
  <c r="AH62" i="12"/>
  <c r="AP22" i="12"/>
  <c r="AT22" i="12"/>
  <c r="AT62" i="12"/>
  <c r="AZ22" i="12"/>
  <c r="AB33" i="12"/>
  <c r="AH64" i="12"/>
  <c r="AN63" i="12"/>
  <c r="AN33" i="12"/>
  <c r="AV64" i="12"/>
  <c r="AZ64" i="12"/>
  <c r="BB64" i="12"/>
  <c r="G153" i="12"/>
  <c r="L59" i="12"/>
  <c r="P59" i="12"/>
  <c r="U59" i="12"/>
  <c r="BE47" i="12"/>
  <c r="BE59" i="12"/>
  <c r="AI156" i="12"/>
  <c r="AI158" i="12" s="1"/>
  <c r="G154" i="12"/>
  <c r="S154" i="12"/>
  <c r="Y154" i="12"/>
  <c r="AE154" i="12"/>
  <c r="AK154" i="12"/>
  <c r="AK156" i="12" s="1"/>
  <c r="AQ154" i="12"/>
  <c r="AQ156" i="12" s="1"/>
  <c r="M90" i="12"/>
  <c r="U87" i="12"/>
  <c r="AA87" i="12"/>
  <c r="AW87" i="12"/>
  <c r="J59" i="12"/>
  <c r="R59" i="12"/>
  <c r="AA59" i="12"/>
  <c r="AB59" i="12"/>
  <c r="AM107" i="12"/>
  <c r="O151" i="12"/>
  <c r="AN151" i="12"/>
  <c r="E151" i="12"/>
  <c r="AC151" i="12"/>
  <c r="AD151" i="12"/>
  <c r="D156" i="12"/>
  <c r="AT156" i="12"/>
  <c r="BB120" i="12"/>
  <c r="AH120" i="12"/>
  <c r="AE43" i="11"/>
  <c r="S34" i="11"/>
  <c r="AI90" i="11"/>
  <c r="BF105" i="12"/>
  <c r="BF107" i="12" s="1"/>
  <c r="J105" i="12"/>
  <c r="J106" i="12" s="1"/>
  <c r="K119" i="12"/>
  <c r="L119" i="12" s="1"/>
  <c r="E33" i="12"/>
  <c r="K33" i="12"/>
  <c r="Q33" i="12"/>
  <c r="W33" i="12"/>
  <c r="W42" i="12" s="1"/>
  <c r="AC33" i="12"/>
  <c r="AO64" i="12"/>
  <c r="AO33" i="12"/>
  <c r="AO42" i="12" s="1"/>
  <c r="BA63" i="12"/>
  <c r="BA64" i="12"/>
  <c r="P151" i="12"/>
  <c r="AI119" i="12"/>
  <c r="AI105" i="12" s="1"/>
  <c r="AH105" i="12"/>
  <c r="AH107" i="12" s="1"/>
  <c r="Y122" i="12"/>
  <c r="AE117" i="12" s="1"/>
  <c r="Y150" i="12"/>
  <c r="AC59" i="12"/>
  <c r="AZ121" i="12"/>
  <c r="O8" i="12"/>
  <c r="AQ146" i="12"/>
  <c r="S148" i="12"/>
  <c r="AI63" i="12"/>
  <c r="AN22" i="12"/>
  <c r="AN62" i="12"/>
  <c r="BF62" i="12"/>
  <c r="G146" i="12"/>
  <c r="AK146" i="12"/>
  <c r="F33" i="12"/>
  <c r="L33" i="12"/>
  <c r="R33" i="12"/>
  <c r="AD33" i="12"/>
  <c r="AJ63" i="12"/>
  <c r="AP63" i="12"/>
  <c r="AV33" i="12"/>
  <c r="AT47" i="12"/>
  <c r="AT59" i="12"/>
  <c r="AP151" i="12"/>
  <c r="BB151" i="12"/>
  <c r="Y110" i="12"/>
  <c r="Y148" i="12"/>
  <c r="X33" i="12"/>
  <c r="AH65" i="12"/>
  <c r="AM106" i="12"/>
  <c r="AZ62" i="12"/>
  <c r="AJ33" i="12"/>
  <c r="BB33" i="12"/>
  <c r="AV63" i="12"/>
  <c r="BF65" i="12"/>
  <c r="S145" i="12"/>
  <c r="BF22" i="12"/>
  <c r="AI65" i="12"/>
  <c r="AO62" i="12"/>
  <c r="AQ150" i="12"/>
  <c r="G87" i="12"/>
  <c r="AK87" i="12"/>
  <c r="BE87" i="12"/>
  <c r="C59" i="12"/>
  <c r="F59" i="12"/>
  <c r="V59" i="12"/>
  <c r="AV62" i="12"/>
  <c r="AD128" i="12"/>
  <c r="BB128" i="12"/>
  <c r="L151" i="12"/>
  <c r="AI12" i="11"/>
  <c r="AI24" i="11" s="1"/>
  <c r="AI26" i="11" s="1"/>
  <c r="R43" i="11"/>
  <c r="S43" i="11" s="1"/>
  <c r="AM53" i="11"/>
  <c r="AW22" i="40"/>
  <c r="AK22" i="40"/>
  <c r="AH42" i="40"/>
  <c r="AQ15" i="12"/>
  <c r="AS63" i="12"/>
  <c r="AO59" i="12"/>
  <c r="K59" i="12"/>
  <c r="AU47" i="12"/>
  <c r="AU59" i="12"/>
  <c r="C74" i="11"/>
  <c r="D70" i="11" s="1"/>
  <c r="D78" i="11" s="1"/>
  <c r="D73" i="11"/>
  <c r="E73" i="11" s="1"/>
  <c r="F73" i="11" s="1"/>
  <c r="C79" i="11"/>
  <c r="BU45" i="11"/>
  <c r="BA40" i="11"/>
  <c r="BB40" i="11" s="1"/>
  <c r="BC40" i="11" s="1"/>
  <c r="BG15" i="11"/>
  <c r="AG33" i="12"/>
  <c r="I87" i="12"/>
  <c r="AJ87" i="11"/>
  <c r="BA26" i="40"/>
  <c r="BA28" i="40" s="1"/>
  <c r="AZ16" i="40"/>
  <c r="AZ18" i="40" s="1"/>
  <c r="AZ30" i="40" s="1"/>
  <c r="AZ32" i="40"/>
  <c r="BC32" i="40" s="1"/>
  <c r="BC146" i="12"/>
  <c r="AM64" i="12"/>
  <c r="AM33" i="12"/>
  <c r="AQ46" i="12"/>
  <c r="AW46" i="12"/>
  <c r="M87" i="12"/>
  <c r="O87" i="12"/>
  <c r="U90" i="12"/>
  <c r="Y90" i="12"/>
  <c r="AE40" i="12"/>
  <c r="AE178" i="12" s="1"/>
  <c r="AG87" i="12"/>
  <c r="AI59" i="12"/>
  <c r="AN47" i="12"/>
  <c r="AN59" i="12"/>
  <c r="AO45" i="11"/>
  <c r="AP45" i="11" s="1"/>
  <c r="AN88" i="11"/>
  <c r="AN87" i="11" s="1"/>
  <c r="AU34" i="11"/>
  <c r="AV34" i="11" s="1"/>
  <c r="AW34" i="11" s="1"/>
  <c r="AU29" i="11"/>
  <c r="AT98" i="12"/>
  <c r="AT99" i="12" s="1"/>
  <c r="BE76" i="12"/>
  <c r="BE60" i="11"/>
  <c r="BG40" i="11"/>
  <c r="BF98" i="12"/>
  <c r="BF99" i="12" s="1"/>
  <c r="BA72" i="11"/>
  <c r="BA82" i="11" s="1"/>
  <c r="BA83" i="11" s="1"/>
  <c r="AZ82" i="11"/>
  <c r="AZ83" i="11" s="1"/>
  <c r="S90" i="12"/>
  <c r="M145" i="12"/>
  <c r="I101" i="12"/>
  <c r="AW14" i="40"/>
  <c r="AW26" i="40" s="1"/>
  <c r="AV32" i="40"/>
  <c r="AV26" i="40"/>
  <c r="AV28" i="40" s="1"/>
  <c r="E41" i="11"/>
  <c r="F41" i="11" s="1"/>
  <c r="G41" i="11" s="1"/>
  <c r="P6" i="13"/>
  <c r="Q6" i="13" s="1"/>
  <c r="R6" i="13" s="1"/>
  <c r="U6" i="13"/>
  <c r="AA6" i="13" s="1"/>
  <c r="AB6" i="13" s="1"/>
  <c r="AC6" i="13" s="1"/>
  <c r="AD6" i="13" s="1"/>
  <c r="AU62" i="12"/>
  <c r="AU22" i="12"/>
  <c r="C33" i="12"/>
  <c r="O33" i="12"/>
  <c r="AY33" i="12"/>
  <c r="AY63" i="12"/>
  <c r="BE65" i="12"/>
  <c r="BE33" i="12"/>
  <c r="M153" i="12"/>
  <c r="AE153" i="12"/>
  <c r="AE46" i="12"/>
  <c r="AE171" i="12" s="1"/>
  <c r="AE19" i="40"/>
  <c r="BC46" i="12"/>
  <c r="BC171" i="12" s="1"/>
  <c r="AS90" i="12"/>
  <c r="AQ90" i="12"/>
  <c r="AW90" i="12"/>
  <c r="AJ32" i="40"/>
  <c r="AK14" i="40"/>
  <c r="AQ26" i="40" s="1"/>
  <c r="AJ16" i="40"/>
  <c r="AJ18" i="40" s="1"/>
  <c r="U107" i="12"/>
  <c r="AU65" i="12"/>
  <c r="AM87" i="12"/>
  <c r="AP19" i="40"/>
  <c r="AP18" i="40"/>
  <c r="AS24" i="40"/>
  <c r="AQ24" i="40"/>
  <c r="BE23" i="40"/>
  <c r="BC23" i="40"/>
  <c r="AI46" i="40"/>
  <c r="AI43" i="40" s="1"/>
  <c r="AH43" i="40"/>
  <c r="V105" i="12"/>
  <c r="V107" i="12" s="1"/>
  <c r="W20" i="11"/>
  <c r="X20" i="11" s="1"/>
  <c r="Y20" i="11" s="1"/>
  <c r="V19" i="11"/>
  <c r="V88" i="11"/>
  <c r="V87" i="11" s="1"/>
  <c r="W45" i="11"/>
  <c r="AK29" i="11"/>
  <c r="AJ98" i="12"/>
  <c r="AJ99" i="12" s="1"/>
  <c r="AO15" i="11"/>
  <c r="AN12" i="11"/>
  <c r="AN24" i="11" s="1"/>
  <c r="AN26" i="11" s="1"/>
  <c r="AO10" i="11"/>
  <c r="AP10" i="11" s="1"/>
  <c r="BA156" i="12"/>
  <c r="BF156" i="12"/>
  <c r="AO121" i="12"/>
  <c r="CA100" i="12"/>
  <c r="CA118" i="12"/>
  <c r="CA126" i="12"/>
  <c r="AN28" i="40"/>
  <c r="W151" i="12"/>
  <c r="AB128" i="12"/>
  <c r="AW24" i="40"/>
  <c r="AO28" i="40"/>
  <c r="L51" i="11"/>
  <c r="M51" i="11" s="1"/>
  <c r="BE53" i="11"/>
  <c r="M29" i="12"/>
  <c r="S29" i="12"/>
  <c r="AW29" i="12"/>
  <c r="G40" i="12"/>
  <c r="Y87" i="12"/>
  <c r="AQ87" i="12"/>
  <c r="AW40" i="12"/>
  <c r="AW178" i="12" s="1"/>
  <c r="BC40" i="12"/>
  <c r="O59" i="12"/>
  <c r="AJ59" i="12"/>
  <c r="AV59" i="12"/>
  <c r="X151" i="12"/>
  <c r="V151" i="12"/>
  <c r="BE156" i="12"/>
  <c r="X72" i="11"/>
  <c r="AW29" i="40"/>
  <c r="BF121" i="12"/>
  <c r="AI101" i="12"/>
  <c r="AG101" i="12"/>
  <c r="AP36" i="13"/>
  <c r="AS36" i="13"/>
  <c r="AS48" i="13"/>
  <c r="AD119" i="12"/>
  <c r="AD121" i="12" s="1"/>
  <c r="AN47" i="13"/>
  <c r="F25" i="11"/>
  <c r="G25" i="11" s="1"/>
  <c r="J42" i="12"/>
  <c r="AU20" i="11"/>
  <c r="AV20" i="11" s="1"/>
  <c r="J31" i="11"/>
  <c r="S40" i="12"/>
  <c r="AK15" i="12"/>
  <c r="AW145" i="12"/>
  <c r="BS38" i="11"/>
  <c r="BF128" i="12"/>
  <c r="AO120" i="12"/>
  <c r="BE63" i="12"/>
  <c r="AP62" i="12"/>
  <c r="AQ29" i="12"/>
  <c r="AC29" i="11"/>
  <c r="W14" i="11"/>
  <c r="W19" i="67" s="1"/>
  <c r="R21" i="11"/>
  <c r="S21" i="11" s="1"/>
  <c r="R20" i="11"/>
  <c r="S20" i="11" s="1"/>
  <c r="Q119" i="12"/>
  <c r="Q120" i="12" s="1"/>
  <c r="AS68" i="40"/>
  <c r="AB105" i="12"/>
  <c r="AB107" i="12" s="1"/>
  <c r="AS87" i="12"/>
  <c r="AW154" i="12"/>
  <c r="AJ47" i="12"/>
  <c r="BC90" i="12"/>
  <c r="AE90" i="12"/>
  <c r="AQ40" i="12"/>
  <c r="AQ178" i="12" s="1"/>
  <c r="AV65" i="12"/>
  <c r="BE64" i="12"/>
  <c r="AS64" i="12"/>
  <c r="AG63" i="12"/>
  <c r="AC71" i="11"/>
  <c r="AD71" i="11" s="1"/>
  <c r="O106" i="12"/>
  <c r="AO104" i="12"/>
  <c r="BA128" i="12"/>
  <c r="R151" i="12"/>
  <c r="F156" i="12"/>
  <c r="AZ12" i="11"/>
  <c r="AZ24" i="11" s="1"/>
  <c r="AZ26" i="11" s="1"/>
  <c r="AZ76" i="12" s="1"/>
  <c r="AT82" i="11"/>
  <c r="AT83" i="11" s="1"/>
  <c r="AZ73" i="11"/>
  <c r="BA73" i="11" s="1"/>
  <c r="AI32" i="40"/>
  <c r="AE28" i="40"/>
  <c r="AG41" i="40"/>
  <c r="AG63" i="40"/>
  <c r="BU118" i="12"/>
  <c r="BU100" i="12"/>
  <c r="AB98" i="12"/>
  <c r="AB99" i="12" s="1"/>
  <c r="D12" i="11"/>
  <c r="D24" i="11" s="1"/>
  <c r="D26" i="11" s="1"/>
  <c r="J19" i="11"/>
  <c r="P33" i="11"/>
  <c r="P35" i="11" s="1"/>
  <c r="AT33" i="13"/>
  <c r="AI26" i="40"/>
  <c r="AI28" i="40" s="1"/>
  <c r="D105" i="12"/>
  <c r="S87" i="12"/>
  <c r="AW15" i="12"/>
  <c r="AQ22" i="40"/>
  <c r="AU128" i="12"/>
  <c r="AE29" i="12"/>
  <c r="AG64" i="12"/>
  <c r="AP65" i="12"/>
  <c r="AM62" i="12"/>
  <c r="BE62" i="12"/>
  <c r="BC87" i="12"/>
  <c r="AE87" i="12"/>
  <c r="AV72" i="11"/>
  <c r="F40" i="11"/>
  <c r="G40" i="11" s="1"/>
  <c r="AO128" i="12"/>
  <c r="BA59" i="12"/>
  <c r="AP59" i="12"/>
  <c r="U33" i="12"/>
  <c r="BF88" i="11"/>
  <c r="BF87" i="11" s="1"/>
  <c r="J12" i="11"/>
  <c r="J24" i="11" s="1"/>
  <c r="J26" i="11" s="1"/>
  <c r="D121" i="12"/>
  <c r="AM59" i="12"/>
  <c r="AV47" i="12"/>
  <c r="AY87" i="12"/>
  <c r="G90" i="12"/>
  <c r="AI33" i="12"/>
  <c r="Y145" i="12"/>
  <c r="BF42" i="12"/>
  <c r="BB62" i="12"/>
  <c r="AY64" i="12"/>
  <c r="AM63" i="12"/>
  <c r="AB42" i="40"/>
  <c r="D98" i="12"/>
  <c r="I151" i="12"/>
  <c r="I156" i="12"/>
  <c r="BF16" i="40"/>
  <c r="BF18" i="40" s="1"/>
  <c r="BG30" i="40" s="1"/>
  <c r="BG26" i="40"/>
  <c r="BG28" i="40" s="1"/>
  <c r="AQ16" i="40"/>
  <c r="AQ18" i="40" s="1"/>
  <c r="AS30" i="40" s="1"/>
  <c r="AH101" i="12"/>
  <c r="BG29" i="11"/>
  <c r="AT36" i="13"/>
  <c r="AN35" i="13"/>
  <c r="AM101" i="12"/>
  <c r="BG14" i="11"/>
  <c r="BG45" i="11"/>
  <c r="F44" i="11"/>
  <c r="AV18" i="11"/>
  <c r="AW18" i="11" s="1"/>
  <c r="AB121" i="12"/>
  <c r="X30" i="11"/>
  <c r="Y30" i="11" s="1"/>
  <c r="U106" i="12"/>
  <c r="BF59" i="12"/>
  <c r="AY29" i="40"/>
  <c r="AJ65" i="12"/>
  <c r="AS59" i="12"/>
  <c r="AS33" i="12"/>
  <c r="AK38" i="11"/>
  <c r="BF120" i="12"/>
  <c r="AG59" i="12"/>
  <c r="I90" i="12"/>
  <c r="AV22" i="12"/>
  <c r="BB65" i="12"/>
  <c r="AZ88" i="11"/>
  <c r="AZ87" i="11" s="1"/>
  <c r="AB61" i="40"/>
  <c r="AB63" i="40" s="1"/>
  <c r="U53" i="11"/>
  <c r="D82" i="11"/>
  <c r="BE87" i="11"/>
  <c r="AY37" i="40"/>
  <c r="BG120" i="12"/>
  <c r="BG121" i="12"/>
  <c r="AN33" i="11"/>
  <c r="AN35" i="11" s="1"/>
  <c r="AN34" i="13"/>
  <c r="AU45" i="13"/>
  <c r="AM45" i="13"/>
  <c r="AO34" i="13"/>
  <c r="AT34" i="13"/>
  <c r="AO35" i="13"/>
  <c r="AH35" i="13"/>
  <c r="AT35" i="13"/>
  <c r="AV17" i="11"/>
  <c r="AW17" i="11" s="1"/>
  <c r="AD10" i="11"/>
  <c r="AE10" i="11" s="1"/>
  <c r="AC12" i="11"/>
  <c r="L34" i="11"/>
  <c r="M34" i="11" s="1"/>
  <c r="F21" i="11"/>
  <c r="G21" i="11" s="1"/>
  <c r="AJ12" i="11"/>
  <c r="AJ24" i="11" s="1"/>
  <c r="AJ26" i="11" s="1"/>
  <c r="E10" i="11"/>
  <c r="F10" i="11" s="1"/>
  <c r="O107" i="12"/>
  <c r="AV40" i="11"/>
  <c r="AW40" i="11" s="1"/>
  <c r="AD25" i="11"/>
  <c r="AE25" i="11" s="1"/>
  <c r="AV23" i="11"/>
  <c r="AW23" i="11" s="1"/>
  <c r="BB51" i="11"/>
  <c r="BC51" i="11" s="1"/>
  <c r="R72" i="11"/>
  <c r="AK88" i="11"/>
  <c r="AK87" i="11" s="1"/>
  <c r="AQ41" i="11"/>
  <c r="O53" i="11"/>
  <c r="AB90" i="11"/>
  <c r="AV90" i="11"/>
  <c r="AP90" i="11"/>
  <c r="AT19" i="11"/>
  <c r="W31" i="11"/>
  <c r="L17" i="11"/>
  <c r="M17" i="11" s="1"/>
  <c r="Y23" i="11"/>
  <c r="AT90" i="11"/>
  <c r="AD72" i="11"/>
  <c r="AV71" i="11"/>
  <c r="AW71" i="11" s="1"/>
  <c r="R51" i="11"/>
  <c r="S51" i="11" s="1"/>
  <c r="AC15" i="11"/>
  <c r="BF90" i="11"/>
  <c r="BB16" i="11"/>
  <c r="BC16" i="11" s="1"/>
  <c r="AC44" i="11"/>
  <c r="R48" i="11"/>
  <c r="S48" i="11" s="1"/>
  <c r="D19" i="11"/>
  <c r="BU126" i="12"/>
  <c r="P87" i="11"/>
  <c r="BZ38" i="11"/>
  <c r="BC29" i="40"/>
  <c r="AU19" i="40"/>
  <c r="AY24" i="40"/>
  <c r="BI11" i="40"/>
  <c r="AH34" i="13"/>
  <c r="AP34" i="13"/>
  <c r="AM47" i="13"/>
  <c r="AO47" i="13"/>
  <c r="AU33" i="13"/>
  <c r="AU34" i="13"/>
  <c r="AU35" i="13"/>
  <c r="AU48" i="13"/>
  <c r="AS33" i="13"/>
  <c r="AV45" i="13"/>
  <c r="BO118" i="12"/>
  <c r="AN19" i="11"/>
  <c r="AO23" i="11"/>
  <c r="AP23" i="11" s="1"/>
  <c r="AQ23" i="11" s="1"/>
  <c r="D33" i="11"/>
  <c r="D35" i="11" s="1"/>
  <c r="AP13" i="11"/>
  <c r="AQ13" i="11" s="1"/>
  <c r="G78" i="11"/>
  <c r="G79" i="11"/>
  <c r="K71" i="11"/>
  <c r="L71" i="11" s="1"/>
  <c r="P80" i="11"/>
  <c r="J80" i="11"/>
  <c r="V80" i="11"/>
  <c r="AB80" i="11"/>
  <c r="AH80" i="11"/>
  <c r="AI71" i="11"/>
  <c r="AO80" i="11" s="1"/>
  <c r="AN80" i="11"/>
  <c r="AA90" i="11"/>
  <c r="AJ90" i="11"/>
  <c r="E51" i="11"/>
  <c r="F51" i="11" s="1"/>
  <c r="E15" i="11"/>
  <c r="E30" i="11"/>
  <c r="E45" i="11"/>
  <c r="D88" i="11"/>
  <c r="D87" i="11" s="1"/>
  <c r="E38" i="11"/>
  <c r="D47" i="11"/>
  <c r="D49" i="11" s="1"/>
  <c r="K13" i="11"/>
  <c r="L13" i="11" s="1"/>
  <c r="M13" i="11" s="1"/>
  <c r="K23" i="11"/>
  <c r="L23" i="11" s="1"/>
  <c r="M23" i="11" s="1"/>
  <c r="K40" i="11"/>
  <c r="L40" i="11" s="1"/>
  <c r="M40" i="11" s="1"/>
  <c r="J47" i="11"/>
  <c r="J49" i="11" s="1"/>
  <c r="Q11" i="11"/>
  <c r="Q12" i="11" s="1"/>
  <c r="P12" i="11"/>
  <c r="P24" i="11" s="1"/>
  <c r="P26" i="11" s="1"/>
  <c r="Q22" i="11"/>
  <c r="P19" i="11"/>
  <c r="Q32" i="11"/>
  <c r="P47" i="11"/>
  <c r="P49" i="11" s="1"/>
  <c r="Q39" i="11"/>
  <c r="W25" i="11"/>
  <c r="X25" i="11" s="1"/>
  <c r="W15" i="11"/>
  <c r="W10" i="11"/>
  <c r="W12" i="11" s="1"/>
  <c r="V12" i="11"/>
  <c r="V24" i="11" s="1"/>
  <c r="V26" i="11" s="1"/>
  <c r="W21" i="11"/>
  <c r="V33" i="11"/>
  <c r="V35" i="11" s="1"/>
  <c r="AO38" i="11"/>
  <c r="AN47" i="11"/>
  <c r="AN49" i="11" s="1"/>
  <c r="AT105" i="12"/>
  <c r="AU14" i="11"/>
  <c r="AU19" i="67" s="1"/>
  <c r="AU30" i="11"/>
  <c r="AV30" i="11" s="1"/>
  <c r="AW30" i="11" s="1"/>
  <c r="AU45" i="11"/>
  <c r="AU41" i="11"/>
  <c r="AV41" i="11" s="1"/>
  <c r="AT47" i="11"/>
  <c r="AT49" i="11" s="1"/>
  <c r="BA17" i="11"/>
  <c r="BB17" i="11" s="1"/>
  <c r="BC17" i="11" s="1"/>
  <c r="BA23" i="11"/>
  <c r="BB23" i="11" s="1"/>
  <c r="BC23" i="11" s="1"/>
  <c r="AZ19" i="11"/>
  <c r="BA29" i="11"/>
  <c r="AZ98" i="12"/>
  <c r="AZ33" i="11"/>
  <c r="AZ35" i="11" s="1"/>
  <c r="I106" i="12"/>
  <c r="I107" i="12"/>
  <c r="AZ107" i="12"/>
  <c r="AZ106" i="12"/>
  <c r="BB11" i="11"/>
  <c r="BA12" i="11"/>
  <c r="AO30" i="11"/>
  <c r="AJ47" i="11"/>
  <c r="AJ49" i="11" s="1"/>
  <c r="AK49" i="11" s="1"/>
  <c r="AK15" i="11"/>
  <c r="AK20" i="11"/>
  <c r="AK19" i="11" s="1"/>
  <c r="AJ19" i="11"/>
  <c r="AK30" i="11"/>
  <c r="AJ33" i="11"/>
  <c r="AJ35" i="11" s="1"/>
  <c r="BA38" i="11"/>
  <c r="BG16" i="11"/>
  <c r="BG9" i="11"/>
  <c r="BH9" i="11" s="1"/>
  <c r="BF12" i="11"/>
  <c r="BF24" i="11" s="1"/>
  <c r="BF26" i="11" s="1"/>
  <c r="BF76" i="12" s="1"/>
  <c r="BG20" i="11"/>
  <c r="BH20" i="11" s="1"/>
  <c r="BF19" i="11"/>
  <c r="BG48" i="11"/>
  <c r="BG42" i="11"/>
  <c r="BG31" i="11"/>
  <c r="BF33" i="11"/>
  <c r="BF35" i="11" s="1"/>
  <c r="AO73" i="11"/>
  <c r="AP73" i="11" s="1"/>
  <c r="AQ73" i="11" s="1"/>
  <c r="C106" i="12"/>
  <c r="C107" i="12"/>
  <c r="BO45" i="11"/>
  <c r="I70" i="11"/>
  <c r="M70" i="11"/>
  <c r="AU90" i="11"/>
  <c r="AS90" i="11"/>
  <c r="AM87" i="11"/>
  <c r="AM90" i="11"/>
  <c r="AQ90" i="11"/>
  <c r="X38" i="11"/>
  <c r="W40" i="11"/>
  <c r="X40" i="11" s="1"/>
  <c r="Y40" i="11" s="1"/>
  <c r="V47" i="11"/>
  <c r="V49" i="11" s="1"/>
  <c r="AC16" i="11"/>
  <c r="AD16" i="11" s="1"/>
  <c r="AE16" i="11" s="1"/>
  <c r="AE11" i="11"/>
  <c r="AB12" i="11"/>
  <c r="AB24" i="11" s="1"/>
  <c r="AB26" i="11" s="1"/>
  <c r="AC22" i="11"/>
  <c r="AC19" i="11" s="1"/>
  <c r="AB19" i="11"/>
  <c r="AB33" i="11"/>
  <c r="AB35" i="11" s="1"/>
  <c r="AC32" i="11"/>
  <c r="AD32" i="11" s="1"/>
  <c r="AE32" i="11" s="1"/>
  <c r="AC42" i="11"/>
  <c r="AD42" i="11" s="1"/>
  <c r="C53" i="11"/>
  <c r="C75" i="12" s="1"/>
  <c r="C87" i="11"/>
  <c r="AH87" i="11"/>
  <c r="BG25" i="11"/>
  <c r="BG34" i="11"/>
  <c r="BH34" i="11" s="1"/>
  <c r="BG41" i="11"/>
  <c r="AD90" i="11"/>
  <c r="BR71" i="11"/>
  <c r="BX71" i="11" s="1"/>
  <c r="CD71" i="11" s="1"/>
  <c r="CJ71" i="11" s="1"/>
  <c r="BG71" i="11"/>
  <c r="BH71" i="11" s="1"/>
  <c r="BI71" i="11" s="1"/>
  <c r="BH16" i="40"/>
  <c r="BH18" i="40" s="1"/>
  <c r="AU30" i="40"/>
  <c r="BC22" i="40"/>
  <c r="AU28" i="40"/>
  <c r="BB28" i="40"/>
  <c r="BI24" i="12"/>
  <c r="BO12" i="40"/>
  <c r="BO24" i="40" s="1"/>
  <c r="BI17" i="40"/>
  <c r="AQ23" i="40"/>
  <c r="BX38" i="11"/>
  <c r="BB18" i="40"/>
  <c r="AQ29" i="40"/>
  <c r="AM23" i="40"/>
  <c r="AS23" i="40"/>
  <c r="BT38" i="11"/>
  <c r="BY39" i="11"/>
  <c r="CA39" i="11" s="1"/>
  <c r="AV18" i="40"/>
  <c r="AV30" i="40" s="1"/>
  <c r="AI18" i="40"/>
  <c r="BC16" i="40"/>
  <c r="AZ28" i="40"/>
  <c r="BC24" i="40"/>
  <c r="AC61" i="40"/>
  <c r="AD58" i="40"/>
  <c r="AH63" i="40"/>
  <c r="AC42" i="40"/>
  <c r="AD53" i="40"/>
  <c r="AS19" i="40"/>
  <c r="AC120" i="12"/>
  <c r="AH151" i="12"/>
  <c r="M46" i="12"/>
  <c r="M171" i="12" s="1"/>
  <c r="Y29" i="12"/>
  <c r="AK46" i="12"/>
  <c r="AY59" i="12"/>
  <c r="BB59" i="12"/>
  <c r="AP128" i="12"/>
  <c r="D151" i="12"/>
  <c r="E156" i="12"/>
  <c r="K156" i="12"/>
  <c r="P156" i="12"/>
  <c r="P158" i="12" s="1"/>
  <c r="V156" i="12"/>
  <c r="AJ156" i="12"/>
  <c r="AJ158" i="12" s="1"/>
  <c r="AM156" i="12"/>
  <c r="AP156" i="12"/>
  <c r="AP158" i="12" s="1"/>
  <c r="AQ54" i="40"/>
  <c r="AC43" i="40"/>
  <c r="AD46" i="40"/>
  <c r="AW48" i="40"/>
  <c r="AQ51" i="40"/>
  <c r="AT30" i="40"/>
  <c r="AS26" i="40"/>
  <c r="BE26" i="40"/>
  <c r="AG18" i="40"/>
  <c r="AG30" i="40" s="1"/>
  <c r="AH18" i="40"/>
  <c r="AW23" i="40"/>
  <c r="BF28" i="40"/>
  <c r="AK51" i="40"/>
  <c r="AC56" i="40"/>
  <c r="L39" i="11"/>
  <c r="AD21" i="11"/>
  <c r="AE21" i="11" s="1"/>
  <c r="X71" i="11"/>
  <c r="P101" i="12"/>
  <c r="O87" i="11"/>
  <c r="AS87" i="11"/>
  <c r="AG53" i="11"/>
  <c r="Y90" i="11"/>
  <c r="E120" i="12"/>
  <c r="X42" i="12"/>
  <c r="BH155" i="12"/>
  <c r="AI42" i="12"/>
  <c r="BH149" i="12"/>
  <c r="BI20" i="12"/>
  <c r="AG65" i="12"/>
  <c r="AG22" i="12"/>
  <c r="AI62" i="12"/>
  <c r="AM65" i="12"/>
  <c r="AO65" i="12"/>
  <c r="AS22" i="12"/>
  <c r="AS62" i="12"/>
  <c r="AY22" i="12"/>
  <c r="AY62" i="12"/>
  <c r="AY65" i="12"/>
  <c r="BA22" i="12"/>
  <c r="BA62" i="12"/>
  <c r="BA65" i="12"/>
  <c r="BE22" i="12"/>
  <c r="G110" i="12"/>
  <c r="G122" i="12"/>
  <c r="I117" i="12" s="1"/>
  <c r="M148" i="12"/>
  <c r="M150" i="12"/>
  <c r="S146" i="12"/>
  <c r="S129" i="12"/>
  <c r="Y125" i="12" s="1"/>
  <c r="S150" i="12"/>
  <c r="AP119" i="12"/>
  <c r="AQ119" i="12" s="1"/>
  <c r="E121" i="12"/>
  <c r="AC121" i="12"/>
  <c r="BI21" i="12"/>
  <c r="O101" i="12"/>
  <c r="G148" i="12"/>
  <c r="BI155" i="12"/>
  <c r="G150" i="12"/>
  <c r="M122" i="12"/>
  <c r="AG62" i="12"/>
  <c r="BG149" i="12"/>
  <c r="AO22" i="12"/>
  <c r="D120" i="12"/>
  <c r="M110" i="12"/>
  <c r="AS65" i="12"/>
  <c r="AI22" i="12"/>
  <c r="AE150" i="12"/>
  <c r="AW150" i="12"/>
  <c r="E59" i="12"/>
  <c r="AD59" i="12"/>
  <c r="AH59" i="12"/>
  <c r="AC125" i="12"/>
  <c r="AC128" i="12" s="1"/>
  <c r="Q151" i="12"/>
  <c r="AM151" i="12"/>
  <c r="AO151" i="12"/>
  <c r="AZ151" i="12"/>
  <c r="BA151" i="12"/>
  <c r="BE151" i="12"/>
  <c r="F151" i="12"/>
  <c r="AB151" i="12"/>
  <c r="C156" i="12"/>
  <c r="R156" i="12"/>
  <c r="U156" i="12"/>
  <c r="X156" i="12"/>
  <c r="AA156" i="12"/>
  <c r="AD156" i="12"/>
  <c r="AG156" i="12"/>
  <c r="AG158" i="12" s="1"/>
  <c r="AN156" i="12"/>
  <c r="AO156" i="12"/>
  <c r="AV156" i="12"/>
  <c r="AV158" i="12" s="1"/>
  <c r="AY156" i="12"/>
  <c r="AN37" i="40"/>
  <c r="AT37" i="40"/>
  <c r="AT121" i="12"/>
  <c r="AD48" i="11"/>
  <c r="AE48" i="11" s="1"/>
  <c r="AV32" i="11"/>
  <c r="BB71" i="11"/>
  <c r="AA60" i="11"/>
  <c r="AA76" i="12"/>
  <c r="AA53" i="11"/>
  <c r="BB21" i="11"/>
  <c r="BC21" i="11" s="1"/>
  <c r="AD41" i="11"/>
  <c r="AE41" i="11" s="1"/>
  <c r="AB47" i="11"/>
  <c r="AB49" i="11" s="1"/>
  <c r="AP42" i="11"/>
  <c r="AQ42" i="11" s="1"/>
  <c r="AK11" i="11"/>
  <c r="AK12" i="11" s="1"/>
  <c r="AP29" i="11"/>
  <c r="P106" i="12"/>
  <c r="P107" i="12"/>
  <c r="AD30" i="11"/>
  <c r="AE30" i="11" s="1"/>
  <c r="F34" i="11"/>
  <c r="G34" i="11" s="1"/>
  <c r="L46" i="11"/>
  <c r="L51" i="67" s="1"/>
  <c r="L89" i="12" s="1"/>
  <c r="U87" i="11"/>
  <c r="AG87" i="11"/>
  <c r="BB90" i="11"/>
  <c r="BE90" i="11"/>
  <c r="M90" i="11"/>
  <c r="S90" i="11"/>
  <c r="BB42" i="11"/>
  <c r="BC42" i="11" s="1"/>
  <c r="CA45" i="11"/>
  <c r="BA37" i="40"/>
  <c r="D134" i="67"/>
  <c r="D141" i="67" s="1"/>
  <c r="BB37" i="40"/>
  <c r="AO37" i="40"/>
  <c r="E134" i="67"/>
  <c r="E141" i="67" s="1"/>
  <c r="AU37" i="40"/>
  <c r="BF151" i="12"/>
  <c r="BF37" i="40"/>
  <c r="AM37" i="40"/>
  <c r="AS37" i="40"/>
  <c r="AH37" i="40"/>
  <c r="AI37" i="40"/>
  <c r="BI26" i="12"/>
  <c r="BE37" i="40"/>
  <c r="F134" i="67"/>
  <c r="F141" i="67" s="1"/>
  <c r="AJ37" i="40"/>
  <c r="AP37" i="40"/>
  <c r="AQ37" i="40"/>
  <c r="AW37" i="40"/>
  <c r="AV37" i="40"/>
  <c r="K120" i="67"/>
  <c r="K129" i="67" s="1"/>
  <c r="D120" i="67"/>
  <c r="D129" i="67" s="1"/>
  <c r="BH117" i="12"/>
  <c r="AW22" i="11"/>
  <c r="AY60" i="11"/>
  <c r="AY76" i="12"/>
  <c r="AW90" i="11"/>
  <c r="F9" i="11"/>
  <c r="G9" i="11" s="1"/>
  <c r="L16" i="11"/>
  <c r="M16" i="11" s="1"/>
  <c r="L43" i="11"/>
  <c r="M43" i="11" s="1"/>
  <c r="AP16" i="11"/>
  <c r="AQ16" i="11" s="1"/>
  <c r="AV39" i="11"/>
  <c r="AW39" i="11" s="1"/>
  <c r="BB43" i="11"/>
  <c r="BC43" i="11" s="1"/>
  <c r="BB39" i="11"/>
  <c r="W80" i="11"/>
  <c r="U76" i="12"/>
  <c r="U60" i="11"/>
  <c r="BC90" i="11"/>
  <c r="F71" i="11"/>
  <c r="L22" i="11"/>
  <c r="M22" i="11" s="1"/>
  <c r="AP18" i="11"/>
  <c r="AQ18" i="11" s="1"/>
  <c r="AH60" i="11"/>
  <c r="AH76" i="12"/>
  <c r="AM60" i="11"/>
  <c r="AM76" i="12"/>
  <c r="F20" i="11"/>
  <c r="E19" i="11"/>
  <c r="L18" i="11"/>
  <c r="M18" i="11" s="1"/>
  <c r="AY53" i="11"/>
  <c r="AK90" i="11"/>
  <c r="AE90" i="11"/>
  <c r="F22" i="11"/>
  <c r="G22" i="11" s="1"/>
  <c r="F48" i="11"/>
  <c r="G48" i="11" s="1"/>
  <c r="L9" i="11"/>
  <c r="K12" i="11"/>
  <c r="L20" i="11"/>
  <c r="I87" i="11"/>
  <c r="AO90" i="11"/>
  <c r="AA106" i="12"/>
  <c r="AV11" i="11"/>
  <c r="AW11" i="11" s="1"/>
  <c r="BA90" i="11"/>
  <c r="AP72" i="11"/>
  <c r="AH90" i="11"/>
  <c r="W44" i="11"/>
  <c r="AP43" i="11"/>
  <c r="AQ43" i="11" s="1"/>
  <c r="BB48" i="11"/>
  <c r="BC48" i="11" s="1"/>
  <c r="AZ47" i="11"/>
  <c r="AZ49" i="11" s="1"/>
  <c r="V97" i="12"/>
  <c r="U101" i="12"/>
  <c r="BA121" i="12"/>
  <c r="BA120" i="12"/>
  <c r="X119" i="12"/>
  <c r="W105" i="12"/>
  <c r="W107" i="12" s="1"/>
  <c r="W120" i="12"/>
  <c r="AV97" i="12"/>
  <c r="E42" i="12"/>
  <c r="X97" i="12"/>
  <c r="J121" i="12"/>
  <c r="J120" i="12"/>
  <c r="AV121" i="12"/>
  <c r="AV120" i="12"/>
  <c r="AN120" i="12"/>
  <c r="AN121" i="12"/>
  <c r="Q42" i="12"/>
  <c r="V121" i="12"/>
  <c r="V120" i="12"/>
  <c r="AB97" i="12"/>
  <c r="AA101" i="12"/>
  <c r="BC150" i="12"/>
  <c r="G46" i="12"/>
  <c r="G171" i="12" s="1"/>
  <c r="AK29" i="12"/>
  <c r="AN128" i="12"/>
  <c r="M154" i="12"/>
  <c r="AK40" i="12"/>
  <c r="Q59" i="12"/>
  <c r="C151" i="12"/>
  <c r="L156" i="12"/>
  <c r="O156" i="12"/>
  <c r="O158" i="12" s="1"/>
  <c r="AH156" i="12"/>
  <c r="AU121" i="12"/>
  <c r="BC29" i="12"/>
  <c r="Y40" i="12"/>
  <c r="Y178" i="12" s="1"/>
  <c r="AI128" i="12"/>
  <c r="J151" i="12"/>
  <c r="J156" i="12"/>
  <c r="AS156" i="12"/>
  <c r="AS158" i="12" s="1"/>
  <c r="AK150" i="12"/>
  <c r="Y46" i="12"/>
  <c r="Y171" i="12" s="1"/>
  <c r="M40" i="12"/>
  <c r="M178" i="12" s="1"/>
  <c r="W121" i="12"/>
  <c r="AV128" i="12"/>
  <c r="U151" i="12"/>
  <c r="AA151" i="12"/>
  <c r="Q156" i="12"/>
  <c r="W156" i="12"/>
  <c r="AC156" i="12"/>
  <c r="AB156" i="12"/>
  <c r="AU156" i="12"/>
  <c r="BB121" i="12"/>
  <c r="AI35" i="13"/>
  <c r="AU36" i="13"/>
  <c r="AP47" i="13"/>
  <c r="AV46" i="13"/>
  <c r="AV48" i="13"/>
  <c r="AP35" i="13"/>
  <c r="AV33" i="13"/>
  <c r="AV34" i="13"/>
  <c r="AV35" i="13"/>
  <c r="AV36" i="13"/>
  <c r="AT48" i="13"/>
  <c r="AM34" i="13"/>
  <c r="AM35" i="13"/>
  <c r="AS34" i="13"/>
  <c r="AS35" i="13"/>
  <c r="AT46" i="13"/>
  <c r="AU46" i="13"/>
  <c r="AK33" i="13"/>
  <c r="AE9" i="11"/>
  <c r="AO45" i="13"/>
  <c r="AI45" i="13"/>
  <c r="AS45" i="13"/>
  <c r="AP44" i="13"/>
  <c r="AJ44" i="13"/>
  <c r="AH53" i="11"/>
  <c r="AM44" i="13"/>
  <c r="AG44" i="13"/>
  <c r="AO48" i="13"/>
  <c r="AI48" i="13"/>
  <c r="AH45" i="13"/>
  <c r="AN45" i="13"/>
  <c r="G42" i="11"/>
  <c r="AD73" i="11"/>
  <c r="S9" i="11"/>
  <c r="P121" i="12"/>
  <c r="P120" i="12"/>
  <c r="AS53" i="11"/>
  <c r="AS76" i="12"/>
  <c r="AS60" i="11"/>
  <c r="O60" i="11"/>
  <c r="O76" i="12"/>
  <c r="AM18" i="40"/>
  <c r="AM19" i="40"/>
  <c r="BA19" i="40"/>
  <c r="BA18" i="40"/>
  <c r="L97" i="12"/>
  <c r="C60" i="11"/>
  <c r="C65" i="11" s="1"/>
  <c r="C76" i="12"/>
  <c r="AG76" i="12"/>
  <c r="AI33" i="13"/>
  <c r="AO33" i="13"/>
  <c r="I60" i="11"/>
  <c r="I76" i="12"/>
  <c r="AN74" i="11"/>
  <c r="AO70" i="11" s="1"/>
  <c r="AN78" i="11"/>
  <c r="AN79" i="11"/>
  <c r="R71" i="11"/>
  <c r="AW13" i="11"/>
  <c r="Y17" i="11"/>
  <c r="AQ21" i="11"/>
  <c r="AE17" i="11"/>
  <c r="M42" i="11"/>
  <c r="AA42" i="12"/>
  <c r="AT26" i="40"/>
  <c r="AT28" i="40" s="1"/>
  <c r="AT32" i="40"/>
  <c r="BT99" i="12"/>
  <c r="BC30" i="11"/>
  <c r="BC25" i="11"/>
  <c r="BC32" i="11"/>
  <c r="Y18" i="11"/>
  <c r="AE13" i="11"/>
  <c r="U72" i="12"/>
  <c r="AN36" i="13"/>
  <c r="AH36" i="13"/>
  <c r="G29" i="12"/>
  <c r="X59" i="12"/>
  <c r="AC90" i="11"/>
  <c r="AO16" i="40"/>
  <c r="AO32" i="40"/>
  <c r="AQ32" i="40" s="1"/>
  <c r="BE16" i="40"/>
  <c r="AP26" i="40"/>
  <c r="AP28" i="40" s="1"/>
  <c r="I100" i="13"/>
  <c r="S46" i="12"/>
  <c r="AJ125" i="12"/>
  <c r="AJ128" i="12" s="1"/>
  <c r="AZ156" i="12"/>
  <c r="AK46" i="11"/>
  <c r="AS32" i="40"/>
  <c r="AG28" i="40"/>
  <c r="AJ26" i="40"/>
  <c r="AJ28" i="40" s="1"/>
  <c r="BO39" i="11"/>
  <c r="AA41" i="40"/>
  <c r="AI53" i="40"/>
  <c r="AP33" i="13"/>
  <c r="AJ33" i="13"/>
  <c r="I101" i="13"/>
  <c r="AU151" i="12"/>
  <c r="AY151" i="12"/>
  <c r="BB156" i="12"/>
  <c r="AP32" i="11"/>
  <c r="BA20" i="11"/>
  <c r="F11" i="11"/>
  <c r="G11" i="11" s="1"/>
  <c r="R25" i="11"/>
  <c r="S25" i="11" s="1"/>
  <c r="R42" i="11"/>
  <c r="AO39" i="11"/>
  <c r="AP39" i="11" s="1"/>
  <c r="AT33" i="11"/>
  <c r="AT35" i="11" s="1"/>
  <c r="AH121" i="12"/>
  <c r="X48" i="11"/>
  <c r="Y48" i="11" s="1"/>
  <c r="X39" i="11"/>
  <c r="AC38" i="11"/>
  <c r="BB46" i="11"/>
  <c r="K48" i="11"/>
  <c r="L48" i="11" s="1"/>
  <c r="K44" i="11"/>
  <c r="AP34" i="11"/>
  <c r="AQ34" i="11" s="1"/>
  <c r="AU9" i="11"/>
  <c r="AT12" i="11"/>
  <c r="AT24" i="11" s="1"/>
  <c r="AT26" i="11" s="1"/>
  <c r="BA22" i="11"/>
  <c r="BB34" i="11"/>
  <c r="AM36" i="13"/>
  <c r="AG36" i="13"/>
  <c r="AH48" i="13"/>
  <c r="AN48" i="13"/>
  <c r="BB45" i="11" l="1"/>
  <c r="Q158" i="12"/>
  <c r="AA158" i="12"/>
  <c r="AI121" i="12"/>
  <c r="AU42" i="12"/>
  <c r="BQ36" i="12"/>
  <c r="BR36" i="12" s="1"/>
  <c r="BS36" i="12" s="1"/>
  <c r="BT36" i="12" s="1"/>
  <c r="BU36" i="12" s="1"/>
  <c r="BW36" i="12" s="1"/>
  <c r="BX36" i="12" s="1"/>
  <c r="BY36" i="12" s="1"/>
  <c r="BZ36" i="12" s="1"/>
  <c r="CA36" i="12" s="1"/>
  <c r="CC36" i="12" s="1"/>
  <c r="CD36" i="12" s="1"/>
  <c r="CE36" i="12" s="1"/>
  <c r="CF36" i="12" s="1"/>
  <c r="CG36" i="12" s="1"/>
  <c r="CI36" i="12" s="1"/>
  <c r="CJ36" i="12" s="1"/>
  <c r="CK36" i="12" s="1"/>
  <c r="CL36" i="12" s="1"/>
  <c r="CM36" i="12" s="1"/>
  <c r="C158" i="12"/>
  <c r="R119" i="12"/>
  <c r="R105" i="12" s="1"/>
  <c r="R107" i="12" s="1"/>
  <c r="M128" i="12"/>
  <c r="O64" i="11"/>
  <c r="O65" i="11"/>
  <c r="AM64" i="11"/>
  <c r="AM65" i="11"/>
  <c r="AH64" i="11"/>
  <c r="AH65" i="11"/>
  <c r="I64" i="11"/>
  <c r="I65" i="11"/>
  <c r="AI53" i="11"/>
  <c r="AY64" i="11"/>
  <c r="AY65" i="11"/>
  <c r="BE64" i="11"/>
  <c r="BE65" i="11"/>
  <c r="AG64" i="11"/>
  <c r="AG65" i="11"/>
  <c r="U64" i="11"/>
  <c r="U65" i="11"/>
  <c r="AA64" i="11"/>
  <c r="AA65" i="11"/>
  <c r="AS64" i="11"/>
  <c r="AS65" i="11"/>
  <c r="BE158" i="12"/>
  <c r="G128" i="12"/>
  <c r="AN158" i="12"/>
  <c r="AA125" i="12"/>
  <c r="AA128" i="12" s="1"/>
  <c r="AZ19" i="40"/>
  <c r="AB41" i="40"/>
  <c r="AB44" i="40" s="1"/>
  <c r="F31" i="11"/>
  <c r="AD45" i="11"/>
  <c r="E98" i="12"/>
  <c r="E99" i="12" s="1"/>
  <c r="AD46" i="11"/>
  <c r="AD51" i="67" s="1"/>
  <c r="AD89" i="12" s="1"/>
  <c r="BA88" i="11"/>
  <c r="BA87" i="11" s="1"/>
  <c r="S44" i="11"/>
  <c r="S82" i="11" s="1"/>
  <c r="AK19" i="67"/>
  <c r="AJ46" i="40"/>
  <c r="AJ43" i="40" s="1"/>
  <c r="F120" i="12"/>
  <c r="Y128" i="12"/>
  <c r="BA42" i="12"/>
  <c r="BA43" i="12" s="1"/>
  <c r="AZ42" i="12"/>
  <c r="F121" i="12"/>
  <c r="BC156" i="12"/>
  <c r="S171" i="12"/>
  <c r="AK47" i="12"/>
  <c r="AK171" i="12"/>
  <c r="AW47" i="12"/>
  <c r="AW171" i="12"/>
  <c r="AQ47" i="12"/>
  <c r="AQ171" i="12"/>
  <c r="AS188" i="12"/>
  <c r="AS53" i="12" s="1"/>
  <c r="AW188" i="12"/>
  <c r="AW53" i="12" s="1"/>
  <c r="AM187" i="12"/>
  <c r="AZ184" i="12"/>
  <c r="AZ187" i="12" s="1"/>
  <c r="AZ185" i="12"/>
  <c r="AZ188" i="12" s="1"/>
  <c r="AZ53" i="12" s="1"/>
  <c r="BF184" i="12"/>
  <c r="BF187" i="12" s="1"/>
  <c r="BF185" i="12"/>
  <c r="BF188" i="12" s="1"/>
  <c r="BF53" i="12" s="1"/>
  <c r="BE185" i="12"/>
  <c r="BE184" i="12"/>
  <c r="BB184" i="12"/>
  <c r="BB187" i="12" s="1"/>
  <c r="BB185" i="12"/>
  <c r="BB188" i="12" s="1"/>
  <c r="BB53" i="12" s="1"/>
  <c r="BA185" i="12"/>
  <c r="BA188" i="12" s="1"/>
  <c r="BA53" i="12" s="1"/>
  <c r="BA184" i="12"/>
  <c r="BA187" i="12" s="1"/>
  <c r="AY187" i="12"/>
  <c r="AP185" i="12"/>
  <c r="AP188" i="12" s="1"/>
  <c r="AP53" i="12" s="1"/>
  <c r="AP184" i="12"/>
  <c r="AP187" i="12" s="1"/>
  <c r="AJ185" i="12"/>
  <c r="AJ188" i="12" s="1"/>
  <c r="AJ53" i="12" s="1"/>
  <c r="AG187" i="12"/>
  <c r="AK187" i="12"/>
  <c r="AM51" i="12"/>
  <c r="AK178" i="12"/>
  <c r="S178" i="12"/>
  <c r="BC178" i="12"/>
  <c r="G178" i="12"/>
  <c r="AS187" i="12"/>
  <c r="AW187" i="12"/>
  <c r="AM188" i="12"/>
  <c r="AM53" i="12" s="1"/>
  <c r="AY188" i="12"/>
  <c r="AY53" i="12" s="1"/>
  <c r="AG188" i="12"/>
  <c r="AG53" i="12" s="1"/>
  <c r="AP42" i="12"/>
  <c r="AP43" i="12" s="1"/>
  <c r="V158" i="12"/>
  <c r="W159" i="12" s="1"/>
  <c r="I42" i="12"/>
  <c r="AM42" i="12"/>
  <c r="AM43" i="12" s="1"/>
  <c r="F42" i="12"/>
  <c r="AA117" i="12"/>
  <c r="AA120" i="12" s="1"/>
  <c r="V8" i="11"/>
  <c r="W8" i="11" s="1"/>
  <c r="X8" i="11" s="1"/>
  <c r="AG8" i="11"/>
  <c r="AM8" i="11" s="1"/>
  <c r="R45" i="11"/>
  <c r="R88" i="11" s="1"/>
  <c r="R87" i="11" s="1"/>
  <c r="BB12" i="11"/>
  <c r="AQ151" i="12"/>
  <c r="AQ158" i="12" s="1"/>
  <c r="AS159" i="12" s="1"/>
  <c r="G121" i="12"/>
  <c r="AC158" i="12"/>
  <c r="AI120" i="12"/>
  <c r="L158" i="12"/>
  <c r="AJ119" i="12"/>
  <c r="AK119" i="12" s="1"/>
  <c r="S128" i="12"/>
  <c r="AE33" i="12"/>
  <c r="U120" i="12"/>
  <c r="AW156" i="12"/>
  <c r="AN107" i="12"/>
  <c r="AH42" i="12"/>
  <c r="AH43" i="12" s="1"/>
  <c r="AO106" i="12"/>
  <c r="AZ43" i="12"/>
  <c r="AK151" i="12"/>
  <c r="AK158" i="12" s="1"/>
  <c r="AM159" i="12" s="1"/>
  <c r="AE119" i="12"/>
  <c r="AE120" i="12" s="1"/>
  <c r="G59" i="12"/>
  <c r="X158" i="12"/>
  <c r="E158" i="12"/>
  <c r="F159" i="12" s="1"/>
  <c r="AH58" i="12"/>
  <c r="I51" i="12"/>
  <c r="BE58" i="12"/>
  <c r="AY58" i="12"/>
  <c r="AG58" i="12"/>
  <c r="AS58" i="12"/>
  <c r="AM58" i="12"/>
  <c r="AD31" i="11"/>
  <c r="BF47" i="11"/>
  <c r="BF49" i="11" s="1"/>
  <c r="BF53" i="11" s="1"/>
  <c r="X46" i="11"/>
  <c r="X51" i="67" s="1"/>
  <c r="X89" i="12" s="1"/>
  <c r="BQ12" i="40"/>
  <c r="BR12" i="40" s="1"/>
  <c r="BS12" i="40" s="1"/>
  <c r="BT12" i="40" s="1"/>
  <c r="BU12" i="40" s="1"/>
  <c r="BW12" i="40" s="1"/>
  <c r="BX12" i="40" s="1"/>
  <c r="BY12" i="40" s="1"/>
  <c r="BZ12" i="40" s="1"/>
  <c r="CA12" i="40" s="1"/>
  <c r="AQ19" i="40"/>
  <c r="BG38" i="11"/>
  <c r="AK14" i="11"/>
  <c r="AK24" i="11" s="1"/>
  <c r="AK26" i="11" s="1"/>
  <c r="AJ20" i="67"/>
  <c r="AI20" i="67"/>
  <c r="BC26" i="40"/>
  <c r="BC28" i="40" s="1"/>
  <c r="AK16" i="40"/>
  <c r="AK19" i="40" s="1"/>
  <c r="AH41" i="40"/>
  <c r="AH44" i="40" s="1"/>
  <c r="AK32" i="40"/>
  <c r="BI23" i="40"/>
  <c r="BI28" i="40" s="1"/>
  <c r="BK23" i="40"/>
  <c r="BK28" i="40" s="1"/>
  <c r="BA30" i="40"/>
  <c r="BI16" i="40"/>
  <c r="BI18" i="40" s="1"/>
  <c r="BF19" i="40"/>
  <c r="BI29" i="40"/>
  <c r="BK29" i="40"/>
  <c r="BU39" i="11"/>
  <c r="AJ101" i="12"/>
  <c r="AK101" i="12" s="1"/>
  <c r="AN101" i="12"/>
  <c r="F46" i="11"/>
  <c r="G46" i="11" s="1"/>
  <c r="AO33" i="11"/>
  <c r="AO35" i="11" s="1"/>
  <c r="AG71" i="40"/>
  <c r="AH71" i="40" s="1"/>
  <c r="AI71" i="40" s="1"/>
  <c r="AJ71" i="40" s="1"/>
  <c r="R80" i="11"/>
  <c r="AU19" i="11"/>
  <c r="AI60" i="11"/>
  <c r="AO101" i="12"/>
  <c r="BE75" i="12"/>
  <c r="J101" i="12"/>
  <c r="K88" i="11"/>
  <c r="K87" i="11" s="1"/>
  <c r="F14" i="11"/>
  <c r="F105" i="12" s="1"/>
  <c r="F107" i="12" s="1"/>
  <c r="AK33" i="11"/>
  <c r="AK35" i="11" s="1"/>
  <c r="AD12" i="11"/>
  <c r="M46" i="11"/>
  <c r="R31" i="11"/>
  <c r="AZ60" i="11"/>
  <c r="L14" i="11"/>
  <c r="L19" i="67" s="1"/>
  <c r="C56" i="11"/>
  <c r="C10" i="12" s="1"/>
  <c r="K98" i="12"/>
  <c r="K99" i="12" s="1"/>
  <c r="Q88" i="11"/>
  <c r="Q87" i="11" s="1"/>
  <c r="AO12" i="11"/>
  <c r="AO24" i="11" s="1"/>
  <c r="AO26" i="11" s="1"/>
  <c r="Q47" i="11"/>
  <c r="Q49" i="11" s="1"/>
  <c r="J107" i="12"/>
  <c r="BF60" i="11"/>
  <c r="AQ9" i="11"/>
  <c r="AD42" i="12"/>
  <c r="AE156" i="12"/>
  <c r="AT158" i="12"/>
  <c r="AU159" i="12" s="1"/>
  <c r="Y156" i="12"/>
  <c r="BC33" i="12"/>
  <c r="U158" i="12"/>
  <c r="V159" i="12" s="1"/>
  <c r="BF158" i="12"/>
  <c r="BG159" i="12" s="1"/>
  <c r="AB158" i="12"/>
  <c r="AC159" i="12" s="1"/>
  <c r="AW151" i="12"/>
  <c r="AW158" i="12" s="1"/>
  <c r="BC159" i="12" s="1"/>
  <c r="U42" i="12"/>
  <c r="AN42" i="12"/>
  <c r="AN43" i="12" s="1"/>
  <c r="AY158" i="12"/>
  <c r="AZ159" i="12" s="1"/>
  <c r="M156" i="12"/>
  <c r="AD158" i="12"/>
  <c r="S156" i="12"/>
  <c r="C61" i="11"/>
  <c r="C64" i="11"/>
  <c r="AI76" i="12"/>
  <c r="AZ53" i="11"/>
  <c r="G29" i="11"/>
  <c r="K80" i="11"/>
  <c r="AV38" i="11"/>
  <c r="AW38" i="11" s="1"/>
  <c r="AC88" i="11"/>
  <c r="AC87" i="11" s="1"/>
  <c r="E105" i="12"/>
  <c r="E106" i="12" s="1"/>
  <c r="Q33" i="11"/>
  <c r="Q35" i="11" s="1"/>
  <c r="E33" i="11"/>
  <c r="E35" i="11" s="1"/>
  <c r="AK98" i="12"/>
  <c r="AK99" i="12" s="1"/>
  <c r="U75" i="12"/>
  <c r="AW31" i="11"/>
  <c r="M51" i="12"/>
  <c r="Y51" i="12"/>
  <c r="AI52" i="12"/>
  <c r="AQ59" i="12"/>
  <c r="AQ51" i="12"/>
  <c r="S51" i="12"/>
  <c r="AW51" i="12"/>
  <c r="AE51" i="12"/>
  <c r="BF52" i="12"/>
  <c r="K42" i="12"/>
  <c r="G156" i="12"/>
  <c r="AT52" i="12"/>
  <c r="AP52" i="12"/>
  <c r="U51" i="12"/>
  <c r="AA51" i="12"/>
  <c r="O51" i="12"/>
  <c r="P42" i="12"/>
  <c r="AZ158" i="12"/>
  <c r="BA159" i="12" s="1"/>
  <c r="Y33" i="12"/>
  <c r="AK51" i="12"/>
  <c r="AC42" i="12"/>
  <c r="AE151" i="12"/>
  <c r="AO52" i="12"/>
  <c r="G151" i="12"/>
  <c r="BA52" i="12"/>
  <c r="AT42" i="12"/>
  <c r="AT43" i="12" s="1"/>
  <c r="K158" i="12"/>
  <c r="L159" i="12" s="1"/>
  <c r="D158" i="12"/>
  <c r="E159" i="12" s="1"/>
  <c r="AQ62" i="12"/>
  <c r="Y117" i="12"/>
  <c r="AV52" i="12"/>
  <c r="AS42" i="12"/>
  <c r="AQ63" i="12"/>
  <c r="Y151" i="12"/>
  <c r="AQ64" i="12"/>
  <c r="M33" i="12"/>
  <c r="BC51" i="12"/>
  <c r="S33" i="12"/>
  <c r="K121" i="12"/>
  <c r="D42" i="12"/>
  <c r="BE42" i="12"/>
  <c r="BE43" i="12" s="1"/>
  <c r="AU52" i="12"/>
  <c r="AN52" i="12"/>
  <c r="AB42" i="12"/>
  <c r="AZ52" i="12"/>
  <c r="AS51" i="12"/>
  <c r="AH52" i="12"/>
  <c r="BC21" i="67"/>
  <c r="BE51" i="12"/>
  <c r="AY51" i="12"/>
  <c r="AG51" i="12"/>
  <c r="BB52" i="12"/>
  <c r="AJ52" i="12"/>
  <c r="BF101" i="12"/>
  <c r="BF106" i="12"/>
  <c r="BU38" i="11"/>
  <c r="O61" i="11"/>
  <c r="U61" i="11"/>
  <c r="BB38" i="11"/>
  <c r="BB47" i="11" s="1"/>
  <c r="BB49" i="11" s="1"/>
  <c r="AZ101" i="12"/>
  <c r="AZ99" i="12"/>
  <c r="F38" i="11"/>
  <c r="AC92" i="67"/>
  <c r="X31" i="11"/>
  <c r="Y31" i="11" s="1"/>
  <c r="BG88" i="11"/>
  <c r="BG87" i="11" s="1"/>
  <c r="W88" i="11"/>
  <c r="W87" i="11" s="1"/>
  <c r="AO88" i="11"/>
  <c r="AO87" i="11" s="1"/>
  <c r="AU92" i="67"/>
  <c r="J20" i="67"/>
  <c r="K92" i="67"/>
  <c r="L15" i="11"/>
  <c r="AB89" i="12"/>
  <c r="M51" i="67"/>
  <c r="M89" i="12" s="1"/>
  <c r="AT22" i="67"/>
  <c r="AT23" i="67" s="1"/>
  <c r="AT24" i="67" s="1"/>
  <c r="AT93" i="67"/>
  <c r="AJ22" i="67"/>
  <c r="AK22" i="67" s="1"/>
  <c r="AK92" i="67"/>
  <c r="AK93" i="67" s="1"/>
  <c r="AJ93" i="67"/>
  <c r="V22" i="67"/>
  <c r="V23" i="67" s="1"/>
  <c r="V24" i="67" s="1"/>
  <c r="V93" i="67"/>
  <c r="AS61" i="11"/>
  <c r="AH61" i="11"/>
  <c r="AY61" i="11"/>
  <c r="BB29" i="11"/>
  <c r="BC29" i="11" s="1"/>
  <c r="X15" i="11"/>
  <c r="W92" i="67"/>
  <c r="P76" i="12"/>
  <c r="BG105" i="12"/>
  <c r="BG19" i="67"/>
  <c r="W20" i="67"/>
  <c r="BE61" i="11"/>
  <c r="AJ45" i="67"/>
  <c r="BG92" i="67"/>
  <c r="K20" i="67"/>
  <c r="W98" i="12"/>
  <c r="D20" i="67"/>
  <c r="BA92" i="67"/>
  <c r="BB15" i="11"/>
  <c r="AG61" i="11"/>
  <c r="AG77" i="12"/>
  <c r="AA61" i="11"/>
  <c r="F15" i="11"/>
  <c r="G15" i="11" s="1"/>
  <c r="E92" i="67"/>
  <c r="S38" i="11"/>
  <c r="D101" i="12"/>
  <c r="D99" i="12"/>
  <c r="AO92" i="67"/>
  <c r="R46" i="11"/>
  <c r="Q51" i="67"/>
  <c r="AB22" i="67"/>
  <c r="AB93" i="67"/>
  <c r="BF22" i="67"/>
  <c r="BF23" i="67" s="1"/>
  <c r="BF24" i="67" s="1"/>
  <c r="BF93" i="67"/>
  <c r="AN20" i="67"/>
  <c r="J22" i="67"/>
  <c r="J93" i="67"/>
  <c r="E20" i="67"/>
  <c r="AZ20" i="67"/>
  <c r="AN22" i="67"/>
  <c r="AN93" i="67"/>
  <c r="D22" i="67"/>
  <c r="D93" i="67"/>
  <c r="AB20" i="67"/>
  <c r="V89" i="12"/>
  <c r="AD38" i="11"/>
  <c r="I61" i="11"/>
  <c r="AM61" i="11"/>
  <c r="AQ29" i="11"/>
  <c r="AM71" i="40" s="1"/>
  <c r="AN71" i="40" s="1"/>
  <c r="AO71" i="40" s="1"/>
  <c r="AP71" i="40" s="1"/>
  <c r="Y38" i="11"/>
  <c r="BH31" i="11"/>
  <c r="AU20" i="67"/>
  <c r="AP38" i="11"/>
  <c r="E88" i="11"/>
  <c r="E87" i="11" s="1"/>
  <c r="AN76" i="12"/>
  <c r="BH29" i="11"/>
  <c r="BB72" i="11"/>
  <c r="BB82" i="11" s="1"/>
  <c r="AO19" i="67"/>
  <c r="AP14" i="11"/>
  <c r="AP105" i="12" s="1"/>
  <c r="R29" i="11"/>
  <c r="BF70" i="40"/>
  <c r="BA19" i="67"/>
  <c r="BB14" i="11"/>
  <c r="BA105" i="12"/>
  <c r="AT70" i="40"/>
  <c r="AZ22" i="67"/>
  <c r="AZ93" i="67"/>
  <c r="AD14" i="11"/>
  <c r="AD19" i="67" s="1"/>
  <c r="AC19" i="67"/>
  <c r="M38" i="11"/>
  <c r="AC41" i="40"/>
  <c r="L134" i="67"/>
  <c r="L141" i="67" s="1"/>
  <c r="C120" i="67"/>
  <c r="C129" i="67" s="1"/>
  <c r="G120" i="67"/>
  <c r="G129" i="67" s="1"/>
  <c r="BQ82" i="12"/>
  <c r="BS82" i="12"/>
  <c r="BR82" i="12"/>
  <c r="BH120" i="12"/>
  <c r="BH121" i="12"/>
  <c r="AK47" i="11"/>
  <c r="AP15" i="11"/>
  <c r="E12" i="11"/>
  <c r="E24" i="11" s="1"/>
  <c r="E26" i="11" s="1"/>
  <c r="E60" i="11" s="1"/>
  <c r="AO19" i="11"/>
  <c r="AS28" i="40"/>
  <c r="CA38" i="11"/>
  <c r="AH106" i="12"/>
  <c r="AW65" i="12"/>
  <c r="BB42" i="12"/>
  <c r="BB43" i="12" s="1"/>
  <c r="AG42" i="12"/>
  <c r="AG43" i="12" s="1"/>
  <c r="K105" i="12"/>
  <c r="K106" i="12" s="1"/>
  <c r="K120" i="12"/>
  <c r="F45" i="11"/>
  <c r="AD120" i="12"/>
  <c r="BF43" i="12"/>
  <c r="X45" i="11"/>
  <c r="AW63" i="12"/>
  <c r="BB158" i="12"/>
  <c r="Y59" i="12"/>
  <c r="BC151" i="12"/>
  <c r="AV15" i="11"/>
  <c r="R158" i="12"/>
  <c r="BE28" i="40"/>
  <c r="BI90" i="12"/>
  <c r="AM75" i="12"/>
  <c r="Q80" i="11"/>
  <c r="G31" i="11"/>
  <c r="L80" i="11"/>
  <c r="W33" i="11"/>
  <c r="W35" i="11" s="1"/>
  <c r="AP19" i="11"/>
  <c r="BT71" i="11"/>
  <c r="BZ71" i="11" s="1"/>
  <c r="CF71" i="11" s="1"/>
  <c r="CL71" i="11" s="1"/>
  <c r="BI39" i="11"/>
  <c r="BI32" i="11"/>
  <c r="BB31" i="11"/>
  <c r="BH72" i="11"/>
  <c r="BH42" i="11"/>
  <c r="BI42" i="11" s="1"/>
  <c r="BH16" i="11"/>
  <c r="BI16" i="11" s="1"/>
  <c r="BI51" i="11"/>
  <c r="BI34" i="11"/>
  <c r="BH45" i="11"/>
  <c r="BH14" i="11"/>
  <c r="BH19" i="67" s="1"/>
  <c r="BH41" i="11"/>
  <c r="BI41" i="11" s="1"/>
  <c r="BH25" i="11"/>
  <c r="BI25" i="11" s="1"/>
  <c r="BH15" i="11"/>
  <c r="BH40" i="11"/>
  <c r="BI40" i="11" s="1"/>
  <c r="BH48" i="11"/>
  <c r="BI48" i="11" s="1"/>
  <c r="BH30" i="40"/>
  <c r="AO159" i="12"/>
  <c r="AQ22" i="12"/>
  <c r="C42" i="12"/>
  <c r="AQ65" i="12"/>
  <c r="BC59" i="12"/>
  <c r="Q24" i="11"/>
  <c r="Q26" i="11" s="1"/>
  <c r="Q60" i="11" s="1"/>
  <c r="AJ42" i="12"/>
  <c r="AJ43" i="12" s="1"/>
  <c r="L42" i="12"/>
  <c r="U8" i="12"/>
  <c r="P8" i="12"/>
  <c r="Q8" i="12" s="1"/>
  <c r="R8" i="12" s="1"/>
  <c r="AS43" i="12"/>
  <c r="I158" i="12"/>
  <c r="J159" i="12" s="1"/>
  <c r="AO107" i="12"/>
  <c r="AW59" i="12"/>
  <c r="AE59" i="12"/>
  <c r="AV42" i="12"/>
  <c r="AV43" i="12" s="1"/>
  <c r="R42" i="12"/>
  <c r="D74" i="11"/>
  <c r="E70" i="11" s="1"/>
  <c r="E79" i="11" s="1"/>
  <c r="AW20" i="11"/>
  <c r="AW19" i="11" s="1"/>
  <c r="AD22" i="11"/>
  <c r="AE22" i="11" s="1"/>
  <c r="BC11" i="11"/>
  <c r="BC12" i="11" s="1"/>
  <c r="AY26" i="40"/>
  <c r="AY28" i="40" s="1"/>
  <c r="V6" i="13"/>
  <c r="W6" i="13" s="1"/>
  <c r="X6" i="13" s="1"/>
  <c r="AG6" i="13"/>
  <c r="AH6" i="13" s="1"/>
  <c r="AI6" i="13" s="1"/>
  <c r="AJ6" i="13" s="1"/>
  <c r="W158" i="12"/>
  <c r="O42" i="12"/>
  <c r="D79" i="11"/>
  <c r="F158" i="12"/>
  <c r="AO158" i="12"/>
  <c r="AP159" i="12" s="1"/>
  <c r="AC24" i="11"/>
  <c r="AC26" i="11" s="1"/>
  <c r="AJ30" i="40"/>
  <c r="AW33" i="12"/>
  <c r="BE77" i="12"/>
  <c r="L121" i="12"/>
  <c r="L120" i="12"/>
  <c r="AT101" i="12"/>
  <c r="BA158" i="12"/>
  <c r="BB159" i="12" s="1"/>
  <c r="AW16" i="40"/>
  <c r="AW19" i="40" s="1"/>
  <c r="AJ53" i="11"/>
  <c r="M119" i="12"/>
  <c r="AW64" i="12"/>
  <c r="AM26" i="40"/>
  <c r="AM28" i="40" s="1"/>
  <c r="AK26" i="40"/>
  <c r="AK28" i="40" s="1"/>
  <c r="AU98" i="12"/>
  <c r="AU99" i="12" s="1"/>
  <c r="AK59" i="12"/>
  <c r="W24" i="11"/>
  <c r="W26" i="11" s="1"/>
  <c r="AE128" i="12"/>
  <c r="AE129" i="12" s="1"/>
  <c r="AG125" i="12" s="1"/>
  <c r="AG128" i="12" s="1"/>
  <c r="AK128" i="12" s="1"/>
  <c r="AJ19" i="40"/>
  <c r="AB53" i="11"/>
  <c r="AC80" i="11"/>
  <c r="AY42" i="12"/>
  <c r="AY43" i="12" s="1"/>
  <c r="AV29" i="11"/>
  <c r="AV33" i="11" s="1"/>
  <c r="AV35" i="11" s="1"/>
  <c r="AU43" i="12"/>
  <c r="L72" i="12"/>
  <c r="AD159" i="12"/>
  <c r="AI36" i="13"/>
  <c r="AK35" i="13"/>
  <c r="AO36" i="13"/>
  <c r="AN33" i="13"/>
  <c r="AG45" i="13"/>
  <c r="AG88" i="13"/>
  <c r="BI118" i="12"/>
  <c r="AE71" i="11"/>
  <c r="AJ71" i="11"/>
  <c r="AP80" i="11" s="1"/>
  <c r="AD80" i="11"/>
  <c r="G44" i="11"/>
  <c r="G82" i="11" s="1"/>
  <c r="F82" i="11"/>
  <c r="BC45" i="11"/>
  <c r="AC33" i="11"/>
  <c r="AC35" i="11" s="1"/>
  <c r="BC71" i="11"/>
  <c r="AD44" i="11"/>
  <c r="AE44" i="11" s="1"/>
  <c r="AV82" i="11"/>
  <c r="AW72" i="11"/>
  <c r="X14" i="11"/>
  <c r="X19" i="67" s="1"/>
  <c r="Y19" i="67" s="1"/>
  <c r="BB73" i="11"/>
  <c r="BC73" i="11" s="1"/>
  <c r="K31" i="11"/>
  <c r="J33" i="11"/>
  <c r="J35" i="11" s="1"/>
  <c r="J53" i="11" s="1"/>
  <c r="G10" i="11"/>
  <c r="G12" i="11" s="1"/>
  <c r="AH158" i="12"/>
  <c r="AI159" i="12" s="1"/>
  <c r="AM158" i="12"/>
  <c r="AN159" i="12" s="1"/>
  <c r="Q105" i="12"/>
  <c r="Q107" i="12" s="1"/>
  <c r="BI19" i="12"/>
  <c r="BI183" i="12" s="1"/>
  <c r="AC98" i="12"/>
  <c r="AC99" i="12" s="1"/>
  <c r="D106" i="12"/>
  <c r="D107" i="12"/>
  <c r="AQ33" i="12"/>
  <c r="AK22" i="12"/>
  <c r="AC106" i="12"/>
  <c r="AC107" i="12"/>
  <c r="AE12" i="11"/>
  <c r="AQ28" i="40"/>
  <c r="AD29" i="11"/>
  <c r="AD98" i="12" s="1"/>
  <c r="AD99" i="12" s="1"/>
  <c r="BG98" i="12"/>
  <c r="AW62" i="12"/>
  <c r="AW22" i="12"/>
  <c r="Q121" i="12"/>
  <c r="AK44" i="13"/>
  <c r="AK87" i="13"/>
  <c r="BG72" i="12"/>
  <c r="AE72" i="11"/>
  <c r="AD82" i="11"/>
  <c r="AE82" i="11" s="1"/>
  <c r="D60" i="11"/>
  <c r="D76" i="12"/>
  <c r="AJ76" i="12"/>
  <c r="K24" i="11"/>
  <c r="K26" i="11" s="1"/>
  <c r="AV19" i="11"/>
  <c r="AI80" i="11"/>
  <c r="AU47" i="11"/>
  <c r="AU49" i="11" s="1"/>
  <c r="AD15" i="11"/>
  <c r="O75" i="12"/>
  <c r="P60" i="11"/>
  <c r="AJ60" i="11"/>
  <c r="BB88" i="11"/>
  <c r="BB87" i="11" s="1"/>
  <c r="AW41" i="11"/>
  <c r="P53" i="11"/>
  <c r="K19" i="11"/>
  <c r="AU33" i="11"/>
  <c r="AU35" i="11" s="1"/>
  <c r="Y25" i="11"/>
  <c r="O81" i="13"/>
  <c r="AZ72" i="12"/>
  <c r="AJ159" i="12"/>
  <c r="BA72" i="12"/>
  <c r="AN81" i="13"/>
  <c r="AH33" i="13"/>
  <c r="I72" i="12"/>
  <c r="AH159" i="12"/>
  <c r="AV45" i="11"/>
  <c r="AU88" i="11"/>
  <c r="AN60" i="11"/>
  <c r="BA47" i="11"/>
  <c r="BA49" i="11" s="1"/>
  <c r="AG75" i="12"/>
  <c r="AE42" i="11"/>
  <c r="I78" i="11"/>
  <c r="I74" i="11"/>
  <c r="J70" i="11" s="1"/>
  <c r="I79" i="11"/>
  <c r="AU105" i="12"/>
  <c r="AV14" i="11"/>
  <c r="X21" i="11"/>
  <c r="W19" i="11"/>
  <c r="R11" i="11"/>
  <c r="F30" i="11"/>
  <c r="V76" i="12"/>
  <c r="V60" i="11"/>
  <c r="AP30" i="11"/>
  <c r="AQ30" i="11" s="1"/>
  <c r="AC70" i="40"/>
  <c r="BG33" i="11"/>
  <c r="BG35" i="11" s="1"/>
  <c r="Q19" i="11"/>
  <c r="R22" i="11"/>
  <c r="M45" i="11"/>
  <c r="L88" i="11"/>
  <c r="L87" i="11" s="1"/>
  <c r="G51" i="11"/>
  <c r="AB76" i="12"/>
  <c r="AB60" i="11"/>
  <c r="BA98" i="12"/>
  <c r="BA99" i="12" s="1"/>
  <c r="BA33" i="11"/>
  <c r="BA35" i="11" s="1"/>
  <c r="AT107" i="12"/>
  <c r="AT106" i="12"/>
  <c r="V53" i="11"/>
  <c r="M78" i="11"/>
  <c r="M74" i="11"/>
  <c r="M79" i="11"/>
  <c r="AN53" i="11"/>
  <c r="X10" i="11"/>
  <c r="X12" i="11" s="1"/>
  <c r="R39" i="11"/>
  <c r="R32" i="11"/>
  <c r="S32" i="11" s="1"/>
  <c r="J60" i="11"/>
  <c r="J76" i="12"/>
  <c r="E47" i="11"/>
  <c r="E49" i="11" s="1"/>
  <c r="D53" i="11"/>
  <c r="AA72" i="12"/>
  <c r="Q72" i="12"/>
  <c r="BI30" i="12"/>
  <c r="BH19" i="40"/>
  <c r="D159" i="12"/>
  <c r="Q159" i="12"/>
  <c r="AK18" i="40"/>
  <c r="AM30" i="40" s="1"/>
  <c r="AW32" i="40"/>
  <c r="BC18" i="40"/>
  <c r="BC19" i="40"/>
  <c r="AD61" i="40"/>
  <c r="AE61" i="40" s="1"/>
  <c r="AE58" i="40"/>
  <c r="AK58" i="40" s="1"/>
  <c r="AW28" i="40"/>
  <c r="AH30" i="40"/>
  <c r="AD56" i="40"/>
  <c r="AE53" i="40"/>
  <c r="AD42" i="40"/>
  <c r="AU158" i="12"/>
  <c r="AV159" i="12" s="1"/>
  <c r="AO72" i="12"/>
  <c r="S151" i="12"/>
  <c r="BI17" i="12"/>
  <c r="AC63" i="40"/>
  <c r="AD43" i="40"/>
  <c r="AE46" i="40"/>
  <c r="AI30" i="40"/>
  <c r="AW54" i="40"/>
  <c r="BC48" i="40"/>
  <c r="AW51" i="40"/>
  <c r="S42" i="11"/>
  <c r="M39" i="11"/>
  <c r="S119" i="12"/>
  <c r="O117" i="12"/>
  <c r="M151" i="12"/>
  <c r="M117" i="12"/>
  <c r="I121" i="12"/>
  <c r="I120" i="12"/>
  <c r="AI43" i="12"/>
  <c r="AO43" i="12"/>
  <c r="AP121" i="12"/>
  <c r="AP120" i="12"/>
  <c r="BI149" i="12"/>
  <c r="BI14" i="12"/>
  <c r="AA77" i="12"/>
  <c r="AW32" i="11"/>
  <c r="AA75" i="12"/>
  <c r="U70" i="40"/>
  <c r="AQ45" i="11"/>
  <c r="AP88" i="11"/>
  <c r="AE46" i="11"/>
  <c r="AQ10" i="11"/>
  <c r="AP12" i="11"/>
  <c r="AQ31" i="11"/>
  <c r="AP98" i="12"/>
  <c r="AP99" i="12" s="1"/>
  <c r="AU72" i="12"/>
  <c r="K72" i="12"/>
  <c r="AB159" i="12"/>
  <c r="AH72" i="12"/>
  <c r="AB72" i="12"/>
  <c r="W72" i="12"/>
  <c r="AS72" i="12"/>
  <c r="AB70" i="40"/>
  <c r="AM72" i="12"/>
  <c r="BF159" i="12"/>
  <c r="P159" i="12"/>
  <c r="E72" i="12"/>
  <c r="AA70" i="40"/>
  <c r="AT72" i="12"/>
  <c r="AC72" i="12"/>
  <c r="AG72" i="12"/>
  <c r="F72" i="12"/>
  <c r="AT159" i="12"/>
  <c r="BF72" i="12"/>
  <c r="W106" i="12"/>
  <c r="U77" i="12"/>
  <c r="AY77" i="12"/>
  <c r="AE73" i="11"/>
  <c r="L98" i="12"/>
  <c r="L99" i="12" s="1"/>
  <c r="M29" i="11"/>
  <c r="M20" i="11"/>
  <c r="L19" i="11"/>
  <c r="AY75" i="12"/>
  <c r="AT53" i="11"/>
  <c r="W47" i="11"/>
  <c r="W49" i="11" s="1"/>
  <c r="X44" i="11"/>
  <c r="X82" i="11" s="1"/>
  <c r="W82" i="11"/>
  <c r="AP82" i="11"/>
  <c r="AQ82" i="11" s="1"/>
  <c r="AQ72" i="11"/>
  <c r="AQ74" i="11" s="1"/>
  <c r="F19" i="11"/>
  <c r="G20" i="11"/>
  <c r="G19" i="11" s="1"/>
  <c r="AM77" i="12"/>
  <c r="AH77" i="12"/>
  <c r="BG150" i="12"/>
  <c r="M9" i="11"/>
  <c r="M12" i="11" s="1"/>
  <c r="L12" i="11"/>
  <c r="Q101" i="12"/>
  <c r="F98" i="12"/>
  <c r="F99" i="12" s="1"/>
  <c r="BC39" i="11"/>
  <c r="BI119" i="12"/>
  <c r="M59" i="12"/>
  <c r="AB106" i="12"/>
  <c r="AB101" i="12"/>
  <c r="X120" i="12"/>
  <c r="X121" i="12"/>
  <c r="V101" i="12"/>
  <c r="V106" i="12"/>
  <c r="J158" i="12"/>
  <c r="K159" i="12" s="1"/>
  <c r="AK63" i="12"/>
  <c r="AK64" i="12"/>
  <c r="AK33" i="12"/>
  <c r="AK65" i="12"/>
  <c r="AK62" i="12"/>
  <c r="AP72" i="12"/>
  <c r="AI106" i="12"/>
  <c r="AI107" i="12"/>
  <c r="Y119" i="12"/>
  <c r="AJ36" i="13"/>
  <c r="J72" i="12"/>
  <c r="AJ72" i="12"/>
  <c r="AY72" i="12"/>
  <c r="AI72" i="12"/>
  <c r="AM85" i="13"/>
  <c r="AS91" i="13"/>
  <c r="AH84" i="13"/>
  <c r="AG83" i="13"/>
  <c r="AO84" i="13"/>
  <c r="AS88" i="13"/>
  <c r="AS85" i="13"/>
  <c r="AV82" i="13"/>
  <c r="AI84" i="13"/>
  <c r="AG84" i="13"/>
  <c r="AV88" i="13"/>
  <c r="AH91" i="13"/>
  <c r="AN91" i="13"/>
  <c r="AJ49" i="13"/>
  <c r="CW18" i="13" s="1"/>
  <c r="Y39" i="11"/>
  <c r="BB22" i="11"/>
  <c r="BC22" i="11" s="1"/>
  <c r="AO40" i="13"/>
  <c r="AA44" i="40"/>
  <c r="S59" i="12"/>
  <c r="AO19" i="40"/>
  <c r="AO18" i="40"/>
  <c r="AN49" i="13"/>
  <c r="P72" i="12"/>
  <c r="AM40" i="13"/>
  <c r="BB72" i="12"/>
  <c r="AQ19" i="11"/>
  <c r="I77" i="12"/>
  <c r="O77" i="12"/>
  <c r="F12" i="11"/>
  <c r="BG19" i="40"/>
  <c r="AK88" i="13"/>
  <c r="AM82" i="13"/>
  <c r="AM33" i="13"/>
  <c r="AG33" i="13"/>
  <c r="AI88" i="13"/>
  <c r="AV91" i="13"/>
  <c r="AO85" i="13"/>
  <c r="AM83" i="13"/>
  <c r="AP84" i="13"/>
  <c r="AU82" i="13"/>
  <c r="AU84" i="13"/>
  <c r="AJ90" i="13"/>
  <c r="AJ83" i="13"/>
  <c r="AO81" i="13"/>
  <c r="AI90" i="13"/>
  <c r="AP83" i="13"/>
  <c r="AT82" i="13"/>
  <c r="AT76" i="12"/>
  <c r="AT60" i="11"/>
  <c r="X98" i="12"/>
  <c r="X99" i="12" s="1"/>
  <c r="Y29" i="11"/>
  <c r="BG153" i="12"/>
  <c r="BC46" i="11"/>
  <c r="BG29" i="12"/>
  <c r="AQ32" i="11"/>
  <c r="D72" i="12"/>
  <c r="AJ82" i="13"/>
  <c r="BO38" i="11"/>
  <c r="AP49" i="13"/>
  <c r="AH85" i="13"/>
  <c r="AN85" i="13"/>
  <c r="AI85" i="13"/>
  <c r="AU40" i="13"/>
  <c r="O72" i="12"/>
  <c r="AI81" i="13"/>
  <c r="AO79" i="11"/>
  <c r="AO74" i="11"/>
  <c r="AP70" i="11" s="1"/>
  <c r="AO78" i="11"/>
  <c r="AI82" i="13"/>
  <c r="AS77" i="12"/>
  <c r="AS75" i="12"/>
  <c r="AK125" i="12"/>
  <c r="AK45" i="13"/>
  <c r="AI40" i="13"/>
  <c r="CV15" i="13" s="1"/>
  <c r="AM91" i="13"/>
  <c r="AM48" i="13"/>
  <c r="AG48" i="13"/>
  <c r="AI75" i="12"/>
  <c r="X80" i="11"/>
  <c r="AT91" i="13"/>
  <c r="AO88" i="13"/>
  <c r="AO91" i="13"/>
  <c r="AM87" i="13"/>
  <c r="AH90" i="13"/>
  <c r="AH83" i="13"/>
  <c r="AO83" i="13"/>
  <c r="AP82" i="13"/>
  <c r="AM84" i="13"/>
  <c r="AP81" i="13"/>
  <c r="AT84" i="13"/>
  <c r="AK91" i="13"/>
  <c r="AT85" i="13"/>
  <c r="AI83" i="13"/>
  <c r="AU12" i="11"/>
  <c r="AU24" i="11" s="1"/>
  <c r="AU26" i="11" s="1"/>
  <c r="AV9" i="11"/>
  <c r="AV12" i="11" s="1"/>
  <c r="K82" i="11"/>
  <c r="K47" i="11"/>
  <c r="K49" i="11" s="1"/>
  <c r="L44" i="11"/>
  <c r="AQ39" i="11"/>
  <c r="AO47" i="11"/>
  <c r="AO49" i="11" s="1"/>
  <c r="AY40" i="13"/>
  <c r="BG146" i="12"/>
  <c r="AN40" i="13"/>
  <c r="BE18" i="40"/>
  <c r="BE19" i="40"/>
  <c r="BE72" i="12"/>
  <c r="V72" i="12"/>
  <c r="G33" i="12"/>
  <c r="AH49" i="13"/>
  <c r="CU18" i="13" s="1"/>
  <c r="AO49" i="13"/>
  <c r="AZ40" i="13"/>
  <c r="AZ37" i="40"/>
  <c r="BC37" i="40"/>
  <c r="AN72" i="12"/>
  <c r="AM49" i="13"/>
  <c r="AP40" i="13"/>
  <c r="AN30" i="40"/>
  <c r="AH88" i="13"/>
  <c r="AJ87" i="13"/>
  <c r="AP48" i="13"/>
  <c r="AJ48" i="13"/>
  <c r="AP88" i="13"/>
  <c r="AP45" i="13"/>
  <c r="AJ45" i="13"/>
  <c r="BB30" i="40"/>
  <c r="AK48" i="13"/>
  <c r="AP87" i="13"/>
  <c r="AU91" i="13"/>
  <c r="AN84" i="13"/>
  <c r="AU83" i="13"/>
  <c r="AN88" i="13"/>
  <c r="AO82" i="13"/>
  <c r="AJ84" i="13"/>
  <c r="AG90" i="13"/>
  <c r="AS82" i="13"/>
  <c r="AN82" i="13"/>
  <c r="AN83" i="13"/>
  <c r="AS83" i="13"/>
  <c r="AV84" i="13"/>
  <c r="AK84" i="13"/>
  <c r="AG85" i="13"/>
  <c r="BC34" i="11"/>
  <c r="M48" i="11"/>
  <c r="AC47" i="11"/>
  <c r="AC49" i="11" s="1"/>
  <c r="BA19" i="11"/>
  <c r="BA24" i="11"/>
  <c r="BA26" i="11" s="1"/>
  <c r="AJ53" i="40"/>
  <c r="AI42" i="40"/>
  <c r="AI41" i="40" s="1"/>
  <c r="AI56" i="40"/>
  <c r="AI63" i="40" s="1"/>
  <c r="AI49" i="13"/>
  <c r="CV18" i="13" s="1"/>
  <c r="AV72" i="12"/>
  <c r="BB20" i="11"/>
  <c r="BC20" i="11" s="1"/>
  <c r="AS40" i="13"/>
  <c r="BA40" i="13"/>
  <c r="C72" i="12"/>
  <c r="AT40" i="13"/>
  <c r="AH81" i="13"/>
  <c r="C77" i="12"/>
  <c r="I75" i="12"/>
  <c r="BO28" i="12"/>
  <c r="BQ28" i="12" s="1"/>
  <c r="AH82" i="13"/>
  <c r="AH40" i="13"/>
  <c r="CU15" i="13" s="1"/>
  <c r="AG40" i="13"/>
  <c r="CT15" i="13" s="1"/>
  <c r="AI91" i="13"/>
  <c r="AG87" i="13"/>
  <c r="AH75" i="12"/>
  <c r="AH44" i="13"/>
  <c r="AN44" i="13"/>
  <c r="AG49" i="13"/>
  <c r="CT18" i="13" s="1"/>
  <c r="AO44" i="13"/>
  <c r="AI44" i="13"/>
  <c r="AE45" i="11" l="1"/>
  <c r="R106" i="12"/>
  <c r="BI14" i="11"/>
  <c r="BC158" i="12"/>
  <c r="BE159" i="12" s="1"/>
  <c r="BC42" i="12"/>
  <c r="R121" i="12"/>
  <c r="R120" i="12"/>
  <c r="AC44" i="40"/>
  <c r="V64" i="11"/>
  <c r="V65" i="11"/>
  <c r="AN64" i="11"/>
  <c r="AN65" i="11"/>
  <c r="AB64" i="11"/>
  <c r="AB65" i="11"/>
  <c r="AJ64" i="11"/>
  <c r="AJ65" i="11"/>
  <c r="BF64" i="11"/>
  <c r="BF65" i="11"/>
  <c r="AZ64" i="11"/>
  <c r="AZ65" i="11"/>
  <c r="AI64" i="11"/>
  <c r="AI65" i="11"/>
  <c r="E64" i="11"/>
  <c r="E65" i="11"/>
  <c r="AT64" i="11"/>
  <c r="AT65" i="11"/>
  <c r="J64" i="11"/>
  <c r="J65" i="11"/>
  <c r="P64" i="11"/>
  <c r="P65" i="11"/>
  <c r="D64" i="11"/>
  <c r="D65" i="11"/>
  <c r="Q64" i="11"/>
  <c r="Q65" i="11"/>
  <c r="BU24" i="40"/>
  <c r="AA121" i="12"/>
  <c r="AE121" i="12" s="1"/>
  <c r="AD88" i="11"/>
  <c r="S31" i="11"/>
  <c r="AE31" i="11"/>
  <c r="F51" i="67"/>
  <c r="F89" i="12" s="1"/>
  <c r="AE51" i="67"/>
  <c r="AE89" i="12" s="1"/>
  <c r="C48" i="12"/>
  <c r="C181" i="12"/>
  <c r="E101" i="12"/>
  <c r="AH8" i="11"/>
  <c r="AI8" i="11" s="1"/>
  <c r="AJ8" i="11" s="1"/>
  <c r="AQ187" i="12"/>
  <c r="BE188" i="12"/>
  <c r="BE53" i="12" s="1"/>
  <c r="AJ105" i="12"/>
  <c r="AK105" i="12" s="1"/>
  <c r="BM173" i="12"/>
  <c r="AK188" i="12"/>
  <c r="AK53" i="12" s="1"/>
  <c r="BC188" i="12"/>
  <c r="BC53" i="12" s="1"/>
  <c r="AQ188" i="12"/>
  <c r="AQ53" i="12" s="1"/>
  <c r="BC187" i="12"/>
  <c r="BE187" i="12"/>
  <c r="AQ184" i="12"/>
  <c r="AQ185" i="12"/>
  <c r="AW185" i="12"/>
  <c r="AW184" i="12"/>
  <c r="AK185" i="12"/>
  <c r="AK184" i="12"/>
  <c r="BF77" i="12"/>
  <c r="AJ121" i="12"/>
  <c r="Y158" i="12"/>
  <c r="AA159" i="12" s="1"/>
  <c r="AJ120" i="12"/>
  <c r="M158" i="12"/>
  <c r="O159" i="12" s="1"/>
  <c r="AK20" i="67"/>
  <c r="AJ70" i="40"/>
  <c r="S45" i="11"/>
  <c r="Y51" i="67"/>
  <c r="Y89" i="12" s="1"/>
  <c r="F19" i="67"/>
  <c r="G19" i="67" s="1"/>
  <c r="BH38" i="11"/>
  <c r="AI61" i="11"/>
  <c r="AI78" i="12" s="1"/>
  <c r="S42" i="12"/>
  <c r="AE158" i="12"/>
  <c r="AG159" i="12" s="1"/>
  <c r="AE42" i="12"/>
  <c r="AM6" i="13"/>
  <c r="AS6" i="13" s="1"/>
  <c r="AE122" i="12"/>
  <c r="AK117" i="12" s="1"/>
  <c r="AK120" i="12" s="1"/>
  <c r="S158" i="12"/>
  <c r="Y42" i="12"/>
  <c r="J75" i="12"/>
  <c r="Y46" i="11"/>
  <c r="K76" i="12"/>
  <c r="E76" i="12"/>
  <c r="AI77" i="12"/>
  <c r="BF61" i="11"/>
  <c r="AW18" i="40"/>
  <c r="BC30" i="40" s="1"/>
  <c r="F47" i="11"/>
  <c r="F49" i="11" s="1"/>
  <c r="AI70" i="40"/>
  <c r="AI23" i="67"/>
  <c r="AI24" i="67" s="1"/>
  <c r="CA24" i="40"/>
  <c r="CC12" i="40"/>
  <c r="CD12" i="40" s="1"/>
  <c r="CE12" i="40" s="1"/>
  <c r="CF12" i="40" s="1"/>
  <c r="CG12" i="40" s="1"/>
  <c r="E107" i="12"/>
  <c r="G107" i="12" s="1"/>
  <c r="AZ75" i="12"/>
  <c r="K107" i="12"/>
  <c r="Q53" i="11"/>
  <c r="AD19" i="11"/>
  <c r="BB33" i="11"/>
  <c r="BB35" i="11" s="1"/>
  <c r="BF75" i="12"/>
  <c r="AE38" i="11"/>
  <c r="D55" i="11"/>
  <c r="P77" i="12"/>
  <c r="AM63" i="11"/>
  <c r="X33" i="11"/>
  <c r="X35" i="11" s="1"/>
  <c r="F88" i="11"/>
  <c r="F87" i="11" s="1"/>
  <c r="BB98" i="12"/>
  <c r="BB99" i="12" s="1"/>
  <c r="Y15" i="11"/>
  <c r="Y92" i="67" s="1"/>
  <c r="Y93" i="67" s="1"/>
  <c r="M19" i="67"/>
  <c r="K101" i="12"/>
  <c r="AP47" i="11"/>
  <c r="AP49" i="11" s="1"/>
  <c r="AQ49" i="11" s="1"/>
  <c r="E78" i="11"/>
  <c r="G38" i="11"/>
  <c r="L20" i="67"/>
  <c r="M20" i="67" s="1"/>
  <c r="G45" i="11"/>
  <c r="E53" i="11"/>
  <c r="P75" i="12"/>
  <c r="F24" i="11"/>
  <c r="F26" i="11" s="1"/>
  <c r="E74" i="11"/>
  <c r="F70" i="11" s="1"/>
  <c r="F79" i="11" s="1"/>
  <c r="S88" i="11"/>
  <c r="S87" i="11" s="1"/>
  <c r="F106" i="12"/>
  <c r="Y45" i="11"/>
  <c r="X88" i="11"/>
  <c r="M14" i="11"/>
  <c r="M105" i="12" s="1"/>
  <c r="M106" i="12" s="1"/>
  <c r="G14" i="11"/>
  <c r="G105" i="12" s="1"/>
  <c r="G106" i="12" s="1"/>
  <c r="AJ75" i="12"/>
  <c r="AQ12" i="11"/>
  <c r="L105" i="12"/>
  <c r="L107" i="12" s="1"/>
  <c r="W76" i="12"/>
  <c r="AZ77" i="12"/>
  <c r="AD24" i="11"/>
  <c r="AD26" i="11" s="1"/>
  <c r="BI31" i="11"/>
  <c r="AD105" i="12"/>
  <c r="AZ61" i="11"/>
  <c r="AD47" i="11"/>
  <c r="AD49" i="11" s="1"/>
  <c r="AE49" i="11" s="1"/>
  <c r="AO60" i="11"/>
  <c r="AO76" i="12"/>
  <c r="L24" i="11"/>
  <c r="L26" i="11" s="1"/>
  <c r="L60" i="11" s="1"/>
  <c r="AV47" i="11"/>
  <c r="AV49" i="11" s="1"/>
  <c r="AW49" i="11" s="1"/>
  <c r="AJ77" i="12"/>
  <c r="AP33" i="11"/>
  <c r="AP35" i="11" s="1"/>
  <c r="AP24" i="11"/>
  <c r="AP26" i="11" s="1"/>
  <c r="AD33" i="11"/>
  <c r="AD35" i="11" s="1"/>
  <c r="I63" i="11"/>
  <c r="AA63" i="11"/>
  <c r="AY63" i="11"/>
  <c r="G158" i="12"/>
  <c r="I159" i="12" s="1"/>
  <c r="M88" i="11"/>
  <c r="M87" i="11" s="1"/>
  <c r="AW52" i="12"/>
  <c r="AQ42" i="12"/>
  <c r="AQ43" i="12" s="1"/>
  <c r="AW42" i="12"/>
  <c r="AW43" i="12" s="1"/>
  <c r="AY52" i="12"/>
  <c r="AY159" i="12"/>
  <c r="M120" i="12"/>
  <c r="M42" i="12"/>
  <c r="AQ52" i="12"/>
  <c r="AM52" i="12"/>
  <c r="AS52" i="12"/>
  <c r="AG78" i="12"/>
  <c r="AG63" i="11"/>
  <c r="AS63" i="11"/>
  <c r="O63" i="11"/>
  <c r="BE63" i="11"/>
  <c r="U63" i="11"/>
  <c r="AQ33" i="11"/>
  <c r="AQ35" i="11" s="1"/>
  <c r="AG62" i="11"/>
  <c r="S107" i="12"/>
  <c r="BC72" i="11"/>
  <c r="AJ23" i="67"/>
  <c r="AJ24" i="67" s="1"/>
  <c r="AJ56" i="12" s="1"/>
  <c r="G92" i="67"/>
  <c r="G93" i="67" s="1"/>
  <c r="AW14" i="11"/>
  <c r="AV19" i="67"/>
  <c r="AN61" i="11"/>
  <c r="W60" i="11"/>
  <c r="AJ61" i="11"/>
  <c r="AJ78" i="12" s="1"/>
  <c r="K60" i="11"/>
  <c r="BH20" i="67"/>
  <c r="AD20" i="67"/>
  <c r="BA20" i="67"/>
  <c r="BF58" i="12"/>
  <c r="BF61" i="67"/>
  <c r="BF56" i="12"/>
  <c r="BB83" i="11"/>
  <c r="BC83" i="11" s="1"/>
  <c r="BC82" i="11"/>
  <c r="BH98" i="12"/>
  <c r="BI98" i="12" s="1"/>
  <c r="BI99" i="12" s="1"/>
  <c r="AN23" i="67"/>
  <c r="AN24" i="67" s="1"/>
  <c r="AN70" i="40"/>
  <c r="Q89" i="12"/>
  <c r="W99" i="12"/>
  <c r="W101" i="12"/>
  <c r="BG106" i="12"/>
  <c r="BG107" i="12"/>
  <c r="X92" i="67"/>
  <c r="K22" i="67"/>
  <c r="K23" i="67" s="1"/>
  <c r="K24" i="67" s="1"/>
  <c r="K93" i="67"/>
  <c r="J23" i="67"/>
  <c r="J24" i="67" s="1"/>
  <c r="BC38" i="11"/>
  <c r="AB61" i="11"/>
  <c r="AH63" i="11" s="1"/>
  <c r="E61" i="11"/>
  <c r="E62" i="11" s="1"/>
  <c r="AC76" i="12"/>
  <c r="BH92" i="67"/>
  <c r="BH88" i="11"/>
  <c r="BI88" i="11" s="1"/>
  <c r="AV92" i="67"/>
  <c r="V61" i="67"/>
  <c r="V56" i="12"/>
  <c r="AT61" i="67"/>
  <c r="AT56" i="12"/>
  <c r="AT58" i="12"/>
  <c r="S29" i="11"/>
  <c r="R98" i="12"/>
  <c r="AQ14" i="11"/>
  <c r="AP19" i="67"/>
  <c r="AU70" i="40"/>
  <c r="AB23" i="67"/>
  <c r="AB24" i="67" s="1"/>
  <c r="R51" i="67"/>
  <c r="R89" i="12" s="1"/>
  <c r="S46" i="11"/>
  <c r="E22" i="67"/>
  <c r="E23" i="67" s="1"/>
  <c r="E24" i="67" s="1"/>
  <c r="E93" i="67"/>
  <c r="BA22" i="67"/>
  <c r="BA93" i="67"/>
  <c r="D23" i="67"/>
  <c r="D24" i="67" s="1"/>
  <c r="BG22" i="67"/>
  <c r="BG93" i="67"/>
  <c r="AU22" i="67"/>
  <c r="AU23" i="67" s="1"/>
  <c r="AU24" i="67" s="1"/>
  <c r="AU93" i="67"/>
  <c r="AC22" i="67"/>
  <c r="AC93" i="67"/>
  <c r="AT61" i="11"/>
  <c r="AT75" i="12"/>
  <c r="J61" i="11"/>
  <c r="V61" i="11"/>
  <c r="Q61" i="11"/>
  <c r="AW45" i="11"/>
  <c r="AE15" i="11"/>
  <c r="AD92" i="67"/>
  <c r="BG99" i="12"/>
  <c r="AE14" i="11"/>
  <c r="BA107" i="12"/>
  <c r="BA106" i="12"/>
  <c r="AO20" i="67"/>
  <c r="AO22" i="67"/>
  <c r="AO93" i="67"/>
  <c r="W22" i="67"/>
  <c r="W23" i="67" s="1"/>
  <c r="W24" i="67" s="1"/>
  <c r="W93" i="67"/>
  <c r="L92" i="67"/>
  <c r="M15" i="11"/>
  <c r="P61" i="11"/>
  <c r="D77" i="12"/>
  <c r="D61" i="11"/>
  <c r="D78" i="12" s="1"/>
  <c r="AE29" i="11"/>
  <c r="AA71" i="40" s="1"/>
  <c r="AB71" i="40" s="1"/>
  <c r="AC71" i="40" s="1"/>
  <c r="AD71" i="40" s="1"/>
  <c r="X20" i="67"/>
  <c r="AQ15" i="11"/>
  <c r="AP92" i="67"/>
  <c r="AC20" i="67"/>
  <c r="BB19" i="67"/>
  <c r="BB105" i="12"/>
  <c r="BC14" i="11"/>
  <c r="AQ38" i="11"/>
  <c r="AE19" i="67"/>
  <c r="AZ23" i="67"/>
  <c r="AZ24" i="67" s="1"/>
  <c r="AZ70" i="40"/>
  <c r="F92" i="67"/>
  <c r="BB92" i="67"/>
  <c r="BC15" i="11"/>
  <c r="AJ50" i="67"/>
  <c r="AJ51" i="67"/>
  <c r="BG20" i="67"/>
  <c r="BI19" i="67"/>
  <c r="BY82" i="12"/>
  <c r="CE82" i="12" s="1"/>
  <c r="BT82" i="12"/>
  <c r="BX82" i="12"/>
  <c r="CD82" i="12" s="1"/>
  <c r="BW82" i="12"/>
  <c r="CC82" i="12" s="1"/>
  <c r="Q106" i="12"/>
  <c r="BI46" i="12"/>
  <c r="BI171" i="12" s="1"/>
  <c r="AK71" i="11"/>
  <c r="BH105" i="12"/>
  <c r="BI105" i="12" s="1"/>
  <c r="E77" i="12"/>
  <c r="AB75" i="12"/>
  <c r="BI30" i="40"/>
  <c r="AW15" i="11"/>
  <c r="AK82" i="13"/>
  <c r="BC31" i="11"/>
  <c r="BH82" i="11"/>
  <c r="BI72" i="11"/>
  <c r="AJ40" i="13"/>
  <c r="CW15" i="13" s="1"/>
  <c r="AY36" i="13"/>
  <c r="Q76" i="12"/>
  <c r="V8" i="12"/>
  <c r="W8" i="12" s="1"/>
  <c r="X8" i="12" s="1"/>
  <c r="AA8" i="12"/>
  <c r="V70" i="40"/>
  <c r="AU101" i="12"/>
  <c r="AV98" i="12"/>
  <c r="AV99" i="12" s="1"/>
  <c r="AC60" i="11"/>
  <c r="BC88" i="11"/>
  <c r="BC87" i="11" s="1"/>
  <c r="W53" i="11"/>
  <c r="BE78" i="12"/>
  <c r="BE62" i="11"/>
  <c r="AW29" i="11"/>
  <c r="X159" i="12"/>
  <c r="AU88" i="13"/>
  <c r="AP85" i="13"/>
  <c r="AS46" i="13"/>
  <c r="AM88" i="13"/>
  <c r="AY33" i="13"/>
  <c r="AY48" i="13"/>
  <c r="AJ85" i="13"/>
  <c r="AK49" i="13"/>
  <c r="BI45" i="11"/>
  <c r="AC101" i="12"/>
  <c r="BG101" i="12"/>
  <c r="AD41" i="40"/>
  <c r="AG44" i="40" s="1"/>
  <c r="L31" i="11"/>
  <c r="K33" i="11"/>
  <c r="K35" i="11" s="1"/>
  <c r="K53" i="11" s="1"/>
  <c r="Y14" i="11"/>
  <c r="Y105" i="12" s="1"/>
  <c r="Y106" i="12" s="1"/>
  <c r="X105" i="12"/>
  <c r="BG64" i="12"/>
  <c r="BG63" i="12"/>
  <c r="AV83" i="11"/>
  <c r="AW83" i="11" s="1"/>
  <c r="AW82" i="11"/>
  <c r="F142" i="12"/>
  <c r="F143" i="12" s="1"/>
  <c r="F144" i="12" s="1"/>
  <c r="F138" i="12" s="1"/>
  <c r="D142" i="12"/>
  <c r="D143" i="12" s="1"/>
  <c r="D144" i="12" s="1"/>
  <c r="D138" i="12" s="1"/>
  <c r="AV24" i="11"/>
  <c r="AV26" i="11" s="1"/>
  <c r="X47" i="11"/>
  <c r="X49" i="11" s="1"/>
  <c r="Y49" i="11" s="1"/>
  <c r="BL16" i="40"/>
  <c r="BK16" i="40"/>
  <c r="BK18" i="40" s="1"/>
  <c r="BK30" i="40" s="1"/>
  <c r="AD63" i="40"/>
  <c r="R159" i="12"/>
  <c r="L142" i="12"/>
  <c r="L143" i="12" s="1"/>
  <c r="L144" i="12" s="1"/>
  <c r="L138" i="12" s="1"/>
  <c r="AQ159" i="12"/>
  <c r="O142" i="12"/>
  <c r="O143" i="12" s="1"/>
  <c r="O144" i="12" s="1"/>
  <c r="AT45" i="13"/>
  <c r="W142" i="12"/>
  <c r="W143" i="12" s="1"/>
  <c r="W144" i="12" s="1"/>
  <c r="W138" i="12" s="1"/>
  <c r="V75" i="12"/>
  <c r="S11" i="11"/>
  <c r="S12" i="11" s="1"/>
  <c r="R12" i="11"/>
  <c r="R24" i="11" s="1"/>
  <c r="R26" i="11" s="1"/>
  <c r="AK60" i="11"/>
  <c r="AK76" i="12"/>
  <c r="Y10" i="11"/>
  <c r="Y12" i="11" s="1"/>
  <c r="Q77" i="12"/>
  <c r="L101" i="12"/>
  <c r="R33" i="11"/>
  <c r="R35" i="11" s="1"/>
  <c r="AN75" i="12"/>
  <c r="S70" i="11"/>
  <c r="O70" i="11"/>
  <c r="AE98" i="12"/>
  <c r="AE99" i="12" s="1"/>
  <c r="AD101" i="12"/>
  <c r="V77" i="12"/>
  <c r="AV105" i="12"/>
  <c r="J78" i="11"/>
  <c r="J79" i="11"/>
  <c r="J74" i="11"/>
  <c r="K70" i="11" s="1"/>
  <c r="AV88" i="11"/>
  <c r="AV87" i="11" s="1"/>
  <c r="S39" i="11"/>
  <c r="BA101" i="12"/>
  <c r="AB77" i="12"/>
  <c r="R47" i="11"/>
  <c r="R49" i="11" s="1"/>
  <c r="S49" i="11" s="1"/>
  <c r="S22" i="11"/>
  <c r="S19" i="11" s="1"/>
  <c r="R19" i="11"/>
  <c r="AU107" i="12"/>
  <c r="AU106" i="12"/>
  <c r="AN77" i="12"/>
  <c r="X24" i="11"/>
  <c r="X26" i="11" s="1"/>
  <c r="X19" i="11"/>
  <c r="AU87" i="11"/>
  <c r="AW88" i="11"/>
  <c r="AW87" i="11" s="1"/>
  <c r="M98" i="12"/>
  <c r="M99" i="12" s="1"/>
  <c r="D75" i="12"/>
  <c r="J77" i="12"/>
  <c r="AK53" i="11"/>
  <c r="G30" i="11"/>
  <c r="G33" i="11" s="1"/>
  <c r="G35" i="11" s="1"/>
  <c r="F33" i="11"/>
  <c r="F35" i="11" s="1"/>
  <c r="Y21" i="11"/>
  <c r="BI19" i="40"/>
  <c r="AA142" i="12"/>
  <c r="AA143" i="12" s="1"/>
  <c r="AA144" i="12" s="1"/>
  <c r="AG142" i="12"/>
  <c r="AG143" i="12" s="1"/>
  <c r="AG144" i="12" s="1"/>
  <c r="BC72" i="12"/>
  <c r="V142" i="12"/>
  <c r="V143" i="12" s="1"/>
  <c r="V144" i="12" s="1"/>
  <c r="V138" i="12" s="1"/>
  <c r="AK30" i="40"/>
  <c r="AQ30" i="40"/>
  <c r="AQ58" i="40"/>
  <c r="AM58" i="40"/>
  <c r="AK61" i="40"/>
  <c r="AW30" i="40"/>
  <c r="AK53" i="40"/>
  <c r="AE42" i="40"/>
  <c r="AE56" i="40"/>
  <c r="AE63" i="40" s="1"/>
  <c r="AE65" i="40" s="1"/>
  <c r="BI48" i="40"/>
  <c r="BC51" i="40"/>
  <c r="BC54" i="40"/>
  <c r="AE43" i="40"/>
  <c r="AK46" i="40"/>
  <c r="AS8" i="11"/>
  <c r="AN8" i="11"/>
  <c r="AO8" i="11" s="1"/>
  <c r="AP8" i="11" s="1"/>
  <c r="BM155" i="12"/>
  <c r="AP106" i="12"/>
  <c r="AP107" i="12"/>
  <c r="AQ107" i="12" s="1"/>
  <c r="AQ105" i="12"/>
  <c r="M121" i="12"/>
  <c r="S105" i="12"/>
  <c r="O120" i="12"/>
  <c r="S117" i="12"/>
  <c r="S121" i="12" s="1"/>
  <c r="O121" i="12"/>
  <c r="BS71" i="11"/>
  <c r="BO71" i="11"/>
  <c r="AA62" i="11"/>
  <c r="AA78" i="12"/>
  <c r="AQ98" i="12"/>
  <c r="AQ99" i="12" s="1"/>
  <c r="AP101" i="12"/>
  <c r="AQ101" i="12" s="1"/>
  <c r="AY71" i="40"/>
  <c r="AZ71" i="40" s="1"/>
  <c r="BA71" i="40" s="1"/>
  <c r="BB71" i="40" s="1"/>
  <c r="AP87" i="11"/>
  <c r="AQ88" i="11"/>
  <c r="AQ87" i="11" s="1"/>
  <c r="AD72" i="12"/>
  <c r="J142" i="12"/>
  <c r="J143" i="12" s="1"/>
  <c r="J144" i="12" s="1"/>
  <c r="J138" i="12" s="1"/>
  <c r="AK72" i="12"/>
  <c r="AW72" i="12"/>
  <c r="U142" i="12"/>
  <c r="U143" i="12" s="1"/>
  <c r="U144" i="12" s="1"/>
  <c r="Q142" i="12"/>
  <c r="Q143" i="12" s="1"/>
  <c r="Q144" i="12" s="1"/>
  <c r="Q138" i="12" s="1"/>
  <c r="AQ72" i="12"/>
  <c r="I142" i="12"/>
  <c r="I143" i="12" s="1"/>
  <c r="I144" i="12" s="1"/>
  <c r="V81" i="13"/>
  <c r="BG147" i="12"/>
  <c r="S159" i="12"/>
  <c r="AD70" i="40"/>
  <c r="AW159" i="12"/>
  <c r="AW70" i="11"/>
  <c r="AW74" i="11" s="1"/>
  <c r="AS70" i="11"/>
  <c r="AS74" i="11" s="1"/>
  <c r="AT70" i="11" s="1"/>
  <c r="AT74" i="11" s="1"/>
  <c r="AU70" i="11" s="1"/>
  <c r="AU74" i="11" s="1"/>
  <c r="AV70" i="11" s="1"/>
  <c r="AV74" i="11" s="1"/>
  <c r="AM78" i="12"/>
  <c r="AM62" i="11"/>
  <c r="Y44" i="11"/>
  <c r="Y82" i="11" s="1"/>
  <c r="AY62" i="11"/>
  <c r="AY78" i="12"/>
  <c r="AH78" i="12"/>
  <c r="AH62" i="11"/>
  <c r="U62" i="11"/>
  <c r="U78" i="12"/>
  <c r="M19" i="11"/>
  <c r="BH150" i="12"/>
  <c r="BI18" i="12"/>
  <c r="F101" i="12"/>
  <c r="G98" i="12"/>
  <c r="G99" i="12" s="1"/>
  <c r="AK42" i="12"/>
  <c r="AK43" i="12" s="1"/>
  <c r="R72" i="12"/>
  <c r="Y120" i="12"/>
  <c r="Y121" i="12"/>
  <c r="X72" i="12"/>
  <c r="AM50" i="13"/>
  <c r="CX19" i="13" s="1"/>
  <c r="AW48" i="13"/>
  <c r="BG33" i="12"/>
  <c r="AU76" i="12"/>
  <c r="AU60" i="11"/>
  <c r="AU53" i="11"/>
  <c r="X101" i="12"/>
  <c r="Y98" i="12"/>
  <c r="Y99" i="12" s="1"/>
  <c r="I62" i="11"/>
  <c r="I78" i="12"/>
  <c r="AO30" i="40"/>
  <c r="AP30" i="40"/>
  <c r="AQ48" i="13"/>
  <c r="AG81" i="13"/>
  <c r="BR28" i="12"/>
  <c r="C62" i="11"/>
  <c r="C78" i="12"/>
  <c r="AI142" i="12"/>
  <c r="AI143" i="12" s="1"/>
  <c r="AI144" i="12" s="1"/>
  <c r="AI138" i="12" s="1"/>
  <c r="AH142" i="12"/>
  <c r="AH143" i="12" s="1"/>
  <c r="AH144" i="12" s="1"/>
  <c r="AH138" i="12" s="1"/>
  <c r="AD87" i="11"/>
  <c r="AE88" i="11"/>
  <c r="AE87" i="11" s="1"/>
  <c r="BA53" i="11"/>
  <c r="BA76" i="12"/>
  <c r="BA60" i="11"/>
  <c r="L47" i="11"/>
  <c r="L49" i="11" s="1"/>
  <c r="M49" i="11" s="1"/>
  <c r="L82" i="11"/>
  <c r="AM81" i="13"/>
  <c r="AU85" i="13"/>
  <c r="AT77" i="12"/>
  <c r="O78" i="12"/>
  <c r="O62" i="11"/>
  <c r="AN6" i="13"/>
  <c r="AO6" i="13" s="1"/>
  <c r="AP6" i="13" s="1"/>
  <c r="AS81" i="13"/>
  <c r="AI44" i="40"/>
  <c r="AS84" i="13"/>
  <c r="AJ91" i="13"/>
  <c r="AV83" i="13"/>
  <c r="AI87" i="13"/>
  <c r="AB81" i="13"/>
  <c r="BB19" i="11"/>
  <c r="BB24" i="11"/>
  <c r="BB26" i="11" s="1"/>
  <c r="AJ56" i="40"/>
  <c r="AJ63" i="40" s="1"/>
  <c r="AJ42" i="40"/>
  <c r="AJ41" i="40" s="1"/>
  <c r="AJ44" i="40" s="1"/>
  <c r="AM53" i="40"/>
  <c r="G42" i="12"/>
  <c r="I105" i="13"/>
  <c r="AO53" i="11"/>
  <c r="AP79" i="11"/>
  <c r="AP74" i="11"/>
  <c r="AP78" i="11"/>
  <c r="AD81" i="13"/>
  <c r="BC49" i="11"/>
  <c r="AJ81" i="13"/>
  <c r="AE19" i="11"/>
  <c r="AT83" i="13"/>
  <c r="BC19" i="11"/>
  <c r="AV85" i="13"/>
  <c r="AG91" i="13"/>
  <c r="AS78" i="12"/>
  <c r="AS62" i="11"/>
  <c r="BG154" i="12"/>
  <c r="BG156" i="12" s="1"/>
  <c r="U71" i="40"/>
  <c r="V71" i="40" s="1"/>
  <c r="W71" i="40" s="1"/>
  <c r="X71" i="40" s="1"/>
  <c r="Y33" i="11"/>
  <c r="Y35" i="11" s="1"/>
  <c r="BX84" i="13"/>
  <c r="U81" i="13"/>
  <c r="AH87" i="13"/>
  <c r="AN87" i="13"/>
  <c r="AA81" i="13"/>
  <c r="BI66" i="11"/>
  <c r="BI89" i="11" s="1"/>
  <c r="AC53" i="11"/>
  <c r="AP91" i="13"/>
  <c r="AJ88" i="13"/>
  <c r="C64" i="12"/>
  <c r="C15" i="12"/>
  <c r="C47" i="12"/>
  <c r="C57" i="11"/>
  <c r="C63" i="12"/>
  <c r="BF30" i="40"/>
  <c r="BE30" i="40"/>
  <c r="M44" i="11"/>
  <c r="AW9" i="11"/>
  <c r="AW12" i="11" s="1"/>
  <c r="AK129" i="12"/>
  <c r="AB142" i="12"/>
  <c r="AB143" i="12" s="1"/>
  <c r="AB144" i="12" s="1"/>
  <c r="AB138" i="12" s="1"/>
  <c r="AC81" i="13"/>
  <c r="AO87" i="13"/>
  <c r="AQ45" i="13"/>
  <c r="AG82" i="13"/>
  <c r="AY30" i="40" l="1"/>
  <c r="S33" i="11"/>
  <c r="S35" i="11" s="1"/>
  <c r="AE159" i="12"/>
  <c r="AG117" i="12"/>
  <c r="BA64" i="11"/>
  <c r="BA65" i="11"/>
  <c r="AK64" i="11"/>
  <c r="AK65" i="11"/>
  <c r="AC64" i="11"/>
  <c r="AC65" i="11"/>
  <c r="K64" i="11"/>
  <c r="K65" i="11"/>
  <c r="L64" i="11"/>
  <c r="L65" i="11"/>
  <c r="W64" i="11"/>
  <c r="W65" i="11"/>
  <c r="AU64" i="11"/>
  <c r="AU65" i="11"/>
  <c r="AO64" i="11"/>
  <c r="AO65" i="11"/>
  <c r="G51" i="67"/>
  <c r="G89" i="12" s="1"/>
  <c r="AJ106" i="12"/>
  <c r="AD76" i="12"/>
  <c r="G88" i="11"/>
  <c r="G87" i="11" s="1"/>
  <c r="C184" i="12"/>
  <c r="C185" i="12"/>
  <c r="BH87" i="11"/>
  <c r="AK23" i="67"/>
  <c r="AK24" i="67" s="1"/>
  <c r="AK56" i="12" s="1"/>
  <c r="BN173" i="12"/>
  <c r="AJ107" i="12"/>
  <c r="AK107" i="12" s="1"/>
  <c r="O138" i="12"/>
  <c r="G108" i="12"/>
  <c r="G102" i="12" s="1"/>
  <c r="G101" i="12" s="1"/>
  <c r="W75" i="12"/>
  <c r="BI38" i="11"/>
  <c r="Q75" i="12"/>
  <c r="G24" i="11"/>
  <c r="G26" i="11" s="1"/>
  <c r="G76" i="12" s="1"/>
  <c r="M159" i="12"/>
  <c r="AI62" i="11"/>
  <c r="AG138" i="12"/>
  <c r="F20" i="67"/>
  <c r="AK159" i="12"/>
  <c r="BF63" i="11"/>
  <c r="Y159" i="12"/>
  <c r="U159" i="12"/>
  <c r="AE33" i="11"/>
  <c r="AE35" i="11" s="1"/>
  <c r="BF62" i="11"/>
  <c r="AQ47" i="11"/>
  <c r="BF78" i="12"/>
  <c r="D56" i="11"/>
  <c r="D10" i="12" s="1"/>
  <c r="D181" i="12" s="1"/>
  <c r="F78" i="11"/>
  <c r="AE47" i="11"/>
  <c r="AI61" i="67"/>
  <c r="AI56" i="12"/>
  <c r="AI58" i="12"/>
  <c r="AE24" i="11"/>
  <c r="AE26" i="11" s="1"/>
  <c r="C58" i="12"/>
  <c r="CG24" i="40"/>
  <c r="CI12" i="40"/>
  <c r="CJ12" i="40" s="1"/>
  <c r="CK12" i="40" s="1"/>
  <c r="CL12" i="40" s="1"/>
  <c r="CM12" i="40" s="1"/>
  <c r="CM24" i="40" s="1"/>
  <c r="CK82" i="12"/>
  <c r="CI82" i="12"/>
  <c r="CJ82" i="12"/>
  <c r="I138" i="12"/>
  <c r="M107" i="12"/>
  <c r="M108" i="12" s="1"/>
  <c r="M102" i="12" s="1"/>
  <c r="M101" i="12" s="1"/>
  <c r="BC98" i="12"/>
  <c r="BC99" i="12" s="1"/>
  <c r="BB101" i="12"/>
  <c r="BC19" i="67"/>
  <c r="F60" i="11"/>
  <c r="L76" i="12"/>
  <c r="AW19" i="67"/>
  <c r="K77" i="12"/>
  <c r="AP76" i="12"/>
  <c r="F76" i="12"/>
  <c r="G47" i="11"/>
  <c r="G49" i="11" s="1"/>
  <c r="F53" i="11"/>
  <c r="AZ63" i="11"/>
  <c r="AE101" i="12"/>
  <c r="E75" i="12"/>
  <c r="AZ62" i="11"/>
  <c r="AZ78" i="12"/>
  <c r="M24" i="11"/>
  <c r="M26" i="11" s="1"/>
  <c r="BC33" i="11"/>
  <c r="BC35" i="11" s="1"/>
  <c r="BC24" i="11"/>
  <c r="BC26" i="11" s="1"/>
  <c r="F74" i="11"/>
  <c r="AQ24" i="11"/>
  <c r="AQ26" i="11" s="1"/>
  <c r="AQ60" i="11" s="1"/>
  <c r="X87" i="11"/>
  <c r="Y88" i="11"/>
  <c r="Y87" i="11" s="1"/>
  <c r="AW24" i="11"/>
  <c r="AW26" i="11" s="1"/>
  <c r="AW76" i="12" s="1"/>
  <c r="S47" i="11"/>
  <c r="L106" i="12"/>
  <c r="AD106" i="12"/>
  <c r="AE105" i="12"/>
  <c r="AD107" i="12"/>
  <c r="AE107" i="12" s="1"/>
  <c r="AD60" i="11"/>
  <c r="AD53" i="11"/>
  <c r="W77" i="12"/>
  <c r="AO77" i="12"/>
  <c r="AP53" i="11"/>
  <c r="AP60" i="11"/>
  <c r="AW47" i="11"/>
  <c r="AO61" i="11"/>
  <c r="AO63" i="11" s="1"/>
  <c r="AE41" i="40"/>
  <c r="E78" i="12"/>
  <c r="BC47" i="11"/>
  <c r="BH107" i="12"/>
  <c r="H159" i="12"/>
  <c r="AJ58" i="12"/>
  <c r="AJ61" i="67"/>
  <c r="BL32" i="40"/>
  <c r="P62" i="11"/>
  <c r="P63" i="11"/>
  <c r="Q62" i="11"/>
  <c r="AJ62" i="11"/>
  <c r="AN78" i="12"/>
  <c r="AN63" i="11"/>
  <c r="AN62" i="11"/>
  <c r="V63" i="11"/>
  <c r="AT63" i="11"/>
  <c r="AB63" i="11"/>
  <c r="J63" i="11"/>
  <c r="BH106" i="12"/>
  <c r="Q78" i="12"/>
  <c r="P78" i="12"/>
  <c r="D62" i="11"/>
  <c r="AU58" i="12"/>
  <c r="AU61" i="67"/>
  <c r="AU56" i="12"/>
  <c r="BI90" i="11"/>
  <c r="BI48" i="67"/>
  <c r="BA61" i="11"/>
  <c r="AU61" i="11"/>
  <c r="L61" i="11"/>
  <c r="AP45" i="67"/>
  <c r="AK61" i="11"/>
  <c r="BB107" i="12"/>
  <c r="BB106" i="12"/>
  <c r="AC23" i="67"/>
  <c r="AC24" i="67" s="1"/>
  <c r="M92" i="67"/>
  <c r="M93" i="67" s="1"/>
  <c r="BC105" i="12"/>
  <c r="AD22" i="67"/>
  <c r="AE22" i="67" s="1"/>
  <c r="AD93" i="67"/>
  <c r="AB61" i="67"/>
  <c r="AB56" i="12"/>
  <c r="R99" i="12"/>
  <c r="S98" i="12"/>
  <c r="S99" i="12" s="1"/>
  <c r="R101" i="12"/>
  <c r="AD45" i="67"/>
  <c r="AV45" i="67"/>
  <c r="BB22" i="67"/>
  <c r="BC22" i="67" s="1"/>
  <c r="BB93" i="67"/>
  <c r="BC92" i="67"/>
  <c r="BC93" i="67" s="1"/>
  <c r="BB20" i="67"/>
  <c r="AP22" i="67"/>
  <c r="AQ22" i="67" s="1"/>
  <c r="AP93" i="67"/>
  <c r="AQ92" i="67"/>
  <c r="AQ93" i="67" s="1"/>
  <c r="Y20" i="67"/>
  <c r="L22" i="67"/>
  <c r="L23" i="67" s="1"/>
  <c r="L24" i="67" s="1"/>
  <c r="L93" i="67"/>
  <c r="K61" i="67"/>
  <c r="K56" i="12"/>
  <c r="J61" i="67"/>
  <c r="J56" i="12"/>
  <c r="X22" i="67"/>
  <c r="Y22" i="67" s="1"/>
  <c r="X93" i="67"/>
  <c r="W61" i="11"/>
  <c r="W63" i="11" s="1"/>
  <c r="AV20" i="67"/>
  <c r="AC61" i="11"/>
  <c r="AK51" i="67"/>
  <c r="AK89" i="12" s="1"/>
  <c r="AJ89" i="12"/>
  <c r="AZ58" i="12"/>
  <c r="AZ61" i="67"/>
  <c r="AZ56" i="12"/>
  <c r="E61" i="67"/>
  <c r="E56" i="12"/>
  <c r="AO23" i="67"/>
  <c r="AO24" i="67" s="1"/>
  <c r="AO70" i="40"/>
  <c r="AE92" i="67"/>
  <c r="AE93" i="67" s="1"/>
  <c r="AP20" i="67"/>
  <c r="AV22" i="67"/>
  <c r="AW22" i="67" s="1"/>
  <c r="AV93" i="67"/>
  <c r="AW92" i="67"/>
  <c r="AW93" i="67" s="1"/>
  <c r="BH99" i="12"/>
  <c r="BH101" i="12"/>
  <c r="BH70" i="40"/>
  <c r="BB53" i="11"/>
  <c r="BG70" i="40"/>
  <c r="BG23" i="67"/>
  <c r="BG24" i="67" s="1"/>
  <c r="BI20" i="67"/>
  <c r="F22" i="67"/>
  <c r="G22" i="67" s="1"/>
  <c r="F93" i="67"/>
  <c r="W56" i="12"/>
  <c r="W61" i="67"/>
  <c r="D61" i="67"/>
  <c r="D56" i="12"/>
  <c r="AE20" i="67"/>
  <c r="BH22" i="67"/>
  <c r="BI22" i="67" s="1"/>
  <c r="BH93" i="67"/>
  <c r="BI92" i="67"/>
  <c r="BI93" i="67" s="1"/>
  <c r="S51" i="67"/>
  <c r="S89" i="12" s="1"/>
  <c r="AN56" i="12"/>
  <c r="AN61" i="67"/>
  <c r="AN58" i="12"/>
  <c r="BA23" i="67"/>
  <c r="BA24" i="67" s="1"/>
  <c r="BA70" i="40"/>
  <c r="K61" i="11"/>
  <c r="Q63" i="11" s="1"/>
  <c r="AQ19" i="67"/>
  <c r="BZ82" i="12"/>
  <c r="CF82" i="12" s="1"/>
  <c r="AV60" i="11"/>
  <c r="AV76" i="12"/>
  <c r="AV53" i="11"/>
  <c r="BI87" i="11"/>
  <c r="BI82" i="11"/>
  <c r="BH83" i="11"/>
  <c r="BI83" i="11" s="1"/>
  <c r="AG8" i="12"/>
  <c r="AB8" i="12"/>
  <c r="AC8" i="12" s="1"/>
  <c r="AD8" i="12" s="1"/>
  <c r="AN142" i="12"/>
  <c r="AN143" i="12" s="1"/>
  <c r="AN144" i="12" s="1"/>
  <c r="AN138" i="12" s="1"/>
  <c r="AK40" i="13"/>
  <c r="AD44" i="40"/>
  <c r="AE81" i="13"/>
  <c r="AK81" i="13"/>
  <c r="BL18" i="40"/>
  <c r="BL30" i="40" s="1"/>
  <c r="AS71" i="40"/>
  <c r="AT71" i="40" s="1"/>
  <c r="AU71" i="40" s="1"/>
  <c r="AV71" i="40" s="1"/>
  <c r="AC77" i="12"/>
  <c r="AV101" i="12"/>
  <c r="AW98" i="12"/>
  <c r="AW99" i="12" s="1"/>
  <c r="AW33" i="11"/>
  <c r="AW35" i="11" s="1"/>
  <c r="G142" i="12"/>
  <c r="G143" i="12" s="1"/>
  <c r="G144" i="12" s="1"/>
  <c r="AY35" i="13"/>
  <c r="W81" i="13"/>
  <c r="BA46" i="13"/>
  <c r="AP50" i="13"/>
  <c r="DA19" i="13" s="1"/>
  <c r="BA33" i="13"/>
  <c r="BA82" i="13"/>
  <c r="BA34" i="13"/>
  <c r="BA83" i="13"/>
  <c r="BA48" i="13"/>
  <c r="BA35" i="13"/>
  <c r="BA85" i="13"/>
  <c r="BA84" i="13"/>
  <c r="BA36" i="13"/>
  <c r="AY34" i="13"/>
  <c r="AY91" i="13"/>
  <c r="X107" i="12"/>
  <c r="Y107" i="12" s="1"/>
  <c r="Y108" i="12" s="1"/>
  <c r="AE104" i="12" s="1"/>
  <c r="X106" i="12"/>
  <c r="X53" i="11"/>
  <c r="AZ47" i="13"/>
  <c r="M31" i="11"/>
  <c r="L33" i="11"/>
  <c r="L35" i="11" s="1"/>
  <c r="L53" i="11" s="1"/>
  <c r="W70" i="40"/>
  <c r="BA88" i="13"/>
  <c r="R60" i="11"/>
  <c r="R76" i="12"/>
  <c r="Y47" i="11"/>
  <c r="BM32" i="40"/>
  <c r="BM33" i="40" s="1"/>
  <c r="AY83" i="13"/>
  <c r="AY85" i="13"/>
  <c r="AQ33" i="13"/>
  <c r="BA45" i="13"/>
  <c r="AT88" i="13"/>
  <c r="BE46" i="13"/>
  <c r="G72" i="12"/>
  <c r="K74" i="11"/>
  <c r="L70" i="11" s="1"/>
  <c r="K78" i="11"/>
  <c r="K79" i="11"/>
  <c r="S78" i="11"/>
  <c r="S74" i="11"/>
  <c r="S79" i="11"/>
  <c r="AK75" i="12"/>
  <c r="X76" i="12"/>
  <c r="X60" i="11"/>
  <c r="J78" i="12"/>
  <c r="J62" i="11"/>
  <c r="AB78" i="12"/>
  <c r="AB62" i="11"/>
  <c r="Y19" i="11"/>
  <c r="Y24" i="11"/>
  <c r="Y26" i="11" s="1"/>
  <c r="AV107" i="12"/>
  <c r="AV106" i="12"/>
  <c r="AW105" i="12"/>
  <c r="V62" i="11"/>
  <c r="V78" i="12"/>
  <c r="O78" i="11"/>
  <c r="O74" i="11"/>
  <c r="P70" i="11" s="1"/>
  <c r="O79" i="11"/>
  <c r="R53" i="11"/>
  <c r="AK77" i="12"/>
  <c r="S24" i="11"/>
  <c r="S26" i="11" s="1"/>
  <c r="S81" i="13"/>
  <c r="AM61" i="40"/>
  <c r="AN58" i="40"/>
  <c r="AW58" i="40"/>
  <c r="AQ61" i="40"/>
  <c r="AS58" i="40"/>
  <c r="AK56" i="40"/>
  <c r="AK63" i="40" s="1"/>
  <c r="AK65" i="40" s="1"/>
  <c r="AQ53" i="40"/>
  <c r="AK42" i="40"/>
  <c r="S120" i="12"/>
  <c r="AQ46" i="40"/>
  <c r="AK43" i="40"/>
  <c r="AM46" i="40"/>
  <c r="BI54" i="40"/>
  <c r="BO48" i="40"/>
  <c r="BI51" i="40"/>
  <c r="AY8" i="11"/>
  <c r="AT8" i="11"/>
  <c r="AU8" i="11" s="1"/>
  <c r="AV8" i="11" s="1"/>
  <c r="S106" i="12"/>
  <c r="S108" i="12"/>
  <c r="S102" i="12" s="1"/>
  <c r="BO31" i="12"/>
  <c r="BO155" i="12" s="1"/>
  <c r="BY71" i="11"/>
  <c r="BU71" i="11"/>
  <c r="P81" i="13"/>
  <c r="BG145" i="12"/>
  <c r="BG19" i="11"/>
  <c r="BO11" i="11"/>
  <c r="K142" i="12"/>
  <c r="K143" i="12" s="1"/>
  <c r="K144" i="12" s="1"/>
  <c r="K138" i="12" s="1"/>
  <c r="L77" i="12"/>
  <c r="BI150" i="12"/>
  <c r="AY70" i="11"/>
  <c r="AY74" i="11" s="1"/>
  <c r="AZ70" i="11" s="1"/>
  <c r="AZ74" i="11" s="1"/>
  <c r="BA70" i="11" s="1"/>
  <c r="BA74" i="11" s="1"/>
  <c r="BB70" i="11" s="1"/>
  <c r="BB74" i="11" s="1"/>
  <c r="BC70" i="11"/>
  <c r="BC74" i="11" s="1"/>
  <c r="BI70" i="11" s="1"/>
  <c r="BI74" i="11" s="1"/>
  <c r="BK70" i="11" s="1"/>
  <c r="BK74" i="11" s="1"/>
  <c r="BO21" i="12"/>
  <c r="BQ21" i="12" s="1"/>
  <c r="AA138" i="12"/>
  <c r="BO26" i="12"/>
  <c r="BQ26" i="12" s="1"/>
  <c r="AG121" i="12"/>
  <c r="AK121" i="12" s="1"/>
  <c r="AK122" i="12" s="1"/>
  <c r="AG120" i="12"/>
  <c r="AT47" i="13"/>
  <c r="AV47" i="13"/>
  <c r="AK47" i="13"/>
  <c r="AQ40" i="13"/>
  <c r="AC75" i="12"/>
  <c r="K75" i="12"/>
  <c r="AU81" i="13"/>
  <c r="BE142" i="12"/>
  <c r="BE143" i="12" s="1"/>
  <c r="BE144" i="12" s="1"/>
  <c r="BE138" i="12" s="1"/>
  <c r="BB60" i="11"/>
  <c r="BB76" i="12"/>
  <c r="BG148" i="12"/>
  <c r="AK36" i="13"/>
  <c r="BK48" i="67"/>
  <c r="AU75" i="12"/>
  <c r="BY84" i="13"/>
  <c r="M82" i="11"/>
  <c r="M47" i="11"/>
  <c r="C65" i="12"/>
  <c r="C62" i="12"/>
  <c r="C22" i="12"/>
  <c r="AY46" i="13"/>
  <c r="C142" i="12"/>
  <c r="C143" i="12" s="1"/>
  <c r="C144" i="12" s="1"/>
  <c r="E55" i="11"/>
  <c r="AM42" i="40"/>
  <c r="AN53" i="40"/>
  <c r="AM56" i="40"/>
  <c r="BG45" i="13"/>
  <c r="AT81" i="13"/>
  <c r="AT62" i="11"/>
  <c r="AT78" i="12"/>
  <c r="AC142" i="12"/>
  <c r="AC143" i="12" s="1"/>
  <c r="AC144" i="12" s="1"/>
  <c r="AC138" i="12" s="1"/>
  <c r="BE45" i="13"/>
  <c r="BS28" i="12"/>
  <c r="AY45" i="13"/>
  <c r="AW33" i="13"/>
  <c r="AQ44" i="13"/>
  <c r="AO75" i="12"/>
  <c r="BO32" i="12"/>
  <c r="BQ32" i="12" s="1"/>
  <c r="AQ36" i="13"/>
  <c r="AY6" i="13"/>
  <c r="AT6" i="13"/>
  <c r="AU6" i="13" s="1"/>
  <c r="AV6" i="13" s="1"/>
  <c r="AU47" i="13"/>
  <c r="BA47" i="13"/>
  <c r="BA77" i="12"/>
  <c r="AQ91" i="13"/>
  <c r="AU77" i="12"/>
  <c r="AQ88" i="13"/>
  <c r="AJ142" i="12"/>
  <c r="AJ143" i="12" s="1"/>
  <c r="AJ144" i="12" s="1"/>
  <c r="AJ138" i="12" s="1"/>
  <c r="AM125" i="12"/>
  <c r="AM128" i="12" s="1"/>
  <c r="AQ128" i="12" s="1"/>
  <c r="AQ125" i="12"/>
  <c r="R81" i="13"/>
  <c r="AK34" i="13"/>
  <c r="E142" i="12"/>
  <c r="E143" i="12" s="1"/>
  <c r="E144" i="12" s="1"/>
  <c r="E138" i="12" s="1"/>
  <c r="AZ45" i="13"/>
  <c r="P142" i="12"/>
  <c r="P143" i="12" s="1"/>
  <c r="P144" i="12" s="1"/>
  <c r="P138" i="12" s="1"/>
  <c r="X81" i="13"/>
  <c r="AG50" i="13"/>
  <c r="CT19" i="13" s="1"/>
  <c r="BA75" i="12"/>
  <c r="BB64" i="11" l="1"/>
  <c r="BB65" i="11"/>
  <c r="AD64" i="11"/>
  <c r="AD65" i="11"/>
  <c r="X64" i="11"/>
  <c r="X65" i="11"/>
  <c r="R64" i="11"/>
  <c r="R65" i="11"/>
  <c r="AV64" i="11"/>
  <c r="AV65" i="11"/>
  <c r="G53" i="11"/>
  <c r="F64" i="11"/>
  <c r="F65" i="11"/>
  <c r="AP64" i="11"/>
  <c r="AP65" i="11"/>
  <c r="AQ64" i="11"/>
  <c r="AQ65" i="11"/>
  <c r="BO32" i="40"/>
  <c r="AK61" i="67"/>
  <c r="D185" i="12"/>
  <c r="D188" i="12" s="1"/>
  <c r="D53" i="12" s="1"/>
  <c r="D184" i="12"/>
  <c r="D187" i="12" s="1"/>
  <c r="C187" i="12"/>
  <c r="G60" i="11"/>
  <c r="AK58" i="12"/>
  <c r="C188" i="12"/>
  <c r="C53" i="12" s="1"/>
  <c r="BO173" i="12"/>
  <c r="F75" i="12"/>
  <c r="G20" i="67"/>
  <c r="U138" i="12"/>
  <c r="BC60" i="11"/>
  <c r="F77" i="12"/>
  <c r="AQ76" i="12"/>
  <c r="AO78" i="12"/>
  <c r="F61" i="11"/>
  <c r="F62" i="11" s="1"/>
  <c r="CA71" i="11"/>
  <c r="CE71" i="11"/>
  <c r="AP75" i="12"/>
  <c r="AQ77" i="12"/>
  <c r="AE76" i="12"/>
  <c r="BC53" i="11"/>
  <c r="BC76" i="12"/>
  <c r="AE60" i="11"/>
  <c r="AE53" i="11"/>
  <c r="AQ53" i="11"/>
  <c r="AQ61" i="11"/>
  <c r="AQ63" i="11" s="1"/>
  <c r="CL82" i="12"/>
  <c r="Y102" i="12"/>
  <c r="AE97" i="12" s="1"/>
  <c r="AD75" i="12"/>
  <c r="M76" i="12"/>
  <c r="AW60" i="11"/>
  <c r="M60" i="11"/>
  <c r="AW53" i="11"/>
  <c r="BB75" i="12"/>
  <c r="AD77" i="12"/>
  <c r="AD61" i="11"/>
  <c r="AJ63" i="11" s="1"/>
  <c r="AO62" i="11"/>
  <c r="AE108" i="12"/>
  <c r="AK104" i="12" s="1"/>
  <c r="AK108" i="12" s="1"/>
  <c r="AQ104" i="12" s="1"/>
  <c r="AQ108" i="12" s="1"/>
  <c r="AW104" i="12" s="1"/>
  <c r="AU63" i="11"/>
  <c r="AP77" i="12"/>
  <c r="AP61" i="11"/>
  <c r="AP63" i="11" s="1"/>
  <c r="K78" i="12"/>
  <c r="AV77" i="12"/>
  <c r="W62" i="11"/>
  <c r="S101" i="12"/>
  <c r="BO10" i="40"/>
  <c r="BO22" i="40" s="1"/>
  <c r="BL33" i="40"/>
  <c r="BG151" i="12"/>
  <c r="BG158" i="12" s="1"/>
  <c r="AC63" i="11"/>
  <c r="AI63" i="11"/>
  <c r="W78" i="12"/>
  <c r="BA63" i="11"/>
  <c r="K62" i="11"/>
  <c r="K63" i="11"/>
  <c r="BA61" i="67"/>
  <c r="BA56" i="12"/>
  <c r="BA58" i="12"/>
  <c r="BI23" i="67"/>
  <c r="BI24" i="67" s="1"/>
  <c r="BH23" i="67"/>
  <c r="BH24" i="67" s="1"/>
  <c r="L61" i="67"/>
  <c r="L56" i="12"/>
  <c r="AD23" i="67"/>
  <c r="AD24" i="67" s="1"/>
  <c r="AP50" i="67"/>
  <c r="AP51" i="67"/>
  <c r="M22" i="67"/>
  <c r="M23" i="67" s="1"/>
  <c r="M24" i="67" s="1"/>
  <c r="AE23" i="67"/>
  <c r="AE24" i="67" s="1"/>
  <c r="AC61" i="67"/>
  <c r="AC56" i="12"/>
  <c r="D48" i="12"/>
  <c r="Y53" i="11"/>
  <c r="R61" i="11"/>
  <c r="R78" i="12" s="1"/>
  <c r="BG61" i="67"/>
  <c r="BG56" i="12"/>
  <c r="BG58" i="12"/>
  <c r="AV23" i="67"/>
  <c r="AV24" i="67" s="1"/>
  <c r="AV70" i="40"/>
  <c r="AW20" i="67"/>
  <c r="AV50" i="67"/>
  <c r="AV51" i="67"/>
  <c r="Y23" i="67"/>
  <c r="Y24" i="67" s="1"/>
  <c r="F23" i="67"/>
  <c r="F24" i="67" s="1"/>
  <c r="AV75" i="12"/>
  <c r="BB61" i="11"/>
  <c r="X61" i="11"/>
  <c r="AV61" i="11"/>
  <c r="AP23" i="67"/>
  <c r="AP24" i="67" s="1"/>
  <c r="AP70" i="40"/>
  <c r="AO58" i="12"/>
  <c r="AO61" i="67"/>
  <c r="AO56" i="12"/>
  <c r="X23" i="67"/>
  <c r="X24" i="67" s="1"/>
  <c r="BB70" i="40"/>
  <c r="BB23" i="67"/>
  <c r="BB24" i="67" s="1"/>
  <c r="BC20" i="67"/>
  <c r="AD50" i="67"/>
  <c r="AQ20" i="67"/>
  <c r="AM63" i="40"/>
  <c r="AK41" i="40"/>
  <c r="AK44" i="40" s="1"/>
  <c r="BK19" i="40"/>
  <c r="BR32" i="12"/>
  <c r="AM8" i="12"/>
  <c r="AH8" i="12"/>
  <c r="AI8" i="12" s="1"/>
  <c r="AJ8" i="12" s="1"/>
  <c r="BG142" i="12"/>
  <c r="BG143" i="12" s="1"/>
  <c r="BG144" i="12" s="1"/>
  <c r="BG138" i="12" s="1"/>
  <c r="R77" i="12"/>
  <c r="X75" i="12"/>
  <c r="AC62" i="11"/>
  <c r="AC78" i="12"/>
  <c r="AZ142" i="12"/>
  <c r="AZ143" i="12" s="1"/>
  <c r="AZ144" i="12" s="1"/>
  <c r="AZ138" i="12" s="1"/>
  <c r="Q81" i="13"/>
  <c r="AY84" i="13"/>
  <c r="AN50" i="13"/>
  <c r="CY19" i="13" s="1"/>
  <c r="AH50" i="13"/>
  <c r="CU19" i="13" s="1"/>
  <c r="BE44" i="13"/>
  <c r="BA91" i="13"/>
  <c r="AQ50" i="13"/>
  <c r="AY82" i="13"/>
  <c r="AP92" i="13"/>
  <c r="AZ46" i="13"/>
  <c r="L75" i="12"/>
  <c r="AD92" i="13"/>
  <c r="AJ50" i="13"/>
  <c r="CW19" i="13" s="1"/>
  <c r="AZ33" i="13"/>
  <c r="AZ34" i="13"/>
  <c r="AW91" i="13"/>
  <c r="X70" i="40"/>
  <c r="AZ35" i="13"/>
  <c r="M33" i="11"/>
  <c r="M35" i="11" s="1"/>
  <c r="M53" i="11" s="1"/>
  <c r="AZ36" i="13"/>
  <c r="AZ48" i="13"/>
  <c r="AI50" i="13"/>
  <c r="CV19" i="13" s="1"/>
  <c r="AN92" i="13"/>
  <c r="AO50" i="13"/>
  <c r="CZ19" i="13" s="1"/>
  <c r="BN16" i="40"/>
  <c r="BM16" i="40"/>
  <c r="BM18" i="40" s="1"/>
  <c r="BM30" i="40" s="1"/>
  <c r="AP142" i="12"/>
  <c r="AP143" i="12" s="1"/>
  <c r="AP144" i="12" s="1"/>
  <c r="AP138" i="12" s="1"/>
  <c r="BG46" i="13"/>
  <c r="AQ82" i="13"/>
  <c r="AC92" i="13"/>
  <c r="BG44" i="13"/>
  <c r="Y81" i="13"/>
  <c r="X77" i="12"/>
  <c r="R75" i="12"/>
  <c r="G75" i="12"/>
  <c r="G56" i="11"/>
  <c r="AK78" i="12"/>
  <c r="AK62" i="11"/>
  <c r="P79" i="11"/>
  <c r="P74" i="11"/>
  <c r="Q70" i="11" s="1"/>
  <c r="P78" i="11"/>
  <c r="L78" i="11"/>
  <c r="L74" i="11"/>
  <c r="L79" i="11"/>
  <c r="S76" i="12"/>
  <c r="S53" i="11"/>
  <c r="S60" i="11"/>
  <c r="Y76" i="12"/>
  <c r="Y60" i="11"/>
  <c r="U70" i="11"/>
  <c r="Y70" i="11"/>
  <c r="AQ142" i="12"/>
  <c r="AQ143" i="12" s="1"/>
  <c r="AQ144" i="12" s="1"/>
  <c r="AQ138" i="12" s="1"/>
  <c r="D91" i="12"/>
  <c r="AT142" i="12"/>
  <c r="AT143" i="12" s="1"/>
  <c r="AT144" i="12" s="1"/>
  <c r="AT138" i="12" s="1"/>
  <c r="AO58" i="40"/>
  <c r="AN61" i="40"/>
  <c r="AT58" i="40"/>
  <c r="AS61" i="40"/>
  <c r="BC58" i="40"/>
  <c r="AW61" i="40"/>
  <c r="AY58" i="40"/>
  <c r="AQ56" i="40"/>
  <c r="AQ63" i="40" s="1"/>
  <c r="AQ65" i="40" s="1"/>
  <c r="AW53" i="40"/>
  <c r="AQ42" i="40"/>
  <c r="BO54" i="40"/>
  <c r="BO14" i="40"/>
  <c r="BO26" i="40" s="1"/>
  <c r="BU48" i="40"/>
  <c r="BO51" i="40"/>
  <c r="AM43" i="40"/>
  <c r="AM41" i="40" s="1"/>
  <c r="AN46" i="40"/>
  <c r="AS46" i="40"/>
  <c r="AW46" i="40"/>
  <c r="AQ43" i="40"/>
  <c r="AZ8" i="11"/>
  <c r="BA8" i="11" s="1"/>
  <c r="BB8" i="11" s="1"/>
  <c r="BE8" i="11"/>
  <c r="BQ31" i="12"/>
  <c r="BQ173" i="12" s="1"/>
  <c r="BM149" i="12"/>
  <c r="AO142" i="12"/>
  <c r="AO143" i="12" s="1"/>
  <c r="AO144" i="12" s="1"/>
  <c r="AO138" i="12" s="1"/>
  <c r="BB142" i="12"/>
  <c r="BB143" i="12" s="1"/>
  <c r="BB144" i="12" s="1"/>
  <c r="BB138" i="12" s="1"/>
  <c r="I102" i="13"/>
  <c r="AM142" i="12"/>
  <c r="AM143" i="12" s="1"/>
  <c r="AM144" i="12" s="1"/>
  <c r="AM138" i="12" s="1"/>
  <c r="AE72" i="12"/>
  <c r="M72" i="12"/>
  <c r="AA69" i="40"/>
  <c r="BO10" i="11"/>
  <c r="W69" i="40"/>
  <c r="M142" i="12"/>
  <c r="M143" i="12" s="1"/>
  <c r="M144" i="12" s="1"/>
  <c r="M138" i="12" s="1"/>
  <c r="AV142" i="12"/>
  <c r="AV143" i="12" s="1"/>
  <c r="AV144" i="12" s="1"/>
  <c r="AV138" i="12" s="1"/>
  <c r="V69" i="40"/>
  <c r="BE70" i="11"/>
  <c r="BE74" i="11" s="1"/>
  <c r="BF70" i="11" s="1"/>
  <c r="BF74" i="11" s="1"/>
  <c r="BG70" i="11" s="1"/>
  <c r="BG74" i="11" s="1"/>
  <c r="BH70" i="11" s="1"/>
  <c r="BH74" i="11" s="1"/>
  <c r="L62" i="11"/>
  <c r="L78" i="12"/>
  <c r="BR21" i="12"/>
  <c r="AM117" i="12"/>
  <c r="AQ117" i="12"/>
  <c r="AQ120" i="12" s="1"/>
  <c r="BR26" i="12"/>
  <c r="AH92" i="13"/>
  <c r="AB92" i="13"/>
  <c r="AK90" i="13"/>
  <c r="AG92" i="13"/>
  <c r="AQ47" i="13"/>
  <c r="AZ88" i="13"/>
  <c r="AQ129" i="12"/>
  <c r="BE6" i="13"/>
  <c r="AZ6" i="13"/>
  <c r="BA6" i="13" s="1"/>
  <c r="BB6" i="13" s="1"/>
  <c r="AY88" i="13"/>
  <c r="BE88" i="13"/>
  <c r="BG88" i="13"/>
  <c r="AQ34" i="13"/>
  <c r="D64" i="12"/>
  <c r="D47" i="12"/>
  <c r="D57" i="11"/>
  <c r="D63" i="12"/>
  <c r="D15" i="12"/>
  <c r="BF44" i="13"/>
  <c r="BF142" i="12"/>
  <c r="BF143" i="12" s="1"/>
  <c r="BF144" i="12" s="1"/>
  <c r="BF138" i="12" s="1"/>
  <c r="AQ81" i="13"/>
  <c r="AV40" i="13"/>
  <c r="AY142" i="12"/>
  <c r="AY143" i="12" s="1"/>
  <c r="AY144" i="12" s="1"/>
  <c r="AY138" i="12" s="1"/>
  <c r="BA78" i="12"/>
  <c r="BA62" i="11"/>
  <c r="BM45" i="13"/>
  <c r="AQ87" i="13"/>
  <c r="AW82" i="13"/>
  <c r="AW45" i="13"/>
  <c r="AO53" i="40"/>
  <c r="AN42" i="40"/>
  <c r="AN56" i="40"/>
  <c r="AM92" i="13"/>
  <c r="BA142" i="12"/>
  <c r="BA143" i="12" s="1"/>
  <c r="BA144" i="12" s="1"/>
  <c r="BA138" i="12" s="1"/>
  <c r="BF46" i="13"/>
  <c r="BB77" i="12"/>
  <c r="AD142" i="12"/>
  <c r="AD143" i="12" s="1"/>
  <c r="AD144" i="12" s="1"/>
  <c r="AD138" i="12" s="1"/>
  <c r="R142" i="12"/>
  <c r="R143" i="12" s="1"/>
  <c r="R144" i="12" s="1"/>
  <c r="R138" i="12" s="1"/>
  <c r="AQ35" i="13"/>
  <c r="BT28" i="12"/>
  <c r="AY81" i="13"/>
  <c r="AU142" i="12"/>
  <c r="AU143" i="12" s="1"/>
  <c r="AU144" i="12" s="1"/>
  <c r="AU138" i="12" s="1"/>
  <c r="BF45" i="13"/>
  <c r="C43" i="12"/>
  <c r="BL48" i="67"/>
  <c r="AK83" i="13"/>
  <c r="AU78" i="12"/>
  <c r="AU62" i="11"/>
  <c r="AQ85" i="13"/>
  <c r="X142" i="12"/>
  <c r="X143" i="12" s="1"/>
  <c r="X144" i="12" s="1"/>
  <c r="X138" i="12" s="1"/>
  <c r="AS142" i="12"/>
  <c r="AS143" i="12" s="1"/>
  <c r="AS144" i="12" s="1"/>
  <c r="AS138" i="12" s="1"/>
  <c r="AA92" i="13"/>
  <c r="AZ81" i="13"/>
  <c r="E56" i="11"/>
  <c r="AB69" i="40"/>
  <c r="AK85" i="13"/>
  <c r="BA81" i="13"/>
  <c r="BC61" i="11" l="1"/>
  <c r="BC77" i="12"/>
  <c r="S64" i="11"/>
  <c r="S65" i="11"/>
  <c r="Y64" i="11"/>
  <c r="Y65" i="11"/>
  <c r="AW64" i="11"/>
  <c r="AW65" i="11"/>
  <c r="BC64" i="11"/>
  <c r="BC65" i="11"/>
  <c r="G64" i="11"/>
  <c r="G65" i="11"/>
  <c r="G77" i="12"/>
  <c r="M64" i="11"/>
  <c r="M65" i="11"/>
  <c r="G61" i="11"/>
  <c r="G78" i="12" s="1"/>
  <c r="AE64" i="11"/>
  <c r="AE65" i="11"/>
  <c r="G23" i="67"/>
  <c r="G24" i="67" s="1"/>
  <c r="AW61" i="11"/>
  <c r="AW63" i="11" s="1"/>
  <c r="AQ62" i="11"/>
  <c r="F78" i="12"/>
  <c r="BC75" i="12"/>
  <c r="AE77" i="12"/>
  <c r="M77" i="12"/>
  <c r="L63" i="11"/>
  <c r="AW77" i="12"/>
  <c r="CK71" i="11"/>
  <c r="CM71" i="11" s="1"/>
  <c r="CG71" i="11"/>
  <c r="AE61" i="11"/>
  <c r="AK63" i="11" s="1"/>
  <c r="AE75" i="12"/>
  <c r="AQ78" i="12"/>
  <c r="AQ75" i="12"/>
  <c r="D58" i="12"/>
  <c r="AD78" i="12"/>
  <c r="Y101" i="12"/>
  <c r="AS104" i="12"/>
  <c r="AS107" i="12" s="1"/>
  <c r="AW107" i="12" s="1"/>
  <c r="AW108" i="12" s="1"/>
  <c r="AY104" i="12" s="1"/>
  <c r="AY107" i="12" s="1"/>
  <c r="BC107" i="12" s="1"/>
  <c r="AD62" i="11"/>
  <c r="M61" i="11"/>
  <c r="Y75" i="12"/>
  <c r="AW75" i="12"/>
  <c r="AP62" i="11"/>
  <c r="AP78" i="12"/>
  <c r="X63" i="11"/>
  <c r="BQ10" i="40"/>
  <c r="AD63" i="11"/>
  <c r="AV78" i="12"/>
  <c r="AV63" i="11"/>
  <c r="BB63" i="11"/>
  <c r="R62" i="11"/>
  <c r="R63" i="11"/>
  <c r="AP58" i="12"/>
  <c r="AP61" i="67"/>
  <c r="AP56" i="12"/>
  <c r="AV62" i="11"/>
  <c r="Y61" i="67"/>
  <c r="Y56" i="12"/>
  <c r="AW23" i="67"/>
  <c r="AW24" i="67" s="1"/>
  <c r="AE61" i="67"/>
  <c r="AE56" i="12"/>
  <c r="BI61" i="67"/>
  <c r="BI56" i="12"/>
  <c r="BC23" i="67"/>
  <c r="BC24" i="67" s="1"/>
  <c r="AQ23" i="67"/>
  <c r="AQ24" i="67" s="1"/>
  <c r="BB56" i="12"/>
  <c r="BB61" i="67"/>
  <c r="BB58" i="12"/>
  <c r="F61" i="67"/>
  <c r="F56" i="12"/>
  <c r="M56" i="12"/>
  <c r="M61" i="67"/>
  <c r="AD56" i="12"/>
  <c r="AD61" i="67"/>
  <c r="Y61" i="11"/>
  <c r="X61" i="67"/>
  <c r="X56" i="12"/>
  <c r="AW51" i="67"/>
  <c r="AW89" i="12" s="1"/>
  <c r="AV89" i="12"/>
  <c r="S61" i="11"/>
  <c r="AV58" i="12"/>
  <c r="AV61" i="67"/>
  <c r="AV56" i="12"/>
  <c r="AQ51" i="67"/>
  <c r="AQ89" i="12" s="1"/>
  <c r="AP89" i="12"/>
  <c r="BH58" i="12"/>
  <c r="BH61" i="67"/>
  <c r="BH56" i="12"/>
  <c r="BO39" i="12"/>
  <c r="BO90" i="12" s="1"/>
  <c r="BS32" i="12"/>
  <c r="BL19" i="40"/>
  <c r="AN8" i="12"/>
  <c r="AO8" i="12" s="1"/>
  <c r="AP8" i="12" s="1"/>
  <c r="AS8" i="12"/>
  <c r="AQ41" i="40"/>
  <c r="BC142" i="12"/>
  <c r="BC143" i="12" s="1"/>
  <c r="BC144" i="12" s="1"/>
  <c r="BC138" i="12" s="1"/>
  <c r="AN63" i="40"/>
  <c r="AQ92" i="13"/>
  <c r="AK50" i="13"/>
  <c r="AZ85" i="13"/>
  <c r="M75" i="12"/>
  <c r="AZ91" i="13"/>
  <c r="AZ84" i="13"/>
  <c r="AZ83" i="13"/>
  <c r="AJ92" i="13"/>
  <c r="AZ82" i="13"/>
  <c r="AI92" i="13"/>
  <c r="AO92" i="13"/>
  <c r="BN18" i="40"/>
  <c r="BN30" i="40" s="1"/>
  <c r="BO11" i="40"/>
  <c r="AW81" i="13"/>
  <c r="AH91" i="12"/>
  <c r="AW40" i="13"/>
  <c r="V92" i="13"/>
  <c r="S77" i="12"/>
  <c r="Y79" i="11"/>
  <c r="Y74" i="11"/>
  <c r="Y78" i="11"/>
  <c r="S75" i="12"/>
  <c r="G10" i="12"/>
  <c r="G181" i="12" s="1"/>
  <c r="I55" i="11"/>
  <c r="U78" i="11"/>
  <c r="U79" i="11"/>
  <c r="U74" i="11"/>
  <c r="V70" i="11" s="1"/>
  <c r="Y77" i="12"/>
  <c r="Q74" i="11"/>
  <c r="R70" i="11" s="1"/>
  <c r="Q78" i="11"/>
  <c r="Q79" i="11"/>
  <c r="X78" i="12"/>
  <c r="X62" i="11"/>
  <c r="P92" i="13"/>
  <c r="U92" i="13"/>
  <c r="O92" i="13"/>
  <c r="AN91" i="12"/>
  <c r="BO17" i="40"/>
  <c r="BO29" i="40" s="1"/>
  <c r="AY61" i="40"/>
  <c r="AZ58" i="40"/>
  <c r="BI58" i="40"/>
  <c r="BE58" i="40"/>
  <c r="BC61" i="40"/>
  <c r="AT61" i="40"/>
  <c r="AU58" i="40"/>
  <c r="AO61" i="40"/>
  <c r="AP58" i="40"/>
  <c r="AP61" i="40" s="1"/>
  <c r="AW42" i="40"/>
  <c r="BC53" i="40"/>
  <c r="AW56" i="40"/>
  <c r="AW63" i="40" s="1"/>
  <c r="AW65" i="40" s="1"/>
  <c r="BO17" i="12"/>
  <c r="BQ17" i="12" s="1"/>
  <c r="AM44" i="40"/>
  <c r="AS43" i="40"/>
  <c r="AT46" i="40"/>
  <c r="CA48" i="40"/>
  <c r="BU51" i="40"/>
  <c r="BU54" i="40"/>
  <c r="BC46" i="40"/>
  <c r="AW43" i="40"/>
  <c r="AW41" i="40" s="1"/>
  <c r="AY46" i="40"/>
  <c r="AN43" i="40"/>
  <c r="AN41" i="40" s="1"/>
  <c r="AO46" i="40"/>
  <c r="BQ14" i="40"/>
  <c r="BK8" i="11"/>
  <c r="BF8" i="11"/>
  <c r="BG8" i="11" s="1"/>
  <c r="BH8" i="11" s="1"/>
  <c r="BQ155" i="12"/>
  <c r="BR31" i="12"/>
  <c r="BR173" i="12" s="1"/>
  <c r="BO20" i="12"/>
  <c r="BO149" i="12" s="1"/>
  <c r="BO14" i="12"/>
  <c r="BQ14" i="12" s="1"/>
  <c r="BG12" i="11"/>
  <c r="F91" i="12"/>
  <c r="AM73" i="40"/>
  <c r="U69" i="40"/>
  <c r="AI91" i="12"/>
  <c r="J91" i="12"/>
  <c r="AA91" i="12"/>
  <c r="V91" i="12"/>
  <c r="AW142" i="12"/>
  <c r="AW143" i="12" s="1"/>
  <c r="AW144" i="12" s="1"/>
  <c r="AW138" i="12" s="1"/>
  <c r="AK142" i="12"/>
  <c r="AK143" i="12" s="1"/>
  <c r="AK144" i="12" s="1"/>
  <c r="AK138" i="12" s="1"/>
  <c r="W91" i="12"/>
  <c r="BS21" i="12"/>
  <c r="BS26" i="12"/>
  <c r="AM120" i="12"/>
  <c r="AM121" i="12"/>
  <c r="AQ121" i="12" s="1"/>
  <c r="AQ122" i="12" s="1"/>
  <c r="Y72" i="12"/>
  <c r="AE142" i="12"/>
  <c r="AE143" i="12" s="1"/>
  <c r="AE144" i="12" s="1"/>
  <c r="AE138" i="12" s="1"/>
  <c r="AY73" i="40"/>
  <c r="Y142" i="12"/>
  <c r="Y143" i="12" s="1"/>
  <c r="Y144" i="12" s="1"/>
  <c r="Y138" i="12" s="1"/>
  <c r="AB91" i="12"/>
  <c r="BM48" i="67"/>
  <c r="BU28" i="12"/>
  <c r="BW28" i="12" s="1"/>
  <c r="BX28" i="12" s="1"/>
  <c r="BY28" i="12" s="1"/>
  <c r="BZ28" i="12" s="1"/>
  <c r="CA28" i="12" s="1"/>
  <c r="CC28" i="12" s="1"/>
  <c r="CD28" i="12" s="1"/>
  <c r="CE28" i="12" s="1"/>
  <c r="CF28" i="12" s="1"/>
  <c r="CG28" i="12" s="1"/>
  <c r="CI28" i="12" s="1"/>
  <c r="CJ28" i="12" s="1"/>
  <c r="CK28" i="12" s="1"/>
  <c r="CL28" i="12" s="1"/>
  <c r="CM28" i="12" s="1"/>
  <c r="AW34" i="13"/>
  <c r="AO56" i="40"/>
  <c r="AO42" i="40"/>
  <c r="AP53" i="40"/>
  <c r="BM88" i="13"/>
  <c r="AE106" i="12"/>
  <c r="AE102" i="12"/>
  <c r="AQ83" i="13"/>
  <c r="AW125" i="12"/>
  <c r="AS125" i="12"/>
  <c r="AS128" i="12" s="1"/>
  <c r="AW128" i="12" s="1"/>
  <c r="BF88" i="13"/>
  <c r="BC78" i="12"/>
  <c r="BC62" i="11"/>
  <c r="BB62" i="11"/>
  <c r="BB78" i="12"/>
  <c r="AV81" i="13"/>
  <c r="D62" i="12"/>
  <c r="D65" i="12"/>
  <c r="D22" i="12"/>
  <c r="AW36" i="13"/>
  <c r="S72" i="12"/>
  <c r="F55" i="11"/>
  <c r="E10" i="12"/>
  <c r="E181" i="12" s="1"/>
  <c r="AC69" i="40"/>
  <c r="AQ84" i="13"/>
  <c r="AS73" i="40"/>
  <c r="S142" i="12"/>
  <c r="S143" i="12" s="1"/>
  <c r="S144" i="12" s="1"/>
  <c r="S138" i="12" s="1"/>
  <c r="BB40" i="13"/>
  <c r="BW84" i="13"/>
  <c r="AJ91" i="12"/>
  <c r="O91" i="12"/>
  <c r="AW88" i="13"/>
  <c r="BK6" i="13"/>
  <c r="BF6" i="13"/>
  <c r="BG6" i="13" s="1"/>
  <c r="BH6" i="13" s="1"/>
  <c r="AW35" i="13"/>
  <c r="BS45" i="13"/>
  <c r="AW78" i="12" l="1"/>
  <c r="G62" i="11"/>
  <c r="M63" i="11"/>
  <c r="BO23" i="40"/>
  <c r="BO28" i="40" s="1"/>
  <c r="BQ11" i="40"/>
  <c r="BQ32" i="40" s="1"/>
  <c r="G56" i="12"/>
  <c r="E185" i="12"/>
  <c r="E184" i="12"/>
  <c r="G184" i="12"/>
  <c r="G185" i="12"/>
  <c r="AW62" i="11"/>
  <c r="G61" i="67"/>
  <c r="BC63" i="11"/>
  <c r="AE62" i="11"/>
  <c r="AE78" i="12"/>
  <c r="CA51" i="40"/>
  <c r="CG48" i="40"/>
  <c r="M62" i="11"/>
  <c r="M78" i="12"/>
  <c r="S63" i="11"/>
  <c r="BO27" i="67"/>
  <c r="BR10" i="40"/>
  <c r="Y63" i="11"/>
  <c r="AE63" i="11"/>
  <c r="AQ58" i="12"/>
  <c r="AQ61" i="67"/>
  <c r="AQ56" i="12"/>
  <c r="BC61" i="67"/>
  <c r="BC56" i="12"/>
  <c r="E48" i="12"/>
  <c r="D52" i="12"/>
  <c r="G48" i="12"/>
  <c r="AW58" i="12"/>
  <c r="AW61" i="67"/>
  <c r="AW56" i="12"/>
  <c r="BQ39" i="12"/>
  <c r="BT32" i="12"/>
  <c r="AY8" i="12"/>
  <c r="AT8" i="12"/>
  <c r="AU8" i="12" s="1"/>
  <c r="AV8" i="12" s="1"/>
  <c r="AO63" i="40"/>
  <c r="AK92" i="13"/>
  <c r="AE92" i="13"/>
  <c r="BC104" i="12"/>
  <c r="BC108" i="12" s="1"/>
  <c r="BI104" i="12" s="1"/>
  <c r="BR11" i="40"/>
  <c r="BS11" i="40" s="1"/>
  <c r="BT11" i="40" s="1"/>
  <c r="BU11" i="40" s="1"/>
  <c r="BM171" i="12"/>
  <c r="BM19" i="40"/>
  <c r="BO16" i="40"/>
  <c r="L91" i="12"/>
  <c r="Y62" i="11"/>
  <c r="Y78" i="12"/>
  <c r="G15" i="12"/>
  <c r="G63" i="12"/>
  <c r="G57" i="11"/>
  <c r="G47" i="12"/>
  <c r="G64" i="12"/>
  <c r="AA70" i="11"/>
  <c r="AE70" i="11"/>
  <c r="AE74" i="11" s="1"/>
  <c r="V79" i="11"/>
  <c r="V74" i="11"/>
  <c r="W70" i="11" s="1"/>
  <c r="V78" i="11"/>
  <c r="R74" i="11"/>
  <c r="R78" i="11"/>
  <c r="R79" i="11"/>
  <c r="I56" i="11"/>
  <c r="M55" i="11"/>
  <c r="S78" i="12"/>
  <c r="S62" i="11"/>
  <c r="X92" i="13"/>
  <c r="R92" i="13"/>
  <c r="AG91" i="12"/>
  <c r="AK91" i="12" s="1"/>
  <c r="BO24" i="12"/>
  <c r="BQ17" i="40"/>
  <c r="BR17" i="40" s="1"/>
  <c r="BS17" i="40" s="1"/>
  <c r="BT17" i="40" s="1"/>
  <c r="BU17" i="40" s="1"/>
  <c r="BF58" i="40"/>
  <c r="BE61" i="40"/>
  <c r="AZ61" i="40"/>
  <c r="BA58" i="40"/>
  <c r="AU61" i="40"/>
  <c r="AV58" i="40"/>
  <c r="AV61" i="40" s="1"/>
  <c r="BK58" i="40"/>
  <c r="BO58" i="40"/>
  <c r="BI61" i="40"/>
  <c r="BC56" i="40"/>
  <c r="BC63" i="40" s="1"/>
  <c r="BC65" i="40" s="1"/>
  <c r="BI53" i="40"/>
  <c r="BC42" i="40"/>
  <c r="BR17" i="12"/>
  <c r="AN44" i="40"/>
  <c r="BR14" i="40"/>
  <c r="CA54" i="40"/>
  <c r="CG54" i="40" s="1"/>
  <c r="AP46" i="40"/>
  <c r="AP43" i="40" s="1"/>
  <c r="AO43" i="40"/>
  <c r="AO41" i="40" s="1"/>
  <c r="AY43" i="40"/>
  <c r="AZ46" i="40"/>
  <c r="BI46" i="40"/>
  <c r="BC43" i="40"/>
  <c r="BE46" i="40"/>
  <c r="BE43" i="40" s="1"/>
  <c r="AT43" i="40"/>
  <c r="AU46" i="40"/>
  <c r="BQ8" i="11"/>
  <c r="BL8" i="11"/>
  <c r="BM8" i="11" s="1"/>
  <c r="BN8" i="11" s="1"/>
  <c r="BR14" i="12"/>
  <c r="BQ20" i="12"/>
  <c r="BS31" i="12"/>
  <c r="BS173" i="12" s="1"/>
  <c r="BR155" i="12"/>
  <c r="AO91" i="12"/>
  <c r="Q91" i="12"/>
  <c r="AM91" i="12"/>
  <c r="U91" i="12"/>
  <c r="AM74" i="40"/>
  <c r="AM76" i="40" s="1"/>
  <c r="AN68" i="40"/>
  <c r="AN73" i="40" s="1"/>
  <c r="AO68" i="40" s="1"/>
  <c r="AO73" i="40" s="1"/>
  <c r="AP68" i="40" s="1"/>
  <c r="I91" i="12"/>
  <c r="W92" i="13"/>
  <c r="Q92" i="13"/>
  <c r="K91" i="12"/>
  <c r="G91" i="12"/>
  <c r="G92" i="12" s="1"/>
  <c r="I86" i="12" s="1"/>
  <c r="BT21" i="12"/>
  <c r="AS117" i="12"/>
  <c r="AW117" i="12"/>
  <c r="BT26" i="12"/>
  <c r="BL45" i="13"/>
  <c r="X69" i="40"/>
  <c r="BS88" i="13"/>
  <c r="AW84" i="13"/>
  <c r="E91" i="12"/>
  <c r="BE36" i="13"/>
  <c r="BG36" i="13"/>
  <c r="AW129" i="12"/>
  <c r="BF34" i="13"/>
  <c r="BB81" i="13"/>
  <c r="BE33" i="13"/>
  <c r="BE47" i="13"/>
  <c r="AW85" i="13"/>
  <c r="BG33" i="13"/>
  <c r="BG47" i="13"/>
  <c r="AK97" i="12"/>
  <c r="AE110" i="12"/>
  <c r="BF47" i="13"/>
  <c r="BF35" i="13"/>
  <c r="BC40" i="13"/>
  <c r="AS74" i="40"/>
  <c r="AS76" i="40" s="1"/>
  <c r="AT68" i="40"/>
  <c r="BE34" i="13"/>
  <c r="BE48" i="13"/>
  <c r="E63" i="12"/>
  <c r="E15" i="12"/>
  <c r="E64" i="12"/>
  <c r="E57" i="11"/>
  <c r="E47" i="12"/>
  <c r="BG34" i="13"/>
  <c r="BG48" i="13"/>
  <c r="AP56" i="40"/>
  <c r="AP63" i="40" s="1"/>
  <c r="AP42" i="40"/>
  <c r="AS53" i="40"/>
  <c r="BN48" i="67"/>
  <c r="BO66" i="11"/>
  <c r="BF48" i="13"/>
  <c r="BF36" i="13"/>
  <c r="P91" i="12"/>
  <c r="BQ6" i="13"/>
  <c r="BL6" i="13"/>
  <c r="BM6" i="13" s="1"/>
  <c r="BN6" i="13" s="1"/>
  <c r="BE35" i="13"/>
  <c r="AC91" i="12"/>
  <c r="F56" i="11"/>
  <c r="F10" i="12" s="1"/>
  <c r="F181" i="12" s="1"/>
  <c r="D43" i="12"/>
  <c r="BG35" i="13"/>
  <c r="BK45" i="13"/>
  <c r="AW83" i="13"/>
  <c r="BF33" i="13"/>
  <c r="AZ68" i="40"/>
  <c r="AY74" i="40"/>
  <c r="AY76" i="40" s="1"/>
  <c r="AD69" i="40"/>
  <c r="BR16" i="40" l="1"/>
  <c r="BR18" i="40" s="1"/>
  <c r="BQ16" i="40"/>
  <c r="BO48" i="67"/>
  <c r="BO89" i="11"/>
  <c r="BO33" i="40"/>
  <c r="E187" i="12"/>
  <c r="F184" i="12"/>
  <c r="F187" i="12" s="1"/>
  <c r="F185" i="12"/>
  <c r="F188" i="12" s="1"/>
  <c r="F53" i="12" s="1"/>
  <c r="E188" i="12"/>
  <c r="E53" i="12" s="1"/>
  <c r="E58" i="12"/>
  <c r="G58" i="12"/>
  <c r="CM48" i="40"/>
  <c r="CM51" i="40" s="1"/>
  <c r="CG51" i="40"/>
  <c r="CM54" i="40"/>
  <c r="BO18" i="40"/>
  <c r="BO30" i="40" s="1"/>
  <c r="F19" i="69"/>
  <c r="C97" i="69" s="1"/>
  <c r="BR32" i="40"/>
  <c r="BR27" i="67" s="1"/>
  <c r="BR33" i="40" s="1"/>
  <c r="BS10" i="40"/>
  <c r="F48" i="12"/>
  <c r="BR6" i="13"/>
  <c r="BS6" i="13" s="1"/>
  <c r="BT6" i="13" s="1"/>
  <c r="BW6" i="13"/>
  <c r="BR39" i="12"/>
  <c r="BQ90" i="12"/>
  <c r="BY45" i="13"/>
  <c r="BU32" i="12"/>
  <c r="BW32" i="12" s="1"/>
  <c r="BX32" i="12" s="1"/>
  <c r="BY32" i="12" s="1"/>
  <c r="BZ32" i="12" s="1"/>
  <c r="CA32" i="12" s="1"/>
  <c r="CC32" i="12" s="1"/>
  <c r="CD32" i="12" s="1"/>
  <c r="CE32" i="12" s="1"/>
  <c r="CF32" i="12" s="1"/>
  <c r="CG32" i="12" s="1"/>
  <c r="CI32" i="12" s="1"/>
  <c r="CJ32" i="12" s="1"/>
  <c r="CK32" i="12" s="1"/>
  <c r="CL32" i="12" s="1"/>
  <c r="CM32" i="12" s="1"/>
  <c r="BE8" i="12"/>
  <c r="AZ8" i="12"/>
  <c r="BA8" i="12" s="1"/>
  <c r="BB8" i="12" s="1"/>
  <c r="BQ18" i="40"/>
  <c r="BC41" i="40"/>
  <c r="BO30" i="12"/>
  <c r="BO46" i="12" s="1"/>
  <c r="BN171" i="12"/>
  <c r="BN19" i="40"/>
  <c r="S92" i="13"/>
  <c r="BW11" i="40"/>
  <c r="BX11" i="40" s="1"/>
  <c r="BY11" i="40" s="1"/>
  <c r="BZ11" i="40" s="1"/>
  <c r="CA11" i="40" s="1"/>
  <c r="BU23" i="40"/>
  <c r="Y92" i="13"/>
  <c r="J55" i="11"/>
  <c r="I10" i="12"/>
  <c r="I181" i="12" s="1"/>
  <c r="G22" i="12"/>
  <c r="G65" i="12"/>
  <c r="G62" i="12"/>
  <c r="AG70" i="11"/>
  <c r="AK70" i="11"/>
  <c r="AA78" i="11"/>
  <c r="AA74" i="11"/>
  <c r="AB70" i="11" s="1"/>
  <c r="AA79" i="11"/>
  <c r="M56" i="11"/>
  <c r="W74" i="11"/>
  <c r="X70" i="11" s="1"/>
  <c r="W78" i="11"/>
  <c r="W79" i="11"/>
  <c r="BQ24" i="12"/>
  <c r="BQ29" i="40"/>
  <c r="BO61" i="40"/>
  <c r="BU58" i="40"/>
  <c r="BQ58" i="40"/>
  <c r="BB58" i="40"/>
  <c r="BB61" i="40" s="1"/>
  <c r="BA61" i="40"/>
  <c r="BK61" i="40"/>
  <c r="BL58" i="40"/>
  <c r="BF61" i="40"/>
  <c r="BG58" i="40"/>
  <c r="AN74" i="40"/>
  <c r="AN76" i="40" s="1"/>
  <c r="BO53" i="40"/>
  <c r="BI56" i="40"/>
  <c r="BI63" i="40" s="1"/>
  <c r="BI65" i="40" s="1"/>
  <c r="BI42" i="40"/>
  <c r="BS17" i="12"/>
  <c r="AO44" i="40"/>
  <c r="AV46" i="40"/>
  <c r="AV43" i="40" s="1"/>
  <c r="AU43" i="40"/>
  <c r="BI43" i="40"/>
  <c r="BO46" i="40"/>
  <c r="BS14" i="40"/>
  <c r="AP41" i="40"/>
  <c r="AP44" i="40" s="1"/>
  <c r="BA46" i="40"/>
  <c r="AZ43" i="40"/>
  <c r="BW8" i="11"/>
  <c r="BR8" i="11"/>
  <c r="BS8" i="11" s="1"/>
  <c r="BT8" i="11" s="1"/>
  <c r="BT31" i="12"/>
  <c r="BT173" i="12" s="1"/>
  <c r="BS155" i="12"/>
  <c r="BS14" i="12"/>
  <c r="BR20" i="12"/>
  <c r="BQ149" i="12"/>
  <c r="M86" i="12"/>
  <c r="I92" i="12"/>
  <c r="I93" i="12" s="1"/>
  <c r="G93" i="12"/>
  <c r="M91" i="12"/>
  <c r="BU11" i="11"/>
  <c r="BU21" i="12"/>
  <c r="BW21" i="12" s="1"/>
  <c r="BX21" i="12" s="1"/>
  <c r="BY21" i="12" s="1"/>
  <c r="BZ21" i="12" s="1"/>
  <c r="CA21" i="12" s="1"/>
  <c r="CC21" i="12" s="1"/>
  <c r="CD21" i="12" s="1"/>
  <c r="CE21" i="12" s="1"/>
  <c r="CF21" i="12" s="1"/>
  <c r="CG21" i="12" s="1"/>
  <c r="CI21" i="12" s="1"/>
  <c r="CJ21" i="12" s="1"/>
  <c r="CK21" i="12" s="1"/>
  <c r="CL21" i="12" s="1"/>
  <c r="CM21" i="12" s="1"/>
  <c r="BU26" i="12"/>
  <c r="BW26" i="12" s="1"/>
  <c r="BX26" i="12" s="1"/>
  <c r="BY26" i="12" s="1"/>
  <c r="BZ26" i="12" s="1"/>
  <c r="CA26" i="12" s="1"/>
  <c r="CC26" i="12" s="1"/>
  <c r="CD26" i="12" s="1"/>
  <c r="CE26" i="12" s="1"/>
  <c r="CF26" i="12" s="1"/>
  <c r="CG26" i="12" s="1"/>
  <c r="CI26" i="12" s="1"/>
  <c r="CJ26" i="12" s="1"/>
  <c r="CK26" i="12" s="1"/>
  <c r="CL26" i="12" s="1"/>
  <c r="CM26" i="12" s="1"/>
  <c r="AW120" i="12"/>
  <c r="AS121" i="12"/>
  <c r="AW121" i="12" s="1"/>
  <c r="AW122" i="12" s="1"/>
  <c r="AS120" i="12"/>
  <c r="AZ73" i="40"/>
  <c r="BA68" i="40" s="1"/>
  <c r="BF82" i="13"/>
  <c r="F15" i="12"/>
  <c r="F47" i="12"/>
  <c r="F63" i="12"/>
  <c r="F57" i="11"/>
  <c r="F64" i="12"/>
  <c r="BE84" i="13"/>
  <c r="AT53" i="40"/>
  <c r="AS42" i="40"/>
  <c r="AS41" i="40" s="1"/>
  <c r="AS56" i="40"/>
  <c r="AS63" i="40" s="1"/>
  <c r="BG91" i="13"/>
  <c r="BE83" i="13"/>
  <c r="AP73" i="40"/>
  <c r="AP74" i="40" s="1"/>
  <c r="AP76" i="40" s="1"/>
  <c r="BG82" i="13"/>
  <c r="BF83" i="13"/>
  <c r="BK88" i="13"/>
  <c r="BQ48" i="67"/>
  <c r="BG83" i="13"/>
  <c r="R91" i="12"/>
  <c r="BE104" i="12"/>
  <c r="BE107" i="12" s="1"/>
  <c r="BI107" i="12" s="1"/>
  <c r="BI108" i="12" s="1"/>
  <c r="E62" i="12"/>
  <c r="E65" i="12"/>
  <c r="E22" i="12"/>
  <c r="AO74" i="40"/>
  <c r="AO76" i="40" s="1"/>
  <c r="AD91" i="12"/>
  <c r="BG84" i="13"/>
  <c r="C91" i="12"/>
  <c r="C92" i="12" s="1"/>
  <c r="BF91" i="13"/>
  <c r="BQ45" i="13"/>
  <c r="BC81" i="13"/>
  <c r="BF84" i="13"/>
  <c r="BC125" i="12"/>
  <c r="AY125" i="12"/>
  <c r="AY128" i="12" s="1"/>
  <c r="BC128" i="12" s="1"/>
  <c r="BZ84" i="13"/>
  <c r="BF85" i="13"/>
  <c r="BE91" i="13"/>
  <c r="AT73" i="40"/>
  <c r="AU68" i="40" s="1"/>
  <c r="AK102" i="12"/>
  <c r="AK106" i="12"/>
  <c r="BE82" i="13"/>
  <c r="BG85" i="13"/>
  <c r="BE85" i="13"/>
  <c r="X91" i="12"/>
  <c r="BL88" i="13"/>
  <c r="BS16" i="40" l="1"/>
  <c r="BS18" i="40" s="1"/>
  <c r="BO90" i="11"/>
  <c r="BO87" i="11"/>
  <c r="BK104" i="12"/>
  <c r="BK107" i="12" s="1"/>
  <c r="BO104" i="12"/>
  <c r="G188" i="12"/>
  <c r="G187" i="12"/>
  <c r="I184" i="12"/>
  <c r="I185" i="12"/>
  <c r="BX8" i="11"/>
  <c r="BY8" i="11" s="1"/>
  <c r="BZ8" i="11" s="1"/>
  <c r="CC8" i="11"/>
  <c r="F58" i="12"/>
  <c r="CA23" i="40"/>
  <c r="CC11" i="40"/>
  <c r="CD11" i="40" s="1"/>
  <c r="CE11" i="40" s="1"/>
  <c r="CF11" i="40" s="1"/>
  <c r="CG11" i="40" s="1"/>
  <c r="BX6" i="13"/>
  <c r="BY6" i="13" s="1"/>
  <c r="BZ6" i="13" s="1"/>
  <c r="CC6" i="13"/>
  <c r="AS44" i="40"/>
  <c r="BS32" i="40"/>
  <c r="BS27" i="67" s="1"/>
  <c r="BS33" i="40" s="1"/>
  <c r="BT10" i="40"/>
  <c r="BQ27" i="67"/>
  <c r="BO19" i="40"/>
  <c r="I48" i="12"/>
  <c r="E52" i="12"/>
  <c r="BZ45" i="13"/>
  <c r="BS39" i="12"/>
  <c r="BR90" i="12"/>
  <c r="BW45" i="13"/>
  <c r="BY88" i="13"/>
  <c r="BO171" i="12"/>
  <c r="BF8" i="12"/>
  <c r="BG8" i="12" s="1"/>
  <c r="BH8" i="12" s="1"/>
  <c r="BK8" i="12"/>
  <c r="AQ44" i="40"/>
  <c r="BR30" i="40"/>
  <c r="J86" i="12"/>
  <c r="J92" i="12" s="1"/>
  <c r="K86" i="12" s="1"/>
  <c r="K92" i="12" s="1"/>
  <c r="X74" i="11"/>
  <c r="X78" i="11"/>
  <c r="X79" i="11"/>
  <c r="AG73" i="11"/>
  <c r="AH73" i="11" s="1"/>
  <c r="AG72" i="11"/>
  <c r="G43" i="12"/>
  <c r="AB74" i="11"/>
  <c r="AC70" i="11" s="1"/>
  <c r="AB79" i="11"/>
  <c r="AB78" i="11"/>
  <c r="I15" i="12"/>
  <c r="I47" i="12"/>
  <c r="I64" i="12"/>
  <c r="I63" i="12"/>
  <c r="I57" i="11"/>
  <c r="O55" i="11"/>
  <c r="M10" i="12"/>
  <c r="M181" i="12" s="1"/>
  <c r="J56" i="11"/>
  <c r="BQ30" i="40"/>
  <c r="BQ30" i="12"/>
  <c r="BR29" i="40"/>
  <c r="BR24" i="12"/>
  <c r="BI41" i="40"/>
  <c r="CA58" i="40"/>
  <c r="BW58" i="40"/>
  <c r="BU61" i="40"/>
  <c r="BG61" i="40"/>
  <c r="BH58" i="40"/>
  <c r="BH61" i="40" s="1"/>
  <c r="BM58" i="40"/>
  <c r="BL61" i="40"/>
  <c r="BQ61" i="40"/>
  <c r="BR58" i="40"/>
  <c r="BU53" i="40"/>
  <c r="BO56" i="40"/>
  <c r="BO63" i="40" s="1"/>
  <c r="BO42" i="40"/>
  <c r="BT17" i="12"/>
  <c r="BB46" i="40"/>
  <c r="BB43" i="40" s="1"/>
  <c r="BA43" i="40"/>
  <c r="BT14" i="40"/>
  <c r="BO43" i="40"/>
  <c r="BU46" i="40"/>
  <c r="BS20" i="12"/>
  <c r="BR149" i="12"/>
  <c r="BT14" i="12"/>
  <c r="BT155" i="12"/>
  <c r="BU31" i="12"/>
  <c r="BU173" i="12" s="1"/>
  <c r="AP91" i="12"/>
  <c r="AQ91" i="12" s="1"/>
  <c r="BU10" i="11"/>
  <c r="M92" i="12"/>
  <c r="AY117" i="12"/>
  <c r="BC117" i="12"/>
  <c r="AT74" i="40"/>
  <c r="AT76" i="40" s="1"/>
  <c r="BQ87" i="11"/>
  <c r="BQ90" i="11"/>
  <c r="BR45" i="13"/>
  <c r="BC129" i="12"/>
  <c r="BI125" i="12" s="1"/>
  <c r="AQ97" i="12"/>
  <c r="AK110" i="12"/>
  <c r="BT84" i="13"/>
  <c r="C93" i="12"/>
  <c r="D86" i="12"/>
  <c r="D92" i="12" s="1"/>
  <c r="AQ76" i="40"/>
  <c r="BR89" i="11"/>
  <c r="BR48" i="67" s="1"/>
  <c r="Y91" i="12"/>
  <c r="AT42" i="40"/>
  <c r="AT41" i="40" s="1"/>
  <c r="AT44" i="40" s="1"/>
  <c r="AT56" i="40"/>
  <c r="AT63" i="40" s="1"/>
  <c r="AU53" i="40"/>
  <c r="BA73" i="40"/>
  <c r="BB68" i="40" s="1"/>
  <c r="AU73" i="40"/>
  <c r="AV68" i="40" s="1"/>
  <c r="S91" i="12"/>
  <c r="BQ88" i="13"/>
  <c r="E43" i="12"/>
  <c r="AE91" i="12"/>
  <c r="F62" i="12"/>
  <c r="F65" i="12"/>
  <c r="F22" i="12"/>
  <c r="AZ74" i="40"/>
  <c r="AZ76" i="40" s="1"/>
  <c r="BT16" i="40" l="1"/>
  <c r="BT18" i="40" s="1"/>
  <c r="M185" i="12"/>
  <c r="M184" i="12"/>
  <c r="I188" i="12"/>
  <c r="I53" i="12" s="1"/>
  <c r="I187" i="12"/>
  <c r="CD8" i="11"/>
  <c r="CE8" i="11" s="1"/>
  <c r="CF8" i="11" s="1"/>
  <c r="CI8" i="11"/>
  <c r="CJ8" i="11" s="1"/>
  <c r="CK8" i="11" s="1"/>
  <c r="CL8" i="11" s="1"/>
  <c r="I58" i="12"/>
  <c r="CA61" i="40"/>
  <c r="CG58" i="40"/>
  <c r="CC58" i="40"/>
  <c r="CG23" i="40"/>
  <c r="CI11" i="40"/>
  <c r="CJ11" i="40" s="1"/>
  <c r="CK11" i="40" s="1"/>
  <c r="CL11" i="40" s="1"/>
  <c r="CM11" i="40" s="1"/>
  <c r="CM23" i="40" s="1"/>
  <c r="CD6" i="13"/>
  <c r="CE6" i="13" s="1"/>
  <c r="CF6" i="13" s="1"/>
  <c r="CI6" i="13"/>
  <c r="CJ6" i="13" s="1"/>
  <c r="CK6" i="13" s="1"/>
  <c r="CL6" i="13" s="1"/>
  <c r="BQ33" i="40"/>
  <c r="BT32" i="40"/>
  <c r="BU10" i="40"/>
  <c r="M48" i="12"/>
  <c r="F52" i="12"/>
  <c r="BW88" i="13"/>
  <c r="BS90" i="12"/>
  <c r="BT39" i="12"/>
  <c r="BX45" i="13"/>
  <c r="BR30" i="12"/>
  <c r="BL8" i="12"/>
  <c r="BM8" i="12" s="1"/>
  <c r="BN8" i="12" s="1"/>
  <c r="BQ8" i="12"/>
  <c r="BS30" i="12"/>
  <c r="J93" i="12"/>
  <c r="M57" i="11"/>
  <c r="M15" i="12"/>
  <c r="M47" i="12"/>
  <c r="M64" i="12"/>
  <c r="M63" i="12"/>
  <c r="S55" i="11"/>
  <c r="O56" i="11"/>
  <c r="AC78" i="11"/>
  <c r="AC74" i="11"/>
  <c r="AD70" i="11" s="1"/>
  <c r="AC79" i="11"/>
  <c r="I62" i="12"/>
  <c r="I22" i="12"/>
  <c r="I65" i="12"/>
  <c r="AG74" i="11"/>
  <c r="AH70" i="11" s="1"/>
  <c r="AH79" i="11" s="1"/>
  <c r="AH72" i="11"/>
  <c r="AG82" i="11"/>
  <c r="K55" i="11"/>
  <c r="J10" i="12"/>
  <c r="J181" i="12" s="1"/>
  <c r="AI73" i="11"/>
  <c r="BO41" i="40"/>
  <c r="BS24" i="12"/>
  <c r="BS19" i="40" s="1"/>
  <c r="BS29" i="40"/>
  <c r="BQ46" i="12"/>
  <c r="BQ171" i="12" s="1"/>
  <c r="BQ19" i="40"/>
  <c r="BR61" i="40"/>
  <c r="BS58" i="40"/>
  <c r="BM61" i="40"/>
  <c r="BN58" i="40"/>
  <c r="BN61" i="40" s="1"/>
  <c r="BX58" i="40"/>
  <c r="BW61" i="40"/>
  <c r="BU42" i="40"/>
  <c r="CA53" i="40"/>
  <c r="CG53" i="40" s="1"/>
  <c r="BU56" i="40"/>
  <c r="BU63" i="40" s="1"/>
  <c r="BU17" i="12"/>
  <c r="BW17" i="12" s="1"/>
  <c r="BX17" i="12" s="1"/>
  <c r="BY17" i="12" s="1"/>
  <c r="BZ17" i="12" s="1"/>
  <c r="CA17" i="12" s="1"/>
  <c r="CC17" i="12" s="1"/>
  <c r="CD17" i="12" s="1"/>
  <c r="CE17" i="12" s="1"/>
  <c r="CF17" i="12" s="1"/>
  <c r="CG17" i="12" s="1"/>
  <c r="CI17" i="12" s="1"/>
  <c r="CJ17" i="12" s="1"/>
  <c r="CK17" i="12" s="1"/>
  <c r="CL17" i="12" s="1"/>
  <c r="CM17" i="12" s="1"/>
  <c r="CA46" i="40"/>
  <c r="BU43" i="40"/>
  <c r="BU14" i="40"/>
  <c r="BU14" i="12"/>
  <c r="BW14" i="12" s="1"/>
  <c r="BX14" i="12" s="1"/>
  <c r="BY14" i="12" s="1"/>
  <c r="BZ14" i="12" s="1"/>
  <c r="CA14" i="12" s="1"/>
  <c r="CC14" i="12" s="1"/>
  <c r="CD14" i="12" s="1"/>
  <c r="CE14" i="12" s="1"/>
  <c r="CF14" i="12" s="1"/>
  <c r="CG14" i="12" s="1"/>
  <c r="CI14" i="12" s="1"/>
  <c r="CJ14" i="12" s="1"/>
  <c r="CK14" i="12" s="1"/>
  <c r="CL14" i="12" s="1"/>
  <c r="CM14" i="12" s="1"/>
  <c r="BS149" i="12"/>
  <c r="BT20" i="12"/>
  <c r="BW31" i="12"/>
  <c r="BW173" i="12" s="1"/>
  <c r="BU155" i="12"/>
  <c r="AT91" i="12"/>
  <c r="AS91" i="12"/>
  <c r="O86" i="12"/>
  <c r="O92" i="12" s="1"/>
  <c r="M93" i="12"/>
  <c r="S86" i="12"/>
  <c r="S92" i="12" s="1"/>
  <c r="BI44" i="11"/>
  <c r="AU74" i="40"/>
  <c r="AU76" i="40" s="1"/>
  <c r="BO70" i="11"/>
  <c r="BC120" i="12"/>
  <c r="AY121" i="12"/>
  <c r="BC121" i="12" s="1"/>
  <c r="BC122" i="12" s="1"/>
  <c r="AY120" i="12"/>
  <c r="BB73" i="40"/>
  <c r="BB74" i="40" s="1"/>
  <c r="BB76" i="40" s="1"/>
  <c r="BS89" i="11"/>
  <c r="BS48" i="67" s="1"/>
  <c r="F43" i="12"/>
  <c r="E86" i="12"/>
  <c r="E92" i="12" s="1"/>
  <c r="D93" i="12"/>
  <c r="AQ102" i="12"/>
  <c r="AQ106" i="12"/>
  <c r="AV73" i="40"/>
  <c r="AV74" i="40" s="1"/>
  <c r="AV76" i="40" s="1"/>
  <c r="BE125" i="12"/>
  <c r="BE128" i="12" s="1"/>
  <c r="BI128" i="12" s="1"/>
  <c r="BI129" i="12" s="1"/>
  <c r="BR88" i="13"/>
  <c r="BA74" i="40"/>
  <c r="BA76" i="40" s="1"/>
  <c r="AV53" i="40"/>
  <c r="AU42" i="40"/>
  <c r="AU41" i="40" s="1"/>
  <c r="AU56" i="40"/>
  <c r="AU63" i="40" s="1"/>
  <c r="BR87" i="11"/>
  <c r="BR90" i="11"/>
  <c r="L86" i="12"/>
  <c r="L92" i="12" s="1"/>
  <c r="L93" i="12" s="1"/>
  <c r="K93" i="12"/>
  <c r="BU16" i="40" l="1"/>
  <c r="BU18" i="40" s="1"/>
  <c r="BK125" i="12"/>
  <c r="BK128" i="12" s="1"/>
  <c r="BO128" i="12" s="1"/>
  <c r="BO125" i="12"/>
  <c r="BR19" i="40"/>
  <c r="J185" i="12"/>
  <c r="J184" i="12"/>
  <c r="BS30" i="40"/>
  <c r="M58" i="12"/>
  <c r="CA43" i="40"/>
  <c r="CG46" i="40"/>
  <c r="CG42" i="40"/>
  <c r="CM53" i="40"/>
  <c r="CM56" i="40" s="1"/>
  <c r="CG56" i="40"/>
  <c r="CM58" i="40"/>
  <c r="CI58" i="40"/>
  <c r="CG61" i="40"/>
  <c r="CC61" i="40"/>
  <c r="CD58" i="40"/>
  <c r="BU22" i="40"/>
  <c r="BW10" i="40"/>
  <c r="BT27" i="67"/>
  <c r="BU32" i="40"/>
  <c r="I52" i="12"/>
  <c r="J48" i="12"/>
  <c r="BX88" i="13"/>
  <c r="BZ88" i="13"/>
  <c r="BT90" i="12"/>
  <c r="BU39" i="12"/>
  <c r="BR46" i="12"/>
  <c r="BR171" i="12" s="1"/>
  <c r="BW8" i="12"/>
  <c r="BR8" i="12"/>
  <c r="BS8" i="12" s="1"/>
  <c r="BT8" i="12" s="1"/>
  <c r="BT30" i="40"/>
  <c r="BS46" i="12"/>
  <c r="BS171" i="12" s="1"/>
  <c r="AI72" i="11"/>
  <c r="AH78" i="11"/>
  <c r="M65" i="12"/>
  <c r="M22" i="12"/>
  <c r="M62" i="12"/>
  <c r="K56" i="11"/>
  <c r="AH74" i="11"/>
  <c r="AI70" i="11" s="1"/>
  <c r="I43" i="12"/>
  <c r="AD79" i="11"/>
  <c r="AD78" i="11"/>
  <c r="AD74" i="11"/>
  <c r="J63" i="12"/>
  <c r="J57" i="11"/>
  <c r="J47" i="12"/>
  <c r="J64" i="12"/>
  <c r="J15" i="12"/>
  <c r="O10" i="12"/>
  <c r="O181" i="12" s="1"/>
  <c r="P55" i="11"/>
  <c r="S56" i="11"/>
  <c r="BT24" i="12"/>
  <c r="BT29" i="40"/>
  <c r="BT58" i="40"/>
  <c r="BT61" i="40" s="1"/>
  <c r="BS61" i="40"/>
  <c r="BY58" i="40"/>
  <c r="BX61" i="40"/>
  <c r="BU41" i="40"/>
  <c r="CA42" i="40"/>
  <c r="CA56" i="40"/>
  <c r="CA63" i="40" s="1"/>
  <c r="BU26" i="40"/>
  <c r="BW14" i="40"/>
  <c r="BX31" i="12"/>
  <c r="BX173" i="12" s="1"/>
  <c r="BW155" i="12"/>
  <c r="BT149" i="12"/>
  <c r="BU20" i="12"/>
  <c r="BC76" i="40"/>
  <c r="AW76" i="40"/>
  <c r="O93" i="12"/>
  <c r="P86" i="12"/>
  <c r="P92" i="12" s="1"/>
  <c r="BE117" i="12"/>
  <c r="BI117" i="12"/>
  <c r="BI120" i="12" s="1"/>
  <c r="AW97" i="12"/>
  <c r="AS97" i="12"/>
  <c r="AQ110" i="12"/>
  <c r="E93" i="12"/>
  <c r="F86" i="12"/>
  <c r="F92" i="12" s="1"/>
  <c r="F93" i="12" s="1"/>
  <c r="AU44" i="40"/>
  <c r="BT89" i="11"/>
  <c r="BT48" i="67" s="1"/>
  <c r="BU66" i="11"/>
  <c r="BU89" i="11" s="1"/>
  <c r="BU48" i="67" s="1"/>
  <c r="AV56" i="40"/>
  <c r="AV63" i="40" s="1"/>
  <c r="AV42" i="40"/>
  <c r="AV41" i="40" s="1"/>
  <c r="AV44" i="40" s="1"/>
  <c r="AY53" i="40"/>
  <c r="BS87" i="11"/>
  <c r="BS90" i="11"/>
  <c r="S93" i="12"/>
  <c r="Y86" i="12"/>
  <c r="Y92" i="12" s="1"/>
  <c r="U86" i="12"/>
  <c r="U92" i="12" s="1"/>
  <c r="BW16" i="40" l="1"/>
  <c r="BU28" i="40"/>
  <c r="BO129" i="12"/>
  <c r="O184" i="12"/>
  <c r="O185" i="12"/>
  <c r="J187" i="12"/>
  <c r="J188" i="12"/>
  <c r="J53" i="12" s="1"/>
  <c r="BX8" i="12"/>
  <c r="BY8" i="12" s="1"/>
  <c r="BZ8" i="12" s="1"/>
  <c r="CC8" i="12"/>
  <c r="CA41" i="40"/>
  <c r="CG63" i="40"/>
  <c r="J58" i="12"/>
  <c r="CD61" i="40"/>
  <c r="CE58" i="40"/>
  <c r="CM42" i="40"/>
  <c r="CM61" i="40"/>
  <c r="CM63" i="40" s="1"/>
  <c r="CG43" i="40"/>
  <c r="CG41" i="40" s="1"/>
  <c r="CM46" i="40"/>
  <c r="CM43" i="40" s="1"/>
  <c r="CJ58" i="40"/>
  <c r="CI61" i="40"/>
  <c r="BW32" i="40"/>
  <c r="BX10" i="40"/>
  <c r="BT33" i="40"/>
  <c r="BU27" i="67"/>
  <c r="M52" i="12"/>
  <c r="O48" i="12"/>
  <c r="BU90" i="12"/>
  <c r="BW39" i="12"/>
  <c r="BH72" i="12"/>
  <c r="BT30" i="12"/>
  <c r="BT19" i="40" s="1"/>
  <c r="BL46" i="13"/>
  <c r="K10" i="12"/>
  <c r="K181" i="12" s="1"/>
  <c r="L55" i="11"/>
  <c r="P56" i="11"/>
  <c r="J62" i="12"/>
  <c r="J65" i="12"/>
  <c r="J22" i="12"/>
  <c r="AI79" i="11"/>
  <c r="AI74" i="11"/>
  <c r="AJ70" i="11" s="1"/>
  <c r="AJ72" i="11" s="1"/>
  <c r="U55" i="11"/>
  <c r="S10" i="12"/>
  <c r="S181" i="12" s="1"/>
  <c r="O15" i="12"/>
  <c r="O64" i="12"/>
  <c r="O63" i="12"/>
  <c r="O47" i="12"/>
  <c r="O57" i="11"/>
  <c r="M43" i="12"/>
  <c r="AI78" i="11"/>
  <c r="BU30" i="40"/>
  <c r="BU24" i="12"/>
  <c r="BU29" i="40"/>
  <c r="BW17" i="40"/>
  <c r="BY61" i="40"/>
  <c r="BZ58" i="40"/>
  <c r="BZ61" i="40" s="1"/>
  <c r="BX14" i="40"/>
  <c r="BU149" i="12"/>
  <c r="BW20" i="12"/>
  <c r="BY31" i="12"/>
  <c r="BY173" i="12" s="1"/>
  <c r="BX155" i="12"/>
  <c r="AU91" i="12"/>
  <c r="AV91" i="12"/>
  <c r="P93" i="12"/>
  <c r="Q86" i="12"/>
  <c r="Q92" i="12" s="1"/>
  <c r="CA11" i="11"/>
  <c r="BL70" i="11"/>
  <c r="BE121" i="12"/>
  <c r="BI121" i="12" s="1"/>
  <c r="BI122" i="12" s="1"/>
  <c r="BE120" i="12"/>
  <c r="BW89" i="11"/>
  <c r="BW48" i="67" s="1"/>
  <c r="BI11" i="12"/>
  <c r="BH145" i="12"/>
  <c r="U93" i="12"/>
  <c r="V86" i="12"/>
  <c r="V92" i="12" s="1"/>
  <c r="AY56" i="40"/>
  <c r="AY63" i="40" s="1"/>
  <c r="AZ53" i="40"/>
  <c r="AY42" i="40"/>
  <c r="AY41" i="40" s="1"/>
  <c r="AY44" i="40" s="1"/>
  <c r="BU90" i="11"/>
  <c r="BU87" i="11"/>
  <c r="BH159" i="12"/>
  <c r="AS106" i="12"/>
  <c r="AS101" i="12"/>
  <c r="AW101" i="12" s="1"/>
  <c r="AW102" i="12" s="1"/>
  <c r="AA86" i="12"/>
  <c r="AA92" i="12" s="1"/>
  <c r="Y93" i="12"/>
  <c r="AE86" i="12"/>
  <c r="AE92" i="12" s="1"/>
  <c r="BT87" i="11"/>
  <c r="BT90" i="11"/>
  <c r="BI13" i="12"/>
  <c r="BI81" i="12" s="1"/>
  <c r="BH147" i="12"/>
  <c r="BI18" i="11"/>
  <c r="AW106" i="12"/>
  <c r="BX16" i="40" l="1"/>
  <c r="BK117" i="12"/>
  <c r="BK120" i="12" s="1"/>
  <c r="BO117" i="12"/>
  <c r="BO120" i="12" s="1"/>
  <c r="BU33" i="40"/>
  <c r="O188" i="12"/>
  <c r="O53" i="12" s="1"/>
  <c r="S185" i="12"/>
  <c r="S184" i="12"/>
  <c r="K185" i="12"/>
  <c r="K184" i="12"/>
  <c r="O187" i="12"/>
  <c r="BK121" i="12"/>
  <c r="BO121" i="12" s="1"/>
  <c r="BO122" i="12" s="1"/>
  <c r="CI8" i="12"/>
  <c r="CJ8" i="12" s="1"/>
  <c r="CK8" i="12" s="1"/>
  <c r="CL8" i="12" s="1"/>
  <c r="CD8" i="12"/>
  <c r="CE8" i="12" s="1"/>
  <c r="CF8" i="12" s="1"/>
  <c r="O58" i="12"/>
  <c r="CK58" i="40"/>
  <c r="CJ61" i="40"/>
  <c r="CE61" i="40"/>
  <c r="CF58" i="40"/>
  <c r="CF61" i="40" s="1"/>
  <c r="CM41" i="40"/>
  <c r="BX32" i="40"/>
  <c r="BX27" i="67" s="1"/>
  <c r="BX33" i="40" s="1"/>
  <c r="BY10" i="40"/>
  <c r="BW27" i="67"/>
  <c r="BI69" i="12"/>
  <c r="S48" i="12"/>
  <c r="J52" i="12"/>
  <c r="K48" i="12"/>
  <c r="BX39" i="12"/>
  <c r="BW90" i="12"/>
  <c r="BN45" i="13"/>
  <c r="BT45" i="13"/>
  <c r="BL44" i="13"/>
  <c r="BU30" i="12"/>
  <c r="BU19" i="40" s="1"/>
  <c r="BT46" i="12"/>
  <c r="BT171" i="12" s="1"/>
  <c r="BL34" i="13"/>
  <c r="BK47" i="13"/>
  <c r="BK48" i="13"/>
  <c r="BK44" i="13"/>
  <c r="BK46" i="13"/>
  <c r="BK36" i="13"/>
  <c r="BK34" i="13"/>
  <c r="BW47" i="13"/>
  <c r="BW34" i="13"/>
  <c r="BM34" i="13"/>
  <c r="BY44" i="13"/>
  <c r="BM48" i="13"/>
  <c r="BM46" i="13"/>
  <c r="BM36" i="13"/>
  <c r="BY34" i="13"/>
  <c r="BM44" i="13"/>
  <c r="BM47" i="13"/>
  <c r="BY36" i="13"/>
  <c r="BL47" i="13"/>
  <c r="BL36" i="13"/>
  <c r="BX33" i="13"/>
  <c r="BX46" i="13"/>
  <c r="BL48" i="13"/>
  <c r="BX47" i="13"/>
  <c r="BX36" i="13"/>
  <c r="BX44" i="13"/>
  <c r="O22" i="12"/>
  <c r="O62" i="12"/>
  <c r="O65" i="12"/>
  <c r="S64" i="12"/>
  <c r="S15" i="12"/>
  <c r="U68" i="40"/>
  <c r="U73" i="40" s="1"/>
  <c r="V68" i="40" s="1"/>
  <c r="V73" i="40" s="1"/>
  <c r="W68" i="40" s="1"/>
  <c r="S47" i="12"/>
  <c r="S57" i="11"/>
  <c r="S63" i="12"/>
  <c r="U56" i="11"/>
  <c r="Y55" i="11"/>
  <c r="L56" i="11"/>
  <c r="L10" i="12" s="1"/>
  <c r="L181" i="12" s="1"/>
  <c r="J43" i="12"/>
  <c r="AJ82" i="11"/>
  <c r="AK82" i="11" s="1"/>
  <c r="AK72" i="11"/>
  <c r="AK73" i="11" s="1"/>
  <c r="AJ73" i="11" s="1"/>
  <c r="AJ74" i="11" s="1"/>
  <c r="Q55" i="11"/>
  <c r="P10" i="12"/>
  <c r="P181" i="12" s="1"/>
  <c r="K15" i="12"/>
  <c r="K63" i="12"/>
  <c r="K57" i="11"/>
  <c r="K64" i="12"/>
  <c r="K47" i="12"/>
  <c r="BW18" i="40"/>
  <c r="BW30" i="40" s="1"/>
  <c r="BW29" i="40"/>
  <c r="BX17" i="40"/>
  <c r="BW24" i="12"/>
  <c r="BY14" i="40"/>
  <c r="BX20" i="12"/>
  <c r="BW149" i="12"/>
  <c r="BY155" i="12"/>
  <c r="BZ31" i="12"/>
  <c r="BZ173" i="12" s="1"/>
  <c r="AW91" i="12"/>
  <c r="Q93" i="12"/>
  <c r="R86" i="12"/>
  <c r="R92" i="12" s="1"/>
  <c r="R93" i="12" s="1"/>
  <c r="CA10" i="11"/>
  <c r="BH148" i="12"/>
  <c r="BI16" i="12"/>
  <c r="BI159" i="12"/>
  <c r="AK86" i="12"/>
  <c r="AK92" i="12" s="1"/>
  <c r="AG86" i="12"/>
  <c r="AG92" i="12" s="1"/>
  <c r="AE93" i="12"/>
  <c r="BH33" i="11"/>
  <c r="BH35" i="11" s="1"/>
  <c r="BI29" i="11"/>
  <c r="BI20" i="11"/>
  <c r="BX89" i="11"/>
  <c r="BX48" i="67" s="1"/>
  <c r="AY97" i="12"/>
  <c r="BC97" i="12"/>
  <c r="AW110" i="12"/>
  <c r="BI147" i="12"/>
  <c r="V93" i="12"/>
  <c r="W86" i="12"/>
  <c r="W92" i="12" s="1"/>
  <c r="BI145" i="12"/>
  <c r="BQ125" i="12"/>
  <c r="BQ129" i="12" s="1"/>
  <c r="BU125" i="12"/>
  <c r="BU129" i="12" s="1"/>
  <c r="BW90" i="11"/>
  <c r="BW87" i="11"/>
  <c r="AB86" i="12"/>
  <c r="AB92" i="12" s="1"/>
  <c r="AA93" i="12"/>
  <c r="BA53" i="40"/>
  <c r="AZ42" i="40"/>
  <c r="AZ41" i="40" s="1"/>
  <c r="AZ56" i="40"/>
  <c r="AZ63" i="40" s="1"/>
  <c r="BY16" i="40" l="1"/>
  <c r="K187" i="12"/>
  <c r="P185" i="12"/>
  <c r="P184" i="12"/>
  <c r="L185" i="12"/>
  <c r="L188" i="12" s="1"/>
  <c r="L53" i="12" s="1"/>
  <c r="L184" i="12"/>
  <c r="L187" i="12" s="1"/>
  <c r="K188" i="12"/>
  <c r="K53" i="12" s="1"/>
  <c r="K58" i="12"/>
  <c r="S58" i="12"/>
  <c r="CL58" i="40"/>
  <c r="CL61" i="40" s="1"/>
  <c r="CK61" i="40"/>
  <c r="BX18" i="40"/>
  <c r="BX30" i="12" s="1"/>
  <c r="BW33" i="40"/>
  <c r="BY32" i="40"/>
  <c r="BZ10" i="40"/>
  <c r="BU46" i="12"/>
  <c r="BU171" i="12" s="1"/>
  <c r="O52" i="12"/>
  <c r="BK51" i="67"/>
  <c r="BK89" i="12" s="1"/>
  <c r="P48" i="12"/>
  <c r="L48" i="12"/>
  <c r="BY39" i="12"/>
  <c r="BX90" i="12"/>
  <c r="BY47" i="13"/>
  <c r="BY46" i="13"/>
  <c r="BW36" i="13"/>
  <c r="BW44" i="13"/>
  <c r="BW48" i="13"/>
  <c r="BW46" i="13"/>
  <c r="BX34" i="13"/>
  <c r="BY33" i="13"/>
  <c r="BR48" i="13"/>
  <c r="BX48" i="13"/>
  <c r="BY48" i="13"/>
  <c r="BO45" i="13"/>
  <c r="BN88" i="13"/>
  <c r="BT88" i="13"/>
  <c r="BS48" i="13"/>
  <c r="BR34" i="13"/>
  <c r="U74" i="40"/>
  <c r="U76" i="40" s="1"/>
  <c r="BK91" i="13"/>
  <c r="BQ34" i="13"/>
  <c r="BQ47" i="13"/>
  <c r="BQ46" i="13"/>
  <c r="BQ48" i="13"/>
  <c r="BQ36" i="13"/>
  <c r="BQ44" i="13"/>
  <c r="BS36" i="13"/>
  <c r="BM91" i="13"/>
  <c r="BS44" i="13"/>
  <c r="BS46" i="13"/>
  <c r="BS47" i="13"/>
  <c r="BS34" i="13"/>
  <c r="BL91" i="13"/>
  <c r="BR36" i="13"/>
  <c r="BR47" i="13"/>
  <c r="BR44" i="13"/>
  <c r="BR46" i="13"/>
  <c r="P63" i="12"/>
  <c r="P15" i="12"/>
  <c r="P47" i="12"/>
  <c r="P64" i="12"/>
  <c r="P57" i="11"/>
  <c r="L47" i="12"/>
  <c r="L63" i="12"/>
  <c r="L64" i="12"/>
  <c r="L15" i="12"/>
  <c r="L57" i="11"/>
  <c r="U10" i="12"/>
  <c r="U181" i="12" s="1"/>
  <c r="V55" i="11"/>
  <c r="S22" i="12"/>
  <c r="S62" i="12"/>
  <c r="S65" i="12"/>
  <c r="Q56" i="11"/>
  <c r="Y56" i="11"/>
  <c r="K22" i="12"/>
  <c r="K65" i="12"/>
  <c r="K62" i="12"/>
  <c r="O43" i="12"/>
  <c r="BN84" i="13"/>
  <c r="BW30" i="12"/>
  <c r="BX29" i="40"/>
  <c r="BY17" i="40"/>
  <c r="BX24" i="12"/>
  <c r="BZ14" i="40"/>
  <c r="BY18" i="40"/>
  <c r="BY30" i="12" s="1"/>
  <c r="BL74" i="11"/>
  <c r="BM70" i="11" s="1"/>
  <c r="CA31" i="12"/>
  <c r="CA173" i="12" s="1"/>
  <c r="BZ155" i="12"/>
  <c r="BX149" i="12"/>
  <c r="BY20" i="12"/>
  <c r="AY91" i="12"/>
  <c r="AZ91" i="12"/>
  <c r="BL82" i="11"/>
  <c r="BK21" i="67"/>
  <c r="AC86" i="12"/>
  <c r="AC92" i="12" s="1"/>
  <c r="AB93" i="12"/>
  <c r="X86" i="12"/>
  <c r="X92" i="12" s="1"/>
  <c r="X93" i="12" s="1"/>
  <c r="W93" i="12"/>
  <c r="AY106" i="12"/>
  <c r="AY101" i="12"/>
  <c r="BC101" i="12" s="1"/>
  <c r="BC102" i="12" s="1"/>
  <c r="BI97" i="12" s="1"/>
  <c r="BY89" i="11"/>
  <c r="BY48" i="67" s="1"/>
  <c r="CA125" i="12"/>
  <c r="CA129" i="12" s="1"/>
  <c r="BW125" i="12"/>
  <c r="BW129" i="12" s="1"/>
  <c r="BI25" i="12"/>
  <c r="BI22" i="11"/>
  <c r="BH29" i="12"/>
  <c r="BH153" i="12"/>
  <c r="BX87" i="11"/>
  <c r="BX90" i="11"/>
  <c r="BI148" i="12"/>
  <c r="V74" i="40"/>
  <c r="V76" i="40" s="1"/>
  <c r="BQ19" i="12"/>
  <c r="BQ183" i="12" s="1"/>
  <c r="BR125" i="12"/>
  <c r="BR129" i="12" s="1"/>
  <c r="AZ44" i="40"/>
  <c r="BI33" i="11"/>
  <c r="BI35" i="11" s="1"/>
  <c r="BE71" i="40"/>
  <c r="BF71" i="40" s="1"/>
  <c r="BG71" i="40" s="1"/>
  <c r="BH71" i="40" s="1"/>
  <c r="AH86" i="12"/>
  <c r="AH92" i="12" s="1"/>
  <c r="AG93" i="12"/>
  <c r="W73" i="40"/>
  <c r="X68" i="40" s="1"/>
  <c r="BB53" i="40"/>
  <c r="BA42" i="40"/>
  <c r="BA41" i="40" s="1"/>
  <c r="BA56" i="40"/>
  <c r="BA63" i="40" s="1"/>
  <c r="BI23" i="11"/>
  <c r="BI27" i="12"/>
  <c r="BI82" i="12" s="1"/>
  <c r="BH154" i="12"/>
  <c r="BI12" i="12"/>
  <c r="BH146" i="12"/>
  <c r="BH151" i="12" s="1"/>
  <c r="BC106" i="12"/>
  <c r="AQ86" i="12"/>
  <c r="AQ92" i="12" s="1"/>
  <c r="AM86" i="12"/>
  <c r="AM92" i="12" s="1"/>
  <c r="AK93" i="12"/>
  <c r="BZ16" i="40" l="1"/>
  <c r="M188" i="12"/>
  <c r="M53" i="12" s="1"/>
  <c r="P187" i="12"/>
  <c r="M187" i="12"/>
  <c r="U184" i="12"/>
  <c r="U185" i="12"/>
  <c r="P188" i="12"/>
  <c r="P53" i="12" s="1"/>
  <c r="CA155" i="12"/>
  <c r="CC31" i="12"/>
  <c r="CC173" i="12" s="1"/>
  <c r="BZ89" i="11"/>
  <c r="BZ48" i="67" s="1"/>
  <c r="L58" i="12"/>
  <c r="P58" i="12"/>
  <c r="CG125" i="12"/>
  <c r="CG129" i="12" s="1"/>
  <c r="CC125" i="12"/>
  <c r="CC129" i="12" s="1"/>
  <c r="BX46" i="12"/>
  <c r="BX171" i="12" s="1"/>
  <c r="BX30" i="40"/>
  <c r="BY27" i="67"/>
  <c r="BZ32" i="40"/>
  <c r="BZ27" i="67" s="1"/>
  <c r="BZ33" i="40" s="1"/>
  <c r="CA10" i="40"/>
  <c r="BI70" i="12"/>
  <c r="BI71" i="12"/>
  <c r="S52" i="12"/>
  <c r="BK50" i="67"/>
  <c r="K52" i="12"/>
  <c r="U48" i="12"/>
  <c r="BY91" i="13"/>
  <c r="BW46" i="12"/>
  <c r="BW171" i="12" s="1"/>
  <c r="BH63" i="12"/>
  <c r="BH64" i="12"/>
  <c r="BX19" i="40"/>
  <c r="BS91" i="13"/>
  <c r="BY90" i="12"/>
  <c r="BZ39" i="12"/>
  <c r="BW91" i="13"/>
  <c r="BR91" i="13"/>
  <c r="BX91" i="13"/>
  <c r="BI106" i="12"/>
  <c r="BO88" i="13"/>
  <c r="BY30" i="40"/>
  <c r="BW19" i="40"/>
  <c r="BQ91" i="13"/>
  <c r="U57" i="11"/>
  <c r="U64" i="12"/>
  <c r="U47" i="12"/>
  <c r="U15" i="12"/>
  <c r="U63" i="12"/>
  <c r="BM74" i="11"/>
  <c r="BN70" i="11" s="1"/>
  <c r="BO73" i="11" s="1"/>
  <c r="R55" i="11"/>
  <c r="Q10" i="12"/>
  <c r="Q181" i="12" s="1"/>
  <c r="V56" i="11"/>
  <c r="P65" i="12"/>
  <c r="P62" i="12"/>
  <c r="P22" i="12"/>
  <c r="S43" i="12"/>
  <c r="K43" i="12"/>
  <c r="L22" i="12"/>
  <c r="L62" i="12"/>
  <c r="L65" i="12"/>
  <c r="AA55" i="11"/>
  <c r="Y10" i="12"/>
  <c r="Y181" i="12" s="1"/>
  <c r="BZ47" i="13"/>
  <c r="BN46" i="13"/>
  <c r="BN48" i="13"/>
  <c r="BN47" i="13"/>
  <c r="BZ36" i="13"/>
  <c r="BZ48" i="13"/>
  <c r="BN34" i="13"/>
  <c r="BN36" i="13"/>
  <c r="BN44" i="13"/>
  <c r="BO48" i="13"/>
  <c r="BZ34" i="13"/>
  <c r="BZ46" i="13"/>
  <c r="BZ17" i="40"/>
  <c r="BY24" i="12"/>
  <c r="BY29" i="40"/>
  <c r="CA14" i="40"/>
  <c r="CC14" i="40" s="1"/>
  <c r="CD14" i="40" s="1"/>
  <c r="CE14" i="40" s="1"/>
  <c r="CF14" i="40" s="1"/>
  <c r="CG14" i="40" s="1"/>
  <c r="BZ20" i="12"/>
  <c r="BY149" i="12"/>
  <c r="BA91" i="12"/>
  <c r="BL83" i="11"/>
  <c r="CA66" i="11"/>
  <c r="CA89" i="11" s="1"/>
  <c r="CA48" i="67" s="1"/>
  <c r="BE97" i="12"/>
  <c r="BC110" i="12"/>
  <c r="BI146" i="12"/>
  <c r="BI151" i="12" s="1"/>
  <c r="AH93" i="12"/>
  <c r="AI86" i="12"/>
  <c r="AI92" i="12" s="1"/>
  <c r="BH33" i="12"/>
  <c r="BM183" i="12"/>
  <c r="BN183" i="12"/>
  <c r="AM93" i="12"/>
  <c r="AN86" i="12"/>
  <c r="AN92" i="12" s="1"/>
  <c r="BE53" i="40"/>
  <c r="BB42" i="40"/>
  <c r="BB41" i="40" s="1"/>
  <c r="BB56" i="40"/>
  <c r="BB63" i="40" s="1"/>
  <c r="BR19" i="12"/>
  <c r="BR183" i="12" s="1"/>
  <c r="BS125" i="12"/>
  <c r="BS129" i="12" s="1"/>
  <c r="BA44" i="40"/>
  <c r="BH156" i="12"/>
  <c r="BH158" i="12" s="1"/>
  <c r="BW19" i="12"/>
  <c r="BW183" i="12" s="1"/>
  <c r="BX125" i="12"/>
  <c r="BX129" i="12" s="1"/>
  <c r="AC93" i="12"/>
  <c r="AD86" i="12"/>
  <c r="AD92" i="12" s="1"/>
  <c r="AD93" i="12" s="1"/>
  <c r="AW86" i="12"/>
  <c r="AW92" i="12" s="1"/>
  <c r="AQ93" i="12"/>
  <c r="AS86" i="12"/>
  <c r="AS92" i="12" s="1"/>
  <c r="BI21" i="11"/>
  <c r="BH19" i="11"/>
  <c r="X73" i="40"/>
  <c r="X74" i="40" s="1"/>
  <c r="X76" i="40" s="1"/>
  <c r="BI29" i="12"/>
  <c r="BI153" i="12"/>
  <c r="BZ87" i="11"/>
  <c r="BI154" i="12"/>
  <c r="W74" i="40"/>
  <c r="W76" i="40" s="1"/>
  <c r="BY87" i="11"/>
  <c r="BY90" i="11"/>
  <c r="CA16" i="40" l="1"/>
  <c r="Y185" i="12"/>
  <c r="Y184" i="12"/>
  <c r="U187" i="12"/>
  <c r="BZ90" i="11"/>
  <c r="Q184" i="12"/>
  <c r="Q185" i="12"/>
  <c r="U188" i="12"/>
  <c r="U53" i="12" s="1"/>
  <c r="CD31" i="12"/>
  <c r="CD173" i="12" s="1"/>
  <c r="CC155" i="12"/>
  <c r="U58" i="12"/>
  <c r="CC89" i="11"/>
  <c r="CC19" i="12"/>
  <c r="CC183" i="12" s="1"/>
  <c r="CD125" i="12"/>
  <c r="CD129" i="12" s="1"/>
  <c r="CI125" i="12"/>
  <c r="CI129" i="12" s="1"/>
  <c r="CM125" i="12"/>
  <c r="CM129" i="12" s="1"/>
  <c r="CA22" i="40"/>
  <c r="CC10" i="40"/>
  <c r="CC16" i="40" s="1"/>
  <c r="CG26" i="40"/>
  <c r="CI14" i="40"/>
  <c r="CJ14" i="40" s="1"/>
  <c r="CK14" i="40" s="1"/>
  <c r="CL14" i="40" s="1"/>
  <c r="CM14" i="40" s="1"/>
  <c r="CM26" i="40" s="1"/>
  <c r="BI72" i="12"/>
  <c r="CA32" i="40"/>
  <c r="BY33" i="40"/>
  <c r="CA27" i="67"/>
  <c r="CA33" i="40" s="1"/>
  <c r="Q48" i="12"/>
  <c r="BK37" i="67"/>
  <c r="BK101" i="67"/>
  <c r="BK31" i="67" s="1"/>
  <c r="Y48" i="12"/>
  <c r="P52" i="12"/>
  <c r="BL51" i="67"/>
  <c r="BL89" i="12" s="1"/>
  <c r="L52" i="12"/>
  <c r="BZ90" i="12"/>
  <c r="CA39" i="12"/>
  <c r="BZ33" i="13"/>
  <c r="BZ44" i="13"/>
  <c r="CA87" i="11"/>
  <c r="BY46" i="12"/>
  <c r="BY171" i="12" s="1"/>
  <c r="CA90" i="11"/>
  <c r="BY19" i="40"/>
  <c r="L43" i="12"/>
  <c r="U65" i="12"/>
  <c r="U22" i="12"/>
  <c r="U62" i="12"/>
  <c r="P43" i="12"/>
  <c r="Q63" i="12"/>
  <c r="Q15" i="12"/>
  <c r="Q47" i="12"/>
  <c r="Q64" i="12"/>
  <c r="Q57" i="11"/>
  <c r="AE35" i="40"/>
  <c r="AE37" i="40" s="1"/>
  <c r="Y57" i="11"/>
  <c r="Y15" i="12"/>
  <c r="Y63" i="12"/>
  <c r="AA68" i="40"/>
  <c r="AA73" i="40" s="1"/>
  <c r="AB68" i="40" s="1"/>
  <c r="AB73" i="40" s="1"/>
  <c r="AC68" i="40" s="1"/>
  <c r="Y64" i="12"/>
  <c r="Y47" i="12"/>
  <c r="W55" i="11"/>
  <c r="V10" i="12"/>
  <c r="V181" i="12" s="1"/>
  <c r="R56" i="11"/>
  <c r="R10" i="12" s="1"/>
  <c r="R181" i="12" s="1"/>
  <c r="AE55" i="11"/>
  <c r="AA56" i="11"/>
  <c r="BT44" i="13"/>
  <c r="BT34" i="13"/>
  <c r="BN91" i="13"/>
  <c r="BT48" i="13"/>
  <c r="BT36" i="13"/>
  <c r="BT46" i="13"/>
  <c r="BT47" i="13"/>
  <c r="BZ18" i="40"/>
  <c r="BZ30" i="40" s="1"/>
  <c r="BZ29" i="40"/>
  <c r="CA17" i="40"/>
  <c r="BZ24" i="12"/>
  <c r="BN82" i="11"/>
  <c r="BO82" i="11" s="1"/>
  <c r="CA26" i="40"/>
  <c r="CA20" i="12"/>
  <c r="BZ149" i="12"/>
  <c r="Y76" i="40"/>
  <c r="BI19" i="11"/>
  <c r="BE42" i="40"/>
  <c r="BE41" i="40" s="1"/>
  <c r="BE44" i="40" s="1"/>
  <c r="BF53" i="40"/>
  <c r="BE56" i="40"/>
  <c r="BE63" i="40" s="1"/>
  <c r="AT86" i="12"/>
  <c r="AT92" i="12" s="1"/>
  <c r="AS93" i="12"/>
  <c r="BX19" i="12"/>
  <c r="BX183" i="12" s="1"/>
  <c r="BY125" i="12"/>
  <c r="BY129" i="12" s="1"/>
  <c r="BT125" i="12"/>
  <c r="BT129" i="12" s="1"/>
  <c r="BT19" i="12" s="1"/>
  <c r="BT183" i="12" s="1"/>
  <c r="BS19" i="12"/>
  <c r="BS183" i="12" s="1"/>
  <c r="BO19" i="12"/>
  <c r="BE101" i="12"/>
  <c r="BI101" i="12" s="1"/>
  <c r="BI102" i="12" s="1"/>
  <c r="BO97" i="12" s="1"/>
  <c r="BE106" i="12"/>
  <c r="BI33" i="12"/>
  <c r="AO86" i="12"/>
  <c r="AO92" i="12" s="1"/>
  <c r="AN93" i="12"/>
  <c r="BI156" i="12"/>
  <c r="BI158" i="12" s="1"/>
  <c r="AW93" i="12"/>
  <c r="BC86" i="12"/>
  <c r="AY86" i="12"/>
  <c r="AY92" i="12" s="1"/>
  <c r="AJ86" i="12"/>
  <c r="AJ92" i="12" s="1"/>
  <c r="AJ93" i="12" s="1"/>
  <c r="AI93" i="12"/>
  <c r="BB44" i="40"/>
  <c r="CA28" i="40" l="1"/>
  <c r="BO183" i="12"/>
  <c r="R185" i="12"/>
  <c r="R188" i="12" s="1"/>
  <c r="R53" i="12" s="1"/>
  <c r="R184" i="12"/>
  <c r="R187" i="12" s="1"/>
  <c r="Q187" i="12"/>
  <c r="V184" i="12"/>
  <c r="V185" i="12"/>
  <c r="Q188" i="12"/>
  <c r="Q53" i="12" s="1"/>
  <c r="CD155" i="12"/>
  <c r="CE31" i="12"/>
  <c r="CE173" i="12" s="1"/>
  <c r="CA149" i="12"/>
  <c r="CC20" i="12"/>
  <c r="Y58" i="12"/>
  <c r="Q58" i="12"/>
  <c r="CD89" i="11"/>
  <c r="CC90" i="11"/>
  <c r="CC48" i="67"/>
  <c r="CC87" i="11"/>
  <c r="CA90" i="12"/>
  <c r="CC39" i="12"/>
  <c r="CD19" i="12"/>
  <c r="CD183" i="12" s="1"/>
  <c r="CE125" i="12"/>
  <c r="CE129" i="12" s="1"/>
  <c r="CJ125" i="12"/>
  <c r="CJ129" i="12" s="1"/>
  <c r="CI19" i="12"/>
  <c r="CI183" i="12" s="1"/>
  <c r="CA29" i="40"/>
  <c r="CC17" i="40"/>
  <c r="CC32" i="40"/>
  <c r="CD10" i="40"/>
  <c r="CD16" i="40" s="1"/>
  <c r="BI110" i="12"/>
  <c r="BK97" i="12"/>
  <c r="BN74" i="11"/>
  <c r="V48" i="12"/>
  <c r="R48" i="12"/>
  <c r="BL50" i="67"/>
  <c r="U52" i="12"/>
  <c r="BM51" i="67"/>
  <c r="BM89" i="12" s="1"/>
  <c r="CA24" i="12"/>
  <c r="BZ91" i="13"/>
  <c r="AA74" i="40"/>
  <c r="AA76" i="40" s="1"/>
  <c r="CA18" i="40"/>
  <c r="CA30" i="40" s="1"/>
  <c r="BN83" i="11"/>
  <c r="BO83" i="11" s="1"/>
  <c r="U43" i="12"/>
  <c r="R57" i="11"/>
  <c r="R63" i="12"/>
  <c r="R47" i="12"/>
  <c r="R64" i="12"/>
  <c r="R15" i="12"/>
  <c r="V57" i="11"/>
  <c r="V64" i="12"/>
  <c r="V47" i="12"/>
  <c r="V63" i="12"/>
  <c r="V15" i="12"/>
  <c r="Y22" i="12"/>
  <c r="Y65" i="12"/>
  <c r="Y62" i="12"/>
  <c r="AA10" i="12"/>
  <c r="AA181" i="12" s="1"/>
  <c r="AB55" i="11"/>
  <c r="W56" i="11"/>
  <c r="AE56" i="11"/>
  <c r="Q62" i="12"/>
  <c r="Q65" i="12"/>
  <c r="Q22" i="12"/>
  <c r="BO91" i="13"/>
  <c r="BT91" i="13"/>
  <c r="BZ30" i="12"/>
  <c r="BO44" i="11"/>
  <c r="BO72" i="11"/>
  <c r="BO74" i="11" s="1"/>
  <c r="BU70" i="11" s="1"/>
  <c r="BB91" i="12"/>
  <c r="BC91" i="12" s="1"/>
  <c r="BC92" i="12" s="1"/>
  <c r="BI86" i="12" s="1"/>
  <c r="BL21" i="67"/>
  <c r="BU19" i="12"/>
  <c r="BU183" i="12" s="1"/>
  <c r="BY19" i="12"/>
  <c r="BY183" i="12" s="1"/>
  <c r="BZ125" i="12"/>
  <c r="BZ129" i="12" s="1"/>
  <c r="BZ19" i="12" s="1"/>
  <c r="BZ183" i="12" s="1"/>
  <c r="AO93" i="12"/>
  <c r="AP86" i="12"/>
  <c r="AP92" i="12" s="1"/>
  <c r="AP93" i="12" s="1"/>
  <c r="AU86" i="12"/>
  <c r="AU92" i="12" s="1"/>
  <c r="AT93" i="12"/>
  <c r="BF56" i="40"/>
  <c r="BF63" i="40" s="1"/>
  <c r="BG53" i="40"/>
  <c r="AC73" i="40"/>
  <c r="AD68" i="40" s="1"/>
  <c r="AZ86" i="12"/>
  <c r="AZ92" i="12" s="1"/>
  <c r="AY93" i="12"/>
  <c r="AB74" i="40"/>
  <c r="AB76" i="40" s="1"/>
  <c r="S188" i="12" l="1"/>
  <c r="S53" i="12" s="1"/>
  <c r="S187" i="12"/>
  <c r="V188" i="12"/>
  <c r="V53" i="12" s="1"/>
  <c r="AA184" i="12"/>
  <c r="AA185" i="12"/>
  <c r="V187" i="12"/>
  <c r="CE155" i="12"/>
  <c r="CF31" i="12"/>
  <c r="CF173" i="12" s="1"/>
  <c r="V58" i="12"/>
  <c r="R58" i="12"/>
  <c r="CD90" i="11"/>
  <c r="CD48" i="67"/>
  <c r="CD87" i="11"/>
  <c r="CC149" i="12"/>
  <c r="CD20" i="12"/>
  <c r="CE89" i="11"/>
  <c r="CE19" i="12"/>
  <c r="CE183" i="12" s="1"/>
  <c r="CF125" i="12"/>
  <c r="CF129" i="12" s="1"/>
  <c r="CF19" i="12" s="1"/>
  <c r="CF183" i="12" s="1"/>
  <c r="CD39" i="12"/>
  <c r="CC90" i="12"/>
  <c r="CK125" i="12"/>
  <c r="CK129" i="12" s="1"/>
  <c r="CJ19" i="12"/>
  <c r="CJ183" i="12" s="1"/>
  <c r="CD32" i="40"/>
  <c r="CD27" i="67" s="1"/>
  <c r="CD33" i="40" s="1"/>
  <c r="CE10" i="40"/>
  <c r="CE16" i="40" s="1"/>
  <c r="CC29" i="40"/>
  <c r="CC24" i="12"/>
  <c r="CD17" i="40"/>
  <c r="CC18" i="40"/>
  <c r="CC27" i="67"/>
  <c r="BK106" i="12"/>
  <c r="BK101" i="12"/>
  <c r="BO101" i="12" s="1"/>
  <c r="BO102" i="12" s="1"/>
  <c r="Q52" i="12"/>
  <c r="Y52" i="12"/>
  <c r="BL101" i="67"/>
  <c r="BL31" i="67" s="1"/>
  <c r="BL37" i="67"/>
  <c r="AA48" i="12"/>
  <c r="BM50" i="67"/>
  <c r="BQ70" i="11"/>
  <c r="BQ72" i="11" s="1"/>
  <c r="AG55" i="11"/>
  <c r="AE10" i="12"/>
  <c r="AE181" i="12" s="1"/>
  <c r="V62" i="12"/>
  <c r="V22" i="12"/>
  <c r="V65" i="12"/>
  <c r="Y43" i="12"/>
  <c r="Q43" i="12"/>
  <c r="AA63" i="12"/>
  <c r="AA47" i="12"/>
  <c r="AA15" i="12"/>
  <c r="AA57" i="11"/>
  <c r="AA64" i="12"/>
  <c r="AB56" i="11"/>
  <c r="X55" i="11"/>
  <c r="W10" i="12"/>
  <c r="W181" i="12" s="1"/>
  <c r="R65" i="12"/>
  <c r="R22" i="12"/>
  <c r="R62" i="12"/>
  <c r="BZ46" i="12"/>
  <c r="BZ171" i="12" s="1"/>
  <c r="BZ19" i="40"/>
  <c r="CA30" i="12"/>
  <c r="BE86" i="12"/>
  <c r="BC93" i="12"/>
  <c r="BE91" i="12"/>
  <c r="BF91" i="12"/>
  <c r="BG91" i="12"/>
  <c r="AC74" i="40"/>
  <c r="AC76" i="40" s="1"/>
  <c r="AD73" i="40"/>
  <c r="AD74" i="40" s="1"/>
  <c r="AD76" i="40" s="1"/>
  <c r="BH53" i="40"/>
  <c r="BG56" i="40"/>
  <c r="BG63" i="40" s="1"/>
  <c r="AU93" i="12"/>
  <c r="AV86" i="12"/>
  <c r="AV92" i="12" s="1"/>
  <c r="AV93" i="12" s="1"/>
  <c r="CA19" i="12"/>
  <c r="CA183" i="12" s="1"/>
  <c r="AZ93" i="12"/>
  <c r="BA86" i="12"/>
  <c r="BA92" i="12" s="1"/>
  <c r="W184" i="12" l="1"/>
  <c r="W185" i="12"/>
  <c r="AA188" i="12"/>
  <c r="AA53" i="12" s="1"/>
  <c r="AE184" i="12"/>
  <c r="AE185" i="12"/>
  <c r="AA187" i="12"/>
  <c r="BM37" i="67"/>
  <c r="BM101" i="67"/>
  <c r="BM31" i="67" s="1"/>
  <c r="CG31" i="12"/>
  <c r="CG173" i="12" s="1"/>
  <c r="CF155" i="12"/>
  <c r="CF89" i="11"/>
  <c r="AA58" i="12"/>
  <c r="CG66" i="11"/>
  <c r="CG89" i="11" s="1"/>
  <c r="CE48" i="67"/>
  <c r="CE90" i="11"/>
  <c r="CE87" i="11"/>
  <c r="CE20" i="12"/>
  <c r="CD149" i="12"/>
  <c r="CG19" i="12"/>
  <c r="CG183" i="12" s="1"/>
  <c r="CL125" i="12"/>
  <c r="CL129" i="12" s="1"/>
  <c r="CL19" i="12" s="1"/>
  <c r="CL183" i="12" s="1"/>
  <c r="CK19" i="12"/>
  <c r="CK183" i="12" s="1"/>
  <c r="CE39" i="12"/>
  <c r="CD90" i="12"/>
  <c r="CD24" i="12"/>
  <c r="CD29" i="40"/>
  <c r="CE17" i="40"/>
  <c r="CE32" i="40"/>
  <c r="CF10" i="40"/>
  <c r="CF16" i="40" s="1"/>
  <c r="CC33" i="40"/>
  <c r="CC30" i="40"/>
  <c r="CC30" i="12"/>
  <c r="CD18" i="40"/>
  <c r="R52" i="12"/>
  <c r="W48" i="12"/>
  <c r="V52" i="12"/>
  <c r="AE48" i="12"/>
  <c r="BN51" i="67"/>
  <c r="BN89" i="12" s="1"/>
  <c r="BQ73" i="11"/>
  <c r="BQ74" i="11" s="1"/>
  <c r="BR70" i="11" s="1"/>
  <c r="R43" i="12"/>
  <c r="W64" i="12"/>
  <c r="W63" i="12"/>
  <c r="W47" i="12"/>
  <c r="W57" i="11"/>
  <c r="W15" i="12"/>
  <c r="X56" i="11"/>
  <c r="X10" i="12" s="1"/>
  <c r="X181" i="12" s="1"/>
  <c r="AC55" i="11"/>
  <c r="AB10" i="12"/>
  <c r="AB181" i="12" s="1"/>
  <c r="V43" i="12"/>
  <c r="AG68" i="40"/>
  <c r="AG73" i="40" s="1"/>
  <c r="AH68" i="40" s="1"/>
  <c r="AH73" i="40" s="1"/>
  <c r="AI68" i="40" s="1"/>
  <c r="AE63" i="12"/>
  <c r="AE64" i="12"/>
  <c r="AE57" i="11"/>
  <c r="AE15" i="12"/>
  <c r="AE47" i="12"/>
  <c r="AA62" i="12"/>
  <c r="AA22" i="12"/>
  <c r="AA65" i="12"/>
  <c r="AK55" i="11"/>
  <c r="AG56" i="11"/>
  <c r="CA46" i="12"/>
  <c r="CA171" i="12" s="1"/>
  <c r="CA19" i="40"/>
  <c r="BE92" i="12"/>
  <c r="BQ82" i="11"/>
  <c r="BH56" i="40"/>
  <c r="BH63" i="40" s="1"/>
  <c r="BK53" i="40"/>
  <c r="BK19" i="67"/>
  <c r="BB86" i="12"/>
  <c r="BB92" i="12" s="1"/>
  <c r="BB93" i="12" s="1"/>
  <c r="BA93" i="12"/>
  <c r="X185" i="12" l="1"/>
  <c r="X188" i="12" s="1"/>
  <c r="X53" i="12" s="1"/>
  <c r="X184" i="12"/>
  <c r="X187" i="12" s="1"/>
  <c r="W188" i="12"/>
  <c r="W53" i="12" s="1"/>
  <c r="AB184" i="12"/>
  <c r="AB185" i="12"/>
  <c r="W187" i="12"/>
  <c r="Y187" i="12"/>
  <c r="CG155" i="12"/>
  <c r="CI31" i="12"/>
  <c r="CI173" i="12" s="1"/>
  <c r="AE58" i="12"/>
  <c r="CI89" i="11"/>
  <c r="W58" i="12"/>
  <c r="CE149" i="12"/>
  <c r="CF20" i="12"/>
  <c r="CG48" i="67"/>
  <c r="CG90" i="11"/>
  <c r="CG87" i="11"/>
  <c r="CF48" i="67"/>
  <c r="CF90" i="11"/>
  <c r="CF87" i="11"/>
  <c r="CE90" i="12"/>
  <c r="CF39" i="12"/>
  <c r="CM19" i="12"/>
  <c r="CM183" i="12" s="1"/>
  <c r="CD30" i="12"/>
  <c r="CD30" i="40"/>
  <c r="CC46" i="12"/>
  <c r="CC171" i="12" s="1"/>
  <c r="CC19" i="40"/>
  <c r="CF32" i="40"/>
  <c r="CF27" i="67" s="1"/>
  <c r="CF33" i="40" s="1"/>
  <c r="CG10" i="40"/>
  <c r="CE18" i="40"/>
  <c r="CE27" i="67"/>
  <c r="CE24" i="12"/>
  <c r="CF17" i="40"/>
  <c r="CE29" i="40"/>
  <c r="X48" i="12"/>
  <c r="BO110" i="67"/>
  <c r="BO112" i="67"/>
  <c r="BO107" i="67"/>
  <c r="BO108" i="67"/>
  <c r="BN50" i="67"/>
  <c r="AB48" i="12"/>
  <c r="BK20" i="67"/>
  <c r="AA52" i="12"/>
  <c r="BO51" i="67"/>
  <c r="BO89" i="12" s="1"/>
  <c r="AB57" i="11"/>
  <c r="AB63" i="12"/>
  <c r="AB47" i="12"/>
  <c r="AB15" i="12"/>
  <c r="AB64" i="12"/>
  <c r="AA43" i="12"/>
  <c r="W62" i="12"/>
  <c r="W22" i="12"/>
  <c r="W65" i="12"/>
  <c r="AG74" i="40"/>
  <c r="AG76" i="40" s="1"/>
  <c r="AE22" i="12"/>
  <c r="AE65" i="12"/>
  <c r="AE62" i="12"/>
  <c r="X63" i="12"/>
  <c r="X64" i="12"/>
  <c r="X57" i="11"/>
  <c r="X47" i="12"/>
  <c r="X15" i="12"/>
  <c r="AK56" i="11"/>
  <c r="AC56" i="11"/>
  <c r="AH55" i="11"/>
  <c r="AG57" i="11"/>
  <c r="BG47" i="11"/>
  <c r="BG49" i="11" s="1"/>
  <c r="BF86" i="12"/>
  <c r="BF92" i="12" s="1"/>
  <c r="BG86" i="12" s="1"/>
  <c r="BG92" i="12" s="1"/>
  <c r="BH86" i="12" s="1"/>
  <c r="BE93" i="12"/>
  <c r="BH47" i="11"/>
  <c r="BH49" i="11" s="1"/>
  <c r="BQ44" i="11"/>
  <c r="BQ83" i="11"/>
  <c r="BQ45" i="67" s="1"/>
  <c r="BR73" i="11"/>
  <c r="BR72" i="11"/>
  <c r="AH74" i="40"/>
  <c r="AH76" i="40" s="1"/>
  <c r="BM21" i="67"/>
  <c r="BK56" i="40"/>
  <c r="BK63" i="40" s="1"/>
  <c r="BL53" i="40"/>
  <c r="AI73" i="40"/>
  <c r="AJ68" i="40" s="1"/>
  <c r="CG22" i="40" l="1"/>
  <c r="CG28" i="40" s="1"/>
  <c r="CG16" i="40"/>
  <c r="Y188" i="12"/>
  <c r="Y53" i="12" s="1"/>
  <c r="AB188" i="12"/>
  <c r="AB53" i="12" s="1"/>
  <c r="AB187" i="12"/>
  <c r="CG32" i="40"/>
  <c r="CI155" i="12"/>
  <c r="CJ31" i="12"/>
  <c r="CJ173" i="12" s="1"/>
  <c r="AB58" i="12"/>
  <c r="CG20" i="12"/>
  <c r="CF149" i="12"/>
  <c r="CJ89" i="11"/>
  <c r="X58" i="12"/>
  <c r="CI90" i="11"/>
  <c r="CI48" i="67"/>
  <c r="CI87" i="11"/>
  <c r="CG39" i="12"/>
  <c r="CF90" i="12"/>
  <c r="CF24" i="12"/>
  <c r="CF29" i="40"/>
  <c r="CG17" i="40"/>
  <c r="CI10" i="40"/>
  <c r="CI16" i="40" s="1"/>
  <c r="CF18" i="40"/>
  <c r="CE33" i="40"/>
  <c r="CG27" i="67"/>
  <c r="CG33" i="40" s="1"/>
  <c r="CE30" i="40"/>
  <c r="CE30" i="12"/>
  <c r="CD46" i="12"/>
  <c r="CD171" i="12" s="1"/>
  <c r="CD19" i="40"/>
  <c r="BK70" i="40"/>
  <c r="BO50" i="67"/>
  <c r="AG52" i="12"/>
  <c r="AK52" i="12"/>
  <c r="AE52" i="12"/>
  <c r="W52" i="12"/>
  <c r="BQ49" i="67"/>
  <c r="BQ51" i="67"/>
  <c r="BO106" i="67"/>
  <c r="BN101" i="67"/>
  <c r="BN31" i="67" s="1"/>
  <c r="BN37" i="67"/>
  <c r="AH56" i="11"/>
  <c r="AE43" i="12"/>
  <c r="X22" i="12"/>
  <c r="X62" i="12"/>
  <c r="X65" i="12"/>
  <c r="AB22" i="12"/>
  <c r="AB62" i="12"/>
  <c r="AB65" i="12"/>
  <c r="AM55" i="11"/>
  <c r="AK57" i="11"/>
  <c r="W43" i="12"/>
  <c r="AD55" i="11"/>
  <c r="AC10" i="12"/>
  <c r="AC181" i="12" s="1"/>
  <c r="BI49" i="11"/>
  <c r="BR74" i="11"/>
  <c r="BS70" i="11" s="1"/>
  <c r="BS73" i="11" s="1"/>
  <c r="BF93" i="12"/>
  <c r="BI46" i="11"/>
  <c r="BR82" i="11"/>
  <c r="AI74" i="40"/>
  <c r="AI76" i="40" s="1"/>
  <c r="BM53" i="40"/>
  <c r="BL56" i="40"/>
  <c r="BL63" i="40" s="1"/>
  <c r="AJ73" i="40"/>
  <c r="AJ74" i="40" s="1"/>
  <c r="AJ76" i="40" s="1"/>
  <c r="BO101" i="67" l="1"/>
  <c r="AC184" i="12"/>
  <c r="AC185" i="12"/>
  <c r="CJ155" i="12"/>
  <c r="CK31" i="12"/>
  <c r="CK173" i="12" s="1"/>
  <c r="CJ48" i="67"/>
  <c r="CJ90" i="11"/>
  <c r="CJ87" i="11"/>
  <c r="CG149" i="12"/>
  <c r="CI20" i="12"/>
  <c r="CK89" i="11"/>
  <c r="CI39" i="12"/>
  <c r="CG90" i="12"/>
  <c r="CE46" i="12"/>
  <c r="CE171" i="12" s="1"/>
  <c r="CE19" i="40"/>
  <c r="CF30" i="40"/>
  <c r="CF30" i="12"/>
  <c r="CG18" i="40"/>
  <c r="CG30" i="40" s="1"/>
  <c r="CI32" i="40"/>
  <c r="CI27" i="67" s="1"/>
  <c r="CJ10" i="40"/>
  <c r="CJ16" i="40" s="1"/>
  <c r="CG29" i="40"/>
  <c r="CI17" i="40"/>
  <c r="CG24" i="12"/>
  <c r="BI47" i="11"/>
  <c r="F15" i="69"/>
  <c r="AB52" i="12"/>
  <c r="X52" i="12"/>
  <c r="AC48" i="12"/>
  <c r="BO37" i="67"/>
  <c r="BQ89" i="12"/>
  <c r="BQ46" i="11"/>
  <c r="BQ110" i="67"/>
  <c r="BQ107" i="67"/>
  <c r="BQ112" i="67"/>
  <c r="BQ106" i="67"/>
  <c r="BQ108" i="67"/>
  <c r="BQ50" i="67"/>
  <c r="BQ44" i="67"/>
  <c r="AB43" i="12"/>
  <c r="AD56" i="11"/>
  <c r="AD10" i="12" s="1"/>
  <c r="AD181" i="12" s="1"/>
  <c r="AH57" i="11"/>
  <c r="AI55" i="11"/>
  <c r="AQ55" i="11"/>
  <c r="AM56" i="11"/>
  <c r="BS72" i="11"/>
  <c r="BS82" i="11" s="1"/>
  <c r="BS83" i="11" s="1"/>
  <c r="AC15" i="12"/>
  <c r="AC57" i="11"/>
  <c r="AC47" i="12"/>
  <c r="AC64" i="12"/>
  <c r="AC63" i="12"/>
  <c r="X43" i="12"/>
  <c r="BK47" i="11"/>
  <c r="BK49" i="11" s="1"/>
  <c r="BL47" i="11"/>
  <c r="BL49" i="11" s="1"/>
  <c r="BR44" i="11"/>
  <c r="BR83" i="11"/>
  <c r="BR45" i="67" s="1"/>
  <c r="BN105" i="12"/>
  <c r="AK76" i="40"/>
  <c r="BN53" i="40"/>
  <c r="BM56" i="40"/>
  <c r="BM63" i="40" s="1"/>
  <c r="BN107" i="12" l="1"/>
  <c r="BO107" i="12" s="1"/>
  <c r="BO105" i="12"/>
  <c r="BN106" i="12"/>
  <c r="BN21" i="67"/>
  <c r="AD185" i="12"/>
  <c r="AD188" i="12" s="1"/>
  <c r="AD53" i="12" s="1"/>
  <c r="AD184" i="12"/>
  <c r="AD187" i="12" s="1"/>
  <c r="AC188" i="12"/>
  <c r="AC53" i="12" s="1"/>
  <c r="AC187" i="12"/>
  <c r="CL31" i="12"/>
  <c r="CL173" i="12" s="1"/>
  <c r="CK155" i="12"/>
  <c r="CK48" i="67"/>
  <c r="CK90" i="11"/>
  <c r="CK87" i="11"/>
  <c r="CI149" i="12"/>
  <c r="CJ20" i="12"/>
  <c r="AC58" i="12"/>
  <c r="CL89" i="11"/>
  <c r="CM66" i="11"/>
  <c r="CM89" i="11" s="1"/>
  <c r="CI90" i="12"/>
  <c r="CJ39" i="12"/>
  <c r="CI29" i="40"/>
  <c r="CI24" i="12"/>
  <c r="CJ17" i="40"/>
  <c r="CI18" i="40"/>
  <c r="CI33" i="40"/>
  <c r="CJ32" i="40"/>
  <c r="CJ27" i="67" s="1"/>
  <c r="CJ33" i="40" s="1"/>
  <c r="CK10" i="40"/>
  <c r="CK16" i="40" s="1"/>
  <c r="CF46" i="12"/>
  <c r="CF171" i="12" s="1"/>
  <c r="CG30" i="12"/>
  <c r="CF19" i="40"/>
  <c r="B78" i="69"/>
  <c r="B79" i="69" s="1"/>
  <c r="B88" i="69"/>
  <c r="BS44" i="11"/>
  <c r="BR49" i="67"/>
  <c r="BR44" i="67" s="1"/>
  <c r="BR51" i="67"/>
  <c r="BS45" i="67"/>
  <c r="BO21" i="67"/>
  <c r="AD48" i="12"/>
  <c r="BQ101" i="67"/>
  <c r="BQ37" i="67"/>
  <c r="BM150" i="12"/>
  <c r="BS74" i="11"/>
  <c r="BT70" i="11" s="1"/>
  <c r="BT73" i="11" s="1"/>
  <c r="BU73" i="11" s="1"/>
  <c r="AI56" i="11"/>
  <c r="AD64" i="12"/>
  <c r="AG35" i="40"/>
  <c r="AD57" i="11"/>
  <c r="AD15" i="12"/>
  <c r="AD47" i="12"/>
  <c r="AD63" i="12"/>
  <c r="AM57" i="11"/>
  <c r="AN55" i="11"/>
  <c r="AC22" i="12"/>
  <c r="AC65" i="12"/>
  <c r="AC62" i="12"/>
  <c r="AQ56" i="11"/>
  <c r="BM47" i="11"/>
  <c r="BM49" i="11" s="1"/>
  <c r="BQ53" i="40"/>
  <c r="BN56" i="40"/>
  <c r="BN63" i="40" s="1"/>
  <c r="BO106" i="12" l="1"/>
  <c r="BO108" i="12"/>
  <c r="BO110" i="12" s="1"/>
  <c r="AE187" i="12"/>
  <c r="AE188" i="12"/>
  <c r="AE53" i="12" s="1"/>
  <c r="CM31" i="12"/>
  <c r="CL155" i="12"/>
  <c r="CJ149" i="12"/>
  <c r="CK20" i="12"/>
  <c r="AD58" i="12"/>
  <c r="CM48" i="67"/>
  <c r="CM87" i="11"/>
  <c r="CM90" i="11"/>
  <c r="CL48" i="67"/>
  <c r="CL90" i="11"/>
  <c r="CL87" i="11"/>
  <c r="CJ90" i="12"/>
  <c r="CK39" i="12"/>
  <c r="CG46" i="12"/>
  <c r="CG171" i="12" s="1"/>
  <c r="CJ18" i="40"/>
  <c r="CG19" i="40"/>
  <c r="CK32" i="40"/>
  <c r="CK27" i="67" s="1"/>
  <c r="CK33" i="40" s="1"/>
  <c r="CL10" i="40"/>
  <c r="CL16" i="40" s="1"/>
  <c r="CI30" i="40"/>
  <c r="CI30" i="12"/>
  <c r="CJ24" i="12"/>
  <c r="CJ29" i="40"/>
  <c r="CK17" i="40"/>
  <c r="B56" i="69"/>
  <c r="AC52" i="12"/>
  <c r="BO18" i="12"/>
  <c r="BS49" i="67"/>
  <c r="BS44" i="67" s="1"/>
  <c r="BS51" i="67"/>
  <c r="BR46" i="11"/>
  <c r="BR89" i="12"/>
  <c r="BR112" i="67"/>
  <c r="BR50" i="67"/>
  <c r="BR110" i="67"/>
  <c r="BR107" i="67"/>
  <c r="BR108" i="67"/>
  <c r="BR106" i="67"/>
  <c r="BT72" i="11"/>
  <c r="BT82" i="11" s="1"/>
  <c r="AC43" i="12"/>
  <c r="AK35" i="40"/>
  <c r="AK37" i="40" s="1"/>
  <c r="AG37" i="40"/>
  <c r="AJ55" i="11"/>
  <c r="AI57" i="11"/>
  <c r="AD22" i="12"/>
  <c r="AD62" i="12"/>
  <c r="AD65" i="12"/>
  <c r="AS55" i="11"/>
  <c r="AQ57" i="11"/>
  <c r="AN56" i="11"/>
  <c r="BN47" i="11"/>
  <c r="BN49" i="11" s="1"/>
  <c r="BO49" i="11" s="1"/>
  <c r="BR53" i="40"/>
  <c r="BQ56" i="40"/>
  <c r="BQ63" i="40" s="1"/>
  <c r="BO150" i="12" l="1"/>
  <c r="CM155" i="12"/>
  <c r="CM173" i="12"/>
  <c r="CK149" i="12"/>
  <c r="CL20" i="12"/>
  <c r="CK90" i="12"/>
  <c r="CL39" i="12"/>
  <c r="CK24" i="12"/>
  <c r="CK29" i="40"/>
  <c r="CL17" i="40"/>
  <c r="CL32" i="40"/>
  <c r="CM10" i="40"/>
  <c r="CM16" i="40" s="1"/>
  <c r="CJ30" i="40"/>
  <c r="CJ30" i="12"/>
  <c r="CI46" i="12"/>
  <c r="CI171" i="12" s="1"/>
  <c r="CI19" i="40"/>
  <c r="CK18" i="40"/>
  <c r="B89" i="69"/>
  <c r="B73" i="69"/>
  <c r="B69" i="69"/>
  <c r="BR37" i="67"/>
  <c r="BR101" i="67"/>
  <c r="AD52" i="12"/>
  <c r="BS46" i="11"/>
  <c r="BS89" i="12"/>
  <c r="BS108" i="67"/>
  <c r="BS50" i="67"/>
  <c r="BS107" i="67"/>
  <c r="BS112" i="67"/>
  <c r="BS106" i="67"/>
  <c r="BS110" i="67"/>
  <c r="BT74" i="11"/>
  <c r="BU72" i="11"/>
  <c r="BU74" i="11" s="1"/>
  <c r="CA70" i="11" s="1"/>
  <c r="BU82" i="11"/>
  <c r="BT44" i="11"/>
  <c r="BU44" i="11" s="1"/>
  <c r="BT83" i="11"/>
  <c r="BT45" i="67" s="1"/>
  <c r="AD43" i="12"/>
  <c r="AO55" i="11"/>
  <c r="AN57" i="11"/>
  <c r="AW55" i="11"/>
  <c r="AS56" i="11"/>
  <c r="AJ56" i="11"/>
  <c r="AJ57" i="11" s="1"/>
  <c r="BO46" i="11"/>
  <c r="BQ47" i="11"/>
  <c r="BQ49" i="11" s="1"/>
  <c r="BU117" i="12"/>
  <c r="BQ117" i="12"/>
  <c r="BQ119" i="12" s="1"/>
  <c r="BS53" i="40"/>
  <c r="BR56" i="40"/>
  <c r="BR63" i="40" s="1"/>
  <c r="CL149" i="12" l="1"/>
  <c r="CM20" i="12"/>
  <c r="CM149" i="12" s="1"/>
  <c r="CL90" i="12"/>
  <c r="CM39" i="12"/>
  <c r="CM90" i="12" s="1"/>
  <c r="CK30" i="40"/>
  <c r="CK30" i="12"/>
  <c r="CJ46" i="12"/>
  <c r="CJ171" i="12" s="1"/>
  <c r="CM22" i="40"/>
  <c r="CM28" i="40" s="1"/>
  <c r="CL18" i="40"/>
  <c r="CJ19" i="40"/>
  <c r="CM32" i="40"/>
  <c r="CL27" i="67"/>
  <c r="CL24" i="12"/>
  <c r="CL29" i="40"/>
  <c r="CM17" i="40"/>
  <c r="CM29" i="40" s="1"/>
  <c r="BO47" i="11"/>
  <c r="BS101" i="67"/>
  <c r="BS37" i="67"/>
  <c r="BW70" i="11"/>
  <c r="BW72" i="11" s="1"/>
  <c r="BW82" i="11" s="1"/>
  <c r="BW83" i="11" s="1"/>
  <c r="BW45" i="67" s="1"/>
  <c r="BT49" i="67"/>
  <c r="BT51" i="67"/>
  <c r="BU45" i="67"/>
  <c r="BU83" i="11"/>
  <c r="AT55" i="11"/>
  <c r="AS57" i="11"/>
  <c r="AO56" i="11"/>
  <c r="AW56" i="11"/>
  <c r="BW73" i="11"/>
  <c r="BR47" i="11"/>
  <c r="BR49" i="11" s="1"/>
  <c r="BQ21" i="67"/>
  <c r="BT53" i="40"/>
  <c r="BS56" i="40"/>
  <c r="BS63" i="40" s="1"/>
  <c r="CM24" i="12" l="1"/>
  <c r="CL30" i="40"/>
  <c r="CL30" i="12"/>
  <c r="CL19" i="40" s="1"/>
  <c r="CM18" i="40"/>
  <c r="CM30" i="40" s="1"/>
  <c r="CK46" i="12"/>
  <c r="CK171" i="12" s="1"/>
  <c r="CK19" i="40"/>
  <c r="CL33" i="40"/>
  <c r="CM27" i="67"/>
  <c r="CM33" i="40" s="1"/>
  <c r="BW49" i="67"/>
  <c r="BW51" i="67"/>
  <c r="BT46" i="11"/>
  <c r="BT89" i="12"/>
  <c r="BU51" i="67"/>
  <c r="BU89" i="12" s="1"/>
  <c r="BT112" i="67"/>
  <c r="BU112" i="67" s="1"/>
  <c r="BT106" i="67"/>
  <c r="BT108" i="67"/>
  <c r="BU108" i="67" s="1"/>
  <c r="BT50" i="67"/>
  <c r="BT107" i="67"/>
  <c r="BU107" i="67" s="1"/>
  <c r="BT110" i="67"/>
  <c r="BU110" i="67" s="1"/>
  <c r="BU49" i="67"/>
  <c r="BT44" i="67"/>
  <c r="BW44" i="11"/>
  <c r="BW74" i="11"/>
  <c r="BX70" i="11" s="1"/>
  <c r="BX72" i="11" s="1"/>
  <c r="BX82" i="11" s="1"/>
  <c r="BQ122" i="12"/>
  <c r="BQ18" i="12" s="1"/>
  <c r="AW57" i="11"/>
  <c r="AY55" i="11"/>
  <c r="AO57" i="11"/>
  <c r="AP55" i="11"/>
  <c r="AT56" i="11"/>
  <c r="BS47" i="11"/>
  <c r="BS49" i="11" s="1"/>
  <c r="BW53" i="40"/>
  <c r="BT56" i="40"/>
  <c r="BT63" i="40" s="1"/>
  <c r="CM30" i="12" l="1"/>
  <c r="CL46" i="12"/>
  <c r="CL171" i="12" s="1"/>
  <c r="BU50" i="67"/>
  <c r="BW46" i="11"/>
  <c r="BW89" i="12"/>
  <c r="BW107" i="67"/>
  <c r="BW112" i="67"/>
  <c r="BW106" i="67"/>
  <c r="BW110" i="67"/>
  <c r="BW108" i="67"/>
  <c r="BW50" i="67"/>
  <c r="BU44" i="67"/>
  <c r="BW44" i="67"/>
  <c r="BU106" i="67"/>
  <c r="BT101" i="67"/>
  <c r="BU101" i="67" s="1"/>
  <c r="BT37" i="67"/>
  <c r="BX73" i="11"/>
  <c r="BX74" i="11" s="1"/>
  <c r="BY70" i="11" s="1"/>
  <c r="BY72" i="11" s="1"/>
  <c r="BY82" i="11" s="1"/>
  <c r="BR117" i="12"/>
  <c r="BR119" i="12" s="1"/>
  <c r="AT57" i="11"/>
  <c r="AU55" i="11"/>
  <c r="BC55" i="11"/>
  <c r="AY56" i="11"/>
  <c r="AP56" i="11"/>
  <c r="AP57" i="11" s="1"/>
  <c r="BX83" i="11"/>
  <c r="BX45" i="67" s="1"/>
  <c r="BX44" i="11"/>
  <c r="BQ150" i="12"/>
  <c r="BW56" i="40"/>
  <c r="BW63" i="40" s="1"/>
  <c r="BX53" i="40"/>
  <c r="BR21" i="67" l="1"/>
  <c r="CM46" i="12"/>
  <c r="CM171" i="12" s="1"/>
  <c r="CM19" i="40"/>
  <c r="C78" i="69"/>
  <c r="BU37" i="67"/>
  <c r="BX49" i="67"/>
  <c r="BX44" i="67" s="1"/>
  <c r="BX51" i="67"/>
  <c r="BW37" i="67"/>
  <c r="BW101" i="67"/>
  <c r="BY73" i="11"/>
  <c r="BY74" i="11" s="1"/>
  <c r="BZ70" i="11" s="1"/>
  <c r="BC56" i="11"/>
  <c r="BR122" i="12"/>
  <c r="BR18" i="12" s="1"/>
  <c r="AU56" i="11"/>
  <c r="AZ55" i="11"/>
  <c r="AY57" i="11"/>
  <c r="BU46" i="11"/>
  <c r="BT47" i="11"/>
  <c r="BT49" i="11" s="1"/>
  <c r="BU49" i="11" s="1"/>
  <c r="BY44" i="11"/>
  <c r="BY83" i="11"/>
  <c r="BY45" i="67" s="1"/>
  <c r="BY53" i="40"/>
  <c r="BX56" i="40"/>
  <c r="BX63" i="40" s="1"/>
  <c r="C64" i="69" l="1"/>
  <c r="C88" i="69"/>
  <c r="C89" i="69" s="1"/>
  <c r="BU47" i="11"/>
  <c r="C79" i="69"/>
  <c r="C70" i="69"/>
  <c r="C73" i="69" s="1"/>
  <c r="BY49" i="67"/>
  <c r="BY44" i="67" s="1"/>
  <c r="BY51" i="67"/>
  <c r="BX46" i="11"/>
  <c r="BX47" i="11" s="1"/>
  <c r="BX49" i="11" s="1"/>
  <c r="BX89" i="12"/>
  <c r="BX107" i="67"/>
  <c r="BX112" i="67"/>
  <c r="BX106" i="67"/>
  <c r="BX108" i="67"/>
  <c r="BX50" i="67"/>
  <c r="BX110" i="67"/>
  <c r="BZ73" i="11"/>
  <c r="CA73" i="11" s="1"/>
  <c r="BZ72" i="11"/>
  <c r="BS117" i="12"/>
  <c r="BS119" i="12" s="1"/>
  <c r="AV55" i="11"/>
  <c r="AU57" i="11"/>
  <c r="BE55" i="11"/>
  <c r="BC10" i="12"/>
  <c r="BC181" i="12" s="1"/>
  <c r="AZ56" i="11"/>
  <c r="BW47" i="11"/>
  <c r="BW49" i="11" s="1"/>
  <c r="BR150" i="12"/>
  <c r="BY56" i="40"/>
  <c r="BY63" i="40" s="1"/>
  <c r="BZ53" i="40"/>
  <c r="BC185" i="12" l="1"/>
  <c r="BC184" i="12"/>
  <c r="BZ56" i="40"/>
  <c r="BZ63" i="40" s="1"/>
  <c r="CC53" i="40"/>
  <c r="BX37" i="67"/>
  <c r="BX101" i="67"/>
  <c r="BC48" i="12"/>
  <c r="BY46" i="11"/>
  <c r="BY89" i="12"/>
  <c r="BY112" i="67"/>
  <c r="BY106" i="67"/>
  <c r="BY108" i="67"/>
  <c r="BY50" i="67"/>
  <c r="BY110" i="67"/>
  <c r="BY107" i="67"/>
  <c r="BZ74" i="11"/>
  <c r="CA72" i="11"/>
  <c r="CA74" i="11" s="1"/>
  <c r="BZ82" i="11"/>
  <c r="BZ44" i="11" s="1"/>
  <c r="BC63" i="12"/>
  <c r="BC64" i="12"/>
  <c r="BC47" i="12"/>
  <c r="BE68" i="40"/>
  <c r="BE73" i="40" s="1"/>
  <c r="BF68" i="40" s="1"/>
  <c r="BF73" i="40" s="1"/>
  <c r="BG68" i="40" s="1"/>
  <c r="BC57" i="11"/>
  <c r="BC15" i="12"/>
  <c r="BE56" i="11"/>
  <c r="BI55" i="11"/>
  <c r="BA55" i="11"/>
  <c r="AZ57" i="11"/>
  <c r="AV56" i="11"/>
  <c r="AV57" i="11" s="1"/>
  <c r="BS122" i="12" l="1"/>
  <c r="BT117" i="12" s="1"/>
  <c r="BT119" i="12" s="1"/>
  <c r="BU119" i="12" s="1"/>
  <c r="BS21" i="67"/>
  <c r="CG70" i="11"/>
  <c r="CC70" i="11"/>
  <c r="BC58" i="12"/>
  <c r="CC56" i="40"/>
  <c r="CC63" i="40" s="1"/>
  <c r="CD53" i="40"/>
  <c r="BY37" i="67"/>
  <c r="BY101" i="67"/>
  <c r="BZ83" i="11"/>
  <c r="BZ45" i="67" s="1"/>
  <c r="CA82" i="11"/>
  <c r="BE74" i="40"/>
  <c r="BE76" i="40" s="1"/>
  <c r="BA56" i="11"/>
  <c r="BE57" i="11"/>
  <c r="BF55" i="11"/>
  <c r="BC22" i="12"/>
  <c r="BC62" i="12"/>
  <c r="BC65" i="12"/>
  <c r="CA44" i="11"/>
  <c r="BY47" i="11"/>
  <c r="BY49" i="11" s="1"/>
  <c r="BF74" i="40"/>
  <c r="BF76" i="40" s="1"/>
  <c r="BG73" i="40"/>
  <c r="BH68" i="40" s="1"/>
  <c r="BS18" i="12" l="1"/>
  <c r="BU122" i="12"/>
  <c r="BW117" i="12" s="1"/>
  <c r="BW119" i="12" s="1"/>
  <c r="CC73" i="11"/>
  <c r="CC72" i="11"/>
  <c r="CD56" i="40"/>
  <c r="CD63" i="40" s="1"/>
  <c r="CE53" i="40"/>
  <c r="CA83" i="11"/>
  <c r="BE52" i="12"/>
  <c r="BC52" i="12"/>
  <c r="BZ49" i="67"/>
  <c r="BZ51" i="67"/>
  <c r="CA45" i="67"/>
  <c r="BU120" i="12"/>
  <c r="BC43" i="12"/>
  <c r="BF56" i="11"/>
  <c r="BA57" i="11"/>
  <c r="BB55" i="11"/>
  <c r="BG74" i="40"/>
  <c r="BG76" i="40" s="1"/>
  <c r="BS150" i="12" l="1"/>
  <c r="BW21" i="67"/>
  <c r="CA117" i="12"/>
  <c r="BT122" i="12"/>
  <c r="BT18" i="12" s="1"/>
  <c r="BT21" i="67"/>
  <c r="CC82" i="11"/>
  <c r="CC74" i="11"/>
  <c r="CD70" i="11" s="1"/>
  <c r="CE56" i="40"/>
  <c r="CE63" i="40" s="1"/>
  <c r="CF53" i="40"/>
  <c r="BZ46" i="11"/>
  <c r="BZ89" i="12"/>
  <c r="CA51" i="67"/>
  <c r="CA89" i="12" s="1"/>
  <c r="BZ110" i="67"/>
  <c r="CA110" i="67" s="1"/>
  <c r="BZ107" i="67"/>
  <c r="CA107" i="67" s="1"/>
  <c r="BZ112" i="67"/>
  <c r="CA112" i="67" s="1"/>
  <c r="BZ106" i="67"/>
  <c r="BZ50" i="67"/>
  <c r="BZ108" i="67"/>
  <c r="CA108" i="67" s="1"/>
  <c r="CA49" i="67"/>
  <c r="BZ44" i="67"/>
  <c r="BB56" i="11"/>
  <c r="BB57" i="11" s="1"/>
  <c r="BG55" i="11"/>
  <c r="BF57" i="11"/>
  <c r="BW122" i="12"/>
  <c r="BU18" i="12" l="1"/>
  <c r="BT150" i="12"/>
  <c r="BU21" i="67"/>
  <c r="CD72" i="11"/>
  <c r="CD73" i="11"/>
  <c r="CC44" i="11"/>
  <c r="CC83" i="11"/>
  <c r="CC45" i="67" s="1"/>
  <c r="CF56" i="40"/>
  <c r="CF63" i="40" s="1"/>
  <c r="CI53" i="40"/>
  <c r="CA44" i="67"/>
  <c r="CA50" i="67"/>
  <c r="CA106" i="67"/>
  <c r="BZ37" i="67"/>
  <c r="BZ101" i="67"/>
  <c r="CA101" i="67" s="1"/>
  <c r="BZ47" i="11"/>
  <c r="BZ49" i="11" s="1"/>
  <c r="CA49" i="11" s="1"/>
  <c r="CA46" i="11"/>
  <c r="BX117" i="12"/>
  <c r="BX119" i="12" s="1"/>
  <c r="BW18" i="12"/>
  <c r="BU150" i="12" l="1"/>
  <c r="CD74" i="11"/>
  <c r="CE70" i="11" s="1"/>
  <c r="CE73" i="11" s="1"/>
  <c r="CC49" i="67"/>
  <c r="CC51" i="67"/>
  <c r="CD82" i="11"/>
  <c r="CI56" i="40"/>
  <c r="CI63" i="40" s="1"/>
  <c r="CJ53" i="40"/>
  <c r="CA47" i="11"/>
  <c r="CA37" i="67"/>
  <c r="BW150" i="12"/>
  <c r="BX21" i="67"/>
  <c r="CE72" i="11" l="1"/>
  <c r="D88" i="69"/>
  <c r="D89" i="69" s="1"/>
  <c r="D78" i="69"/>
  <c r="CE74" i="11"/>
  <c r="CF70" i="11" s="1"/>
  <c r="CE82" i="11"/>
  <c r="CC89" i="12"/>
  <c r="CC46" i="11"/>
  <c r="CC47" i="11" s="1"/>
  <c r="CC49" i="11" s="1"/>
  <c r="CC110" i="67"/>
  <c r="CC106" i="67"/>
  <c r="CC112" i="67"/>
  <c r="CC107" i="67"/>
  <c r="CC108" i="67"/>
  <c r="CC50" i="67"/>
  <c r="CC44" i="67"/>
  <c r="CD44" i="11"/>
  <c r="CD83" i="11"/>
  <c r="CD45" i="67" s="1"/>
  <c r="CJ56" i="40"/>
  <c r="CJ63" i="40" s="1"/>
  <c r="CK53" i="40"/>
  <c r="D64" i="69"/>
  <c r="BX122" i="12"/>
  <c r="D79" i="69" l="1"/>
  <c r="D70" i="69"/>
  <c r="D73" i="69" s="1"/>
  <c r="CE44" i="11"/>
  <c r="CE83" i="11"/>
  <c r="CE45" i="67" s="1"/>
  <c r="CD49" i="67"/>
  <c r="CD44" i="67" s="1"/>
  <c r="CD51" i="67"/>
  <c r="CC37" i="67"/>
  <c r="CC101" i="67"/>
  <c r="CF73" i="11"/>
  <c r="CG73" i="11" s="1"/>
  <c r="CF72" i="11"/>
  <c r="CL53" i="40"/>
  <c r="CL56" i="40" s="1"/>
  <c r="CL63" i="40" s="1"/>
  <c r="CK56" i="40"/>
  <c r="CK63" i="40" s="1"/>
  <c r="BX18" i="12"/>
  <c r="BY117" i="12"/>
  <c r="BY119" i="12" s="1"/>
  <c r="CF82" i="11" l="1"/>
  <c r="CG72" i="11"/>
  <c r="CG74" i="11" s="1"/>
  <c r="CD46" i="11"/>
  <c r="CD89" i="12"/>
  <c r="CF74" i="11"/>
  <c r="CE51" i="67"/>
  <c r="CE49" i="67"/>
  <c r="CD110" i="67"/>
  <c r="CD50" i="67"/>
  <c r="CD107" i="67"/>
  <c r="CD108" i="67"/>
  <c r="CD112" i="67"/>
  <c r="CD106" i="67"/>
  <c r="BX150" i="12"/>
  <c r="BY21" i="67"/>
  <c r="CD37" i="67" l="1"/>
  <c r="CD101" i="67"/>
  <c r="CE112" i="67"/>
  <c r="CE108" i="67"/>
  <c r="CE110" i="67"/>
  <c r="CE107" i="67"/>
  <c r="CE106" i="67"/>
  <c r="CE50" i="67"/>
  <c r="CE46" i="11"/>
  <c r="CE47" i="11" s="1"/>
  <c r="CE49" i="11" s="1"/>
  <c r="CE89" i="12"/>
  <c r="CE44" i="67"/>
  <c r="CD47" i="11"/>
  <c r="CD49" i="11" s="1"/>
  <c r="CF44" i="11"/>
  <c r="CF83" i="11"/>
  <c r="CG82" i="11"/>
  <c r="CI70" i="11"/>
  <c r="CM70" i="11"/>
  <c r="BY122" i="12"/>
  <c r="CI73" i="11" l="1"/>
  <c r="CI72" i="11"/>
  <c r="CG83" i="11"/>
  <c r="CF45" i="67"/>
  <c r="CG44" i="11"/>
  <c r="CE37" i="67"/>
  <c r="CE101" i="67"/>
  <c r="BZ117" i="12"/>
  <c r="BZ119" i="12" s="1"/>
  <c r="CA119" i="12" s="1"/>
  <c r="BY18" i="12"/>
  <c r="CI74" i="11" l="1"/>
  <c r="CJ70" i="11" s="1"/>
  <c r="CJ72" i="11" s="1"/>
  <c r="CJ82" i="11" s="1"/>
  <c r="CF51" i="67"/>
  <c r="CF49" i="67"/>
  <c r="CG45" i="67"/>
  <c r="CI82" i="11"/>
  <c r="BY150" i="12"/>
  <c r="BZ21" i="67"/>
  <c r="CJ73" i="11" l="1"/>
  <c r="CJ74" i="11" s="1"/>
  <c r="CK70" i="11" s="1"/>
  <c r="CK73" i="11" s="1"/>
  <c r="CI44" i="11"/>
  <c r="CI83" i="11"/>
  <c r="CI45" i="67" s="1"/>
  <c r="CF107" i="67"/>
  <c r="CG107" i="67" s="1"/>
  <c r="CF110" i="67"/>
  <c r="CG110" i="67" s="1"/>
  <c r="CF50" i="67"/>
  <c r="CF108" i="67"/>
  <c r="CG108" i="67" s="1"/>
  <c r="CF106" i="67"/>
  <c r="CF112" i="67"/>
  <c r="CG112" i="67" s="1"/>
  <c r="CG49" i="67"/>
  <c r="CF44" i="67"/>
  <c r="CF46" i="11"/>
  <c r="CF89" i="12"/>
  <c r="CG51" i="67"/>
  <c r="CG89" i="12" s="1"/>
  <c r="CJ44" i="11"/>
  <c r="CJ83" i="11"/>
  <c r="CA21" i="67"/>
  <c r="BZ122" i="12"/>
  <c r="BZ18" i="12" s="1"/>
  <c r="CK72" i="11" l="1"/>
  <c r="CK82" i="11" s="1"/>
  <c r="CG44" i="67"/>
  <c r="CI51" i="67"/>
  <c r="CI49" i="67"/>
  <c r="CJ45" i="67"/>
  <c r="CG46" i="11"/>
  <c r="CG47" i="11" s="1"/>
  <c r="CF47" i="11"/>
  <c r="CF49" i="11" s="1"/>
  <c r="CG49" i="11" s="1"/>
  <c r="CG50" i="67"/>
  <c r="CG106" i="67"/>
  <c r="CF101" i="67"/>
  <c r="CG101" i="67" s="1"/>
  <c r="CF37" i="67"/>
  <c r="CA18" i="12"/>
  <c r="CA122" i="12"/>
  <c r="CA120" i="12"/>
  <c r="BZ150" i="12"/>
  <c r="E64" i="69" l="1"/>
  <c r="CK74" i="11"/>
  <c r="CL70" i="11" s="1"/>
  <c r="CL73" i="11" s="1"/>
  <c r="CM73" i="11" s="1"/>
  <c r="CG37" i="67"/>
  <c r="CJ51" i="67"/>
  <c r="CJ49" i="67"/>
  <c r="CI46" i="11"/>
  <c r="CI89" i="12"/>
  <c r="CK44" i="11"/>
  <c r="CK83" i="11"/>
  <c r="CK45" i="67" s="1"/>
  <c r="CI108" i="67"/>
  <c r="CI112" i="67"/>
  <c r="CI106" i="67"/>
  <c r="CI110" i="67"/>
  <c r="CI107" i="67"/>
  <c r="CI50" i="67"/>
  <c r="CI44" i="67"/>
  <c r="CC117" i="12"/>
  <c r="CC119" i="12" s="1"/>
  <c r="CG117" i="12"/>
  <c r="CA150" i="12"/>
  <c r="E78" i="69" l="1"/>
  <c r="E79" i="69" s="1"/>
  <c r="CL72" i="11"/>
  <c r="CM72" i="11" s="1"/>
  <c r="CM74" i="11" s="1"/>
  <c r="E88" i="69"/>
  <c r="E89" i="69" s="1"/>
  <c r="CJ44" i="67"/>
  <c r="CK51" i="67"/>
  <c r="CK49" i="67"/>
  <c r="CI101" i="67"/>
  <c r="CI37" i="67"/>
  <c r="CJ107" i="67"/>
  <c r="CJ106" i="67"/>
  <c r="CJ50" i="67"/>
  <c r="CJ108" i="67"/>
  <c r="CJ112" i="67"/>
  <c r="CJ110" i="67"/>
  <c r="CI47" i="11"/>
  <c r="CI49" i="11" s="1"/>
  <c r="CJ46" i="11"/>
  <c r="CJ47" i="11" s="1"/>
  <c r="CJ49" i="11" s="1"/>
  <c r="CJ89" i="12"/>
  <c r="CC21" i="67"/>
  <c r="CL82" i="11" l="1"/>
  <c r="CM82" i="11" s="1"/>
  <c r="CL74" i="11"/>
  <c r="E70" i="69"/>
  <c r="E73" i="69" s="1"/>
  <c r="E74" i="69" s="1"/>
  <c r="CK44" i="67"/>
  <c r="CK108" i="67"/>
  <c r="CK107" i="67"/>
  <c r="CK50" i="67"/>
  <c r="CK110" i="67"/>
  <c r="CK106" i="67"/>
  <c r="CK112" i="67"/>
  <c r="CK89" i="12"/>
  <c r="CK46" i="11"/>
  <c r="CL44" i="11"/>
  <c r="CJ37" i="67"/>
  <c r="CJ101" i="67"/>
  <c r="CC122" i="12"/>
  <c r="CC18" i="12" s="1"/>
  <c r="BI15" i="11"/>
  <c r="BG24" i="11"/>
  <c r="BG26" i="11" s="1"/>
  <c r="CL83" i="11" l="1"/>
  <c r="CM44" i="11"/>
  <c r="CK37" i="67"/>
  <c r="CK101" i="67"/>
  <c r="CD117" i="12"/>
  <c r="CD119" i="12" s="1"/>
  <c r="CM83" i="11"/>
  <c r="CL45" i="67"/>
  <c r="CK47" i="11"/>
  <c r="CK49" i="11" s="1"/>
  <c r="CC150" i="12"/>
  <c r="BG76" i="12"/>
  <c r="BG53" i="11"/>
  <c r="BG60" i="11"/>
  <c r="BG40" i="12"/>
  <c r="BG178" i="12" s="1"/>
  <c r="BG64" i="11" l="1"/>
  <c r="BG65" i="11"/>
  <c r="BG185" i="12"/>
  <c r="BG184" i="12"/>
  <c r="CL49" i="67"/>
  <c r="CL51" i="67"/>
  <c r="CM45" i="67"/>
  <c r="CD122" i="12"/>
  <c r="CD18" i="12" s="1"/>
  <c r="BG51" i="12"/>
  <c r="BG75" i="12"/>
  <c r="BG77" i="12"/>
  <c r="BG61" i="11"/>
  <c r="BG59" i="12"/>
  <c r="BG93" i="12"/>
  <c r="BG42" i="12"/>
  <c r="BG56" i="11"/>
  <c r="BI37" i="12"/>
  <c r="BK87" i="12" s="1"/>
  <c r="CD21" i="67" l="1"/>
  <c r="BG188" i="12"/>
  <c r="BG53" i="12" s="1"/>
  <c r="BG187" i="12"/>
  <c r="BI87" i="12"/>
  <c r="CE117" i="12"/>
  <c r="CE119" i="12" s="1"/>
  <c r="CL112" i="67"/>
  <c r="CM112" i="67" s="1"/>
  <c r="CL110" i="67"/>
  <c r="CM110" i="67" s="1"/>
  <c r="CL106" i="67"/>
  <c r="CL50" i="67"/>
  <c r="CL108" i="67"/>
  <c r="CM108" i="67" s="1"/>
  <c r="CL107" i="67"/>
  <c r="CM107" i="67" s="1"/>
  <c r="CL44" i="67"/>
  <c r="CM44" i="67" s="1"/>
  <c r="CM49" i="67"/>
  <c r="CL89" i="12"/>
  <c r="CL46" i="11"/>
  <c r="CM51" i="67"/>
  <c r="CM89" i="12" s="1"/>
  <c r="CD150" i="12"/>
  <c r="BG78" i="12"/>
  <c r="BG63" i="11"/>
  <c r="BH55" i="11"/>
  <c r="BG62" i="11"/>
  <c r="CL47" i="11" l="1"/>
  <c r="CL49" i="11" s="1"/>
  <c r="CM49" i="11" s="1"/>
  <c r="CM46" i="11"/>
  <c r="CM47" i="11" s="1"/>
  <c r="CM50" i="67"/>
  <c r="CM106" i="67"/>
  <c r="CL37" i="67"/>
  <c r="CL101" i="67"/>
  <c r="CM101" i="67" s="1"/>
  <c r="BG15" i="12"/>
  <c r="BG57" i="11"/>
  <c r="CE122" i="12" l="1"/>
  <c r="CE18" i="12" s="1"/>
  <c r="CE21" i="67"/>
  <c r="CM37" i="67"/>
  <c r="BG62" i="12"/>
  <c r="BG65" i="12"/>
  <c r="BG22" i="12"/>
  <c r="CF117" i="12" l="1"/>
  <c r="CF119" i="12" s="1"/>
  <c r="CG119" i="12" s="1"/>
  <c r="CE150" i="12"/>
  <c r="CF21" i="67"/>
  <c r="CF122" i="12"/>
  <c r="CF18" i="12" s="1"/>
  <c r="BG52" i="12"/>
  <c r="BG43" i="12"/>
  <c r="CG18" i="12" l="1"/>
  <c r="CF150" i="12"/>
  <c r="CG120" i="12"/>
  <c r="CG122" i="12"/>
  <c r="CG21" i="67"/>
  <c r="CI117" i="12" l="1"/>
  <c r="CI119" i="12" s="1"/>
  <c r="CM117" i="12"/>
  <c r="CG150" i="12"/>
  <c r="BH142" i="12"/>
  <c r="BH143" i="12" s="1"/>
  <c r="BH144" i="12" s="1"/>
  <c r="BH138" i="12" s="1"/>
  <c r="CI122" i="12" l="1"/>
  <c r="CJ117" i="12" l="1"/>
  <c r="CJ119" i="12" s="1"/>
  <c r="CI18" i="12"/>
  <c r="CI21" i="67"/>
  <c r="CJ122" i="12" l="1"/>
  <c r="CI150" i="12"/>
  <c r="BH73" i="40"/>
  <c r="BH74" i="40" s="1"/>
  <c r="BH76" i="40" s="1"/>
  <c r="BI76" i="40" s="1"/>
  <c r="BI142" i="12"/>
  <c r="BI143" i="12" s="1"/>
  <c r="BI144" i="12" s="1"/>
  <c r="BI138" i="12" s="1"/>
  <c r="CK117" i="12" l="1"/>
  <c r="CK119" i="12" s="1"/>
  <c r="CJ18" i="12"/>
  <c r="CJ21" i="67"/>
  <c r="BH91" i="12"/>
  <c r="BI91" i="12" s="1"/>
  <c r="BI92" i="12" s="1"/>
  <c r="BI9" i="11"/>
  <c r="BI12" i="11" s="1"/>
  <c r="BH12" i="11"/>
  <c r="BO86" i="12" l="1"/>
  <c r="BK86" i="12"/>
  <c r="CJ150" i="12"/>
  <c r="CK122" i="12"/>
  <c r="BI24" i="11"/>
  <c r="BI26" i="11" s="1"/>
  <c r="BH92" i="12"/>
  <c r="BH24" i="11"/>
  <c r="BH26" i="11" s="1"/>
  <c r="BI60" i="11" l="1"/>
  <c r="BI76" i="12"/>
  <c r="BI53" i="11"/>
  <c r="CK18" i="12"/>
  <c r="CL117" i="12"/>
  <c r="CL119" i="12" s="1"/>
  <c r="CM119" i="12" s="1"/>
  <c r="CK21" i="67"/>
  <c r="BH76" i="12"/>
  <c r="BH53" i="11"/>
  <c r="BH60" i="11"/>
  <c r="BI38" i="12"/>
  <c r="BH40" i="12"/>
  <c r="BH178" i="12" s="1"/>
  <c r="BI64" i="11" l="1"/>
  <c r="BI65" i="11"/>
  <c r="BH64" i="11"/>
  <c r="BH65" i="11"/>
  <c r="BH184" i="12"/>
  <c r="BH185" i="12"/>
  <c r="BI56" i="11"/>
  <c r="BK55" i="11" s="1"/>
  <c r="BI77" i="12"/>
  <c r="BI75" i="12"/>
  <c r="BI61" i="11"/>
  <c r="BI63" i="11" s="1"/>
  <c r="CL122" i="12"/>
  <c r="CL18" i="12" s="1"/>
  <c r="CK150" i="12"/>
  <c r="BH51" i="12"/>
  <c r="BH77" i="12"/>
  <c r="BH61" i="11"/>
  <c r="BH75" i="12"/>
  <c r="BH59" i="12"/>
  <c r="BH93" i="12"/>
  <c r="BH42" i="12"/>
  <c r="BI40" i="12"/>
  <c r="BI178" i="12" s="1"/>
  <c r="BH56" i="11"/>
  <c r="BI10" i="12" l="1"/>
  <c r="BI181" i="12" s="1"/>
  <c r="BI185" i="12" s="1"/>
  <c r="BH187" i="12"/>
  <c r="BI187" i="12"/>
  <c r="BI184" i="12"/>
  <c r="BH188" i="12"/>
  <c r="BH53" i="12" s="1"/>
  <c r="BI188" i="12"/>
  <c r="BI53" i="12" s="1"/>
  <c r="BI62" i="11"/>
  <c r="BI78" i="12"/>
  <c r="CM18" i="12"/>
  <c r="CL150" i="12"/>
  <c r="CL21" i="67"/>
  <c r="BI51" i="12"/>
  <c r="BH78" i="12"/>
  <c r="BH63" i="11"/>
  <c r="BI48" i="12"/>
  <c r="BI59" i="12"/>
  <c r="BI93" i="12"/>
  <c r="BI64" i="12"/>
  <c r="BI63" i="12"/>
  <c r="BI47" i="12"/>
  <c r="BH15" i="12"/>
  <c r="BH57" i="11"/>
  <c r="BI57" i="11"/>
  <c r="BK68" i="40"/>
  <c r="BI15" i="12"/>
  <c r="BH62" i="11"/>
  <c r="BI42" i="12"/>
  <c r="BO55" i="11"/>
  <c r="BI58" i="12" l="1"/>
  <c r="CM21" i="67"/>
  <c r="CM150" i="12"/>
  <c r="CM120" i="12"/>
  <c r="CM122" i="12"/>
  <c r="BH62" i="12"/>
  <c r="BH65" i="12"/>
  <c r="BI65" i="12"/>
  <c r="BI62" i="12"/>
  <c r="BI22" i="12"/>
  <c r="BH22" i="12"/>
  <c r="BH52" i="12" l="1"/>
  <c r="BI52" i="12"/>
  <c r="BI43" i="12"/>
  <c r="BH43" i="12"/>
  <c r="BF31" i="66" l="1"/>
  <c r="BL8" i="13" s="1"/>
  <c r="BI50" i="66"/>
  <c r="BI15" i="13" s="1"/>
  <c r="BH86" i="66"/>
  <c r="BH50" i="66"/>
  <c r="BH15" i="13" s="1"/>
  <c r="BH33" i="66"/>
  <c r="BH37" i="66"/>
  <c r="BG50" i="66"/>
  <c r="BG15" i="13" s="1"/>
  <c r="BG33" i="66"/>
  <c r="BG37" i="66"/>
  <c r="BG35" i="66"/>
  <c r="BE50" i="66"/>
  <c r="BE15" i="13" s="1"/>
  <c r="DJ7" i="13" s="1"/>
  <c r="DJ15" i="13" s="1"/>
  <c r="BE33" i="66"/>
  <c r="BE37" i="66"/>
  <c r="BE35" i="66"/>
  <c r="BF50" i="66"/>
  <c r="BF15" i="13" s="1"/>
  <c r="BF33" i="66"/>
  <c r="BF37" i="66"/>
  <c r="BF35" i="66"/>
  <c r="DK7" i="13" l="1"/>
  <c r="DK15" i="13" s="1"/>
  <c r="DL7" i="13"/>
  <c r="DL15" i="13" s="1"/>
  <c r="DM7" i="13"/>
  <c r="DM15" i="13" s="1"/>
  <c r="BK70" i="13"/>
  <c r="BG86" i="66"/>
  <c r="BM70" i="13"/>
  <c r="BF86" i="66"/>
  <c r="BL70" i="13"/>
  <c r="BK69" i="13"/>
  <c r="BK71" i="13"/>
  <c r="BF85" i="66"/>
  <c r="BL69" i="13"/>
  <c r="BL71" i="13"/>
  <c r="BF67" i="13"/>
  <c r="BF40" i="13"/>
  <c r="BL31" i="66"/>
  <c r="BM71" i="13"/>
  <c r="BG85" i="66"/>
  <c r="BM69" i="13"/>
  <c r="BG67" i="13"/>
  <c r="BG40" i="13"/>
  <c r="BN71" i="13"/>
  <c r="BN69" i="13"/>
  <c r="BH67" i="13"/>
  <c r="BH40" i="13"/>
  <c r="BE67" i="13"/>
  <c r="BE40" i="13"/>
  <c r="BI67" i="13"/>
  <c r="BI40" i="13"/>
  <c r="BL33" i="66"/>
  <c r="BI37" i="66"/>
  <c r="BF84" i="66"/>
  <c r="BF45" i="66"/>
  <c r="BL49" i="66" s="1"/>
  <c r="BI35" i="66"/>
  <c r="BG87" i="66"/>
  <c r="BM37" i="66"/>
  <c r="BE86" i="66"/>
  <c r="BE85" i="66"/>
  <c r="BI33" i="66"/>
  <c r="BM33" i="66"/>
  <c r="BH87" i="66"/>
  <c r="BN37" i="66"/>
  <c r="BE87" i="66"/>
  <c r="BK37" i="66"/>
  <c r="BF87" i="66"/>
  <c r="BL37" i="66"/>
  <c r="BK33" i="66"/>
  <c r="BN33" i="66"/>
  <c r="BH85" i="66"/>
  <c r="BL68" i="13" l="1"/>
  <c r="BL33" i="13"/>
  <c r="BR33" i="13"/>
  <c r="BS84" i="13"/>
  <c r="BM84" i="13"/>
  <c r="BO70" i="13"/>
  <c r="BR84" i="13"/>
  <c r="BL84" i="13"/>
  <c r="BQ84" i="13"/>
  <c r="BK84" i="13"/>
  <c r="BK83" i="13"/>
  <c r="BQ69" i="13"/>
  <c r="BQ71" i="13"/>
  <c r="BK85" i="13"/>
  <c r="BL83" i="13"/>
  <c r="BR33" i="66"/>
  <c r="BX33" i="66" s="1"/>
  <c r="BR69" i="13"/>
  <c r="BL85" i="13"/>
  <c r="BR71" i="13"/>
  <c r="BF81" i="13"/>
  <c r="BR31" i="66"/>
  <c r="BR68" i="13"/>
  <c r="BS71" i="13"/>
  <c r="BM85" i="13"/>
  <c r="BS69" i="13"/>
  <c r="BM83" i="13"/>
  <c r="BG81" i="13"/>
  <c r="BT71" i="13"/>
  <c r="BI87" i="66"/>
  <c r="BN85" i="13"/>
  <c r="BI85" i="66"/>
  <c r="BN83" i="13"/>
  <c r="BT69" i="13"/>
  <c r="BH81" i="13"/>
  <c r="BE81" i="13"/>
  <c r="BI81" i="13"/>
  <c r="BI38" i="66"/>
  <c r="BT33" i="66"/>
  <c r="BS33" i="66"/>
  <c r="BF46" i="66"/>
  <c r="BQ33" i="66"/>
  <c r="BO33" i="66"/>
  <c r="BS37" i="66"/>
  <c r="BO37" i="66"/>
  <c r="BQ37" i="66"/>
  <c r="BR37" i="66"/>
  <c r="BT37" i="66"/>
  <c r="BL45" i="66"/>
  <c r="BI36" i="66"/>
  <c r="BI86" i="66"/>
  <c r="CD33" i="66" l="1"/>
  <c r="CD69" i="13"/>
  <c r="BL82" i="13"/>
  <c r="BI71" i="13"/>
  <c r="BW69" i="13"/>
  <c r="BQ83" i="13"/>
  <c r="BW71" i="13"/>
  <c r="BQ85" i="13"/>
  <c r="BR83" i="13"/>
  <c r="BX69" i="13"/>
  <c r="BX71" i="13"/>
  <c r="BR85" i="13"/>
  <c r="BL11" i="66"/>
  <c r="BX31" i="66"/>
  <c r="BX68" i="13"/>
  <c r="BR82" i="13"/>
  <c r="BY71" i="13"/>
  <c r="BS85" i="13"/>
  <c r="BS83" i="13"/>
  <c r="BY69" i="13"/>
  <c r="BT85" i="13"/>
  <c r="BZ71" i="13"/>
  <c r="BZ69" i="13"/>
  <c r="BT83" i="13"/>
  <c r="BZ37" i="66"/>
  <c r="BU37" i="66"/>
  <c r="BW37" i="66"/>
  <c r="BU33" i="66"/>
  <c r="BW33" i="66"/>
  <c r="BY33" i="66"/>
  <c r="BO38" i="66"/>
  <c r="BX37" i="66"/>
  <c r="BY37" i="66"/>
  <c r="BO34" i="66"/>
  <c r="BZ33" i="66"/>
  <c r="BX45" i="66" l="1"/>
  <c r="BX9" i="66" s="1"/>
  <c r="CF33" i="66"/>
  <c r="CF69" i="13"/>
  <c r="CE71" i="13"/>
  <c r="CE37" i="66"/>
  <c r="CD37" i="66"/>
  <c r="CD71" i="13"/>
  <c r="CE33" i="66"/>
  <c r="CE69" i="13"/>
  <c r="CD31" i="66"/>
  <c r="CD68" i="13"/>
  <c r="CJ33" i="66"/>
  <c r="CJ69" i="13"/>
  <c r="CC69" i="13"/>
  <c r="CC33" i="66"/>
  <c r="CC37" i="66"/>
  <c r="CC71" i="13"/>
  <c r="CF37" i="66"/>
  <c r="CF71" i="13"/>
  <c r="CD83" i="13"/>
  <c r="BL47" i="66"/>
  <c r="BL50" i="66" s="1"/>
  <c r="BL15" i="13" s="1"/>
  <c r="BL118" i="67"/>
  <c r="BL120" i="67" s="1"/>
  <c r="BL129" i="67" s="1"/>
  <c r="BI70" i="13"/>
  <c r="BX85" i="13"/>
  <c r="BX83" i="13"/>
  <c r="BW85" i="13"/>
  <c r="BW83" i="13"/>
  <c r="BZ83" i="13"/>
  <c r="BZ85" i="13"/>
  <c r="BY83" i="13"/>
  <c r="BY85" i="13"/>
  <c r="BX82" i="13"/>
  <c r="BL46" i="66"/>
  <c r="BO36" i="13"/>
  <c r="BO71" i="13"/>
  <c r="BO69" i="13"/>
  <c r="CA33" i="66"/>
  <c r="CA34" i="66" s="1"/>
  <c r="CA37" i="66"/>
  <c r="BU34" i="66"/>
  <c r="BU38" i="66"/>
  <c r="CF85" i="13" l="1"/>
  <c r="CI37" i="66"/>
  <c r="CI71" i="13"/>
  <c r="CG37" i="66"/>
  <c r="CI69" i="13"/>
  <c r="CI33" i="66"/>
  <c r="CG33" i="66"/>
  <c r="CJ83" i="13"/>
  <c r="CJ31" i="66"/>
  <c r="CJ68" i="13"/>
  <c r="CE83" i="13"/>
  <c r="CJ71" i="13"/>
  <c r="CJ37" i="66"/>
  <c r="CK37" i="66"/>
  <c r="CK71" i="13"/>
  <c r="CL33" i="66"/>
  <c r="CL69" i="13"/>
  <c r="CL37" i="66"/>
  <c r="CL71" i="13"/>
  <c r="CC85" i="13"/>
  <c r="CC83" i="13"/>
  <c r="CD82" i="13"/>
  <c r="CK33" i="66"/>
  <c r="CK69" i="13"/>
  <c r="CD85" i="13"/>
  <c r="CE85" i="13"/>
  <c r="CF83" i="13"/>
  <c r="DO7" i="13"/>
  <c r="DO15" i="13" s="1"/>
  <c r="BL67" i="13"/>
  <c r="BL40" i="13"/>
  <c r="BO84" i="13"/>
  <c r="BX46" i="66"/>
  <c r="BX9" i="67"/>
  <c r="BX11" i="66"/>
  <c r="BO85" i="13"/>
  <c r="CA38" i="66"/>
  <c r="BL81" i="13" l="1"/>
  <c r="CK83" i="13"/>
  <c r="CL85" i="13"/>
  <c r="CL83" i="13"/>
  <c r="CK85" i="13"/>
  <c r="CJ82" i="13"/>
  <c r="CG34" i="66"/>
  <c r="CM33" i="66"/>
  <c r="CG38" i="66"/>
  <c r="CM37" i="66"/>
  <c r="CJ85" i="13"/>
  <c r="CI83" i="13"/>
  <c r="CI85" i="13"/>
  <c r="CM38" i="66" l="1"/>
  <c r="CM34" i="66"/>
  <c r="BE31" i="66" l="1"/>
  <c r="BK8" i="13" s="1"/>
  <c r="BH31" i="66"/>
  <c r="BN8" i="13" s="1"/>
  <c r="BG31" i="66"/>
  <c r="BM8" i="13" s="1"/>
  <c r="BI34" i="66"/>
  <c r="BG84" i="66" l="1"/>
  <c r="BN31" i="66"/>
  <c r="BN45" i="66" s="1"/>
  <c r="BM31" i="66"/>
  <c r="BM45" i="66" s="1"/>
  <c r="BG45" i="66"/>
  <c r="BM49" i="66" s="1"/>
  <c r="BI31" i="66"/>
  <c r="BH84" i="66"/>
  <c r="BH45" i="66"/>
  <c r="BN49" i="66" s="1"/>
  <c r="BE84" i="66"/>
  <c r="BE45" i="66"/>
  <c r="BK49" i="66" s="1"/>
  <c r="BK31" i="66"/>
  <c r="BQ8" i="13" s="1"/>
  <c r="BU8" i="13" l="1"/>
  <c r="BO8" i="13"/>
  <c r="BG46" i="66"/>
  <c r="BO34" i="13"/>
  <c r="BI69" i="13"/>
  <c r="BE46" i="66"/>
  <c r="BN68" i="13"/>
  <c r="BK33" i="13"/>
  <c r="BM68" i="13"/>
  <c r="BK68" i="13"/>
  <c r="BN33" i="13"/>
  <c r="BT33" i="13"/>
  <c r="BM33" i="13"/>
  <c r="BS33" i="13"/>
  <c r="BS31" i="66"/>
  <c r="BS68" i="13"/>
  <c r="BT68" i="13"/>
  <c r="BT31" i="66"/>
  <c r="BO31" i="66"/>
  <c r="BO45" i="66" s="1"/>
  <c r="BI84" i="66"/>
  <c r="BI45" i="66"/>
  <c r="BI32" i="66"/>
  <c r="BH46" i="66"/>
  <c r="BK45" i="66"/>
  <c r="BQ49" i="66" s="1"/>
  <c r="BO48" i="66"/>
  <c r="BQ31" i="66"/>
  <c r="BQ45" i="66" s="1"/>
  <c r="BN46" i="66" l="1"/>
  <c r="BO32" i="66"/>
  <c r="BZ31" i="66"/>
  <c r="BZ45" i="66" s="1"/>
  <c r="BO83" i="13"/>
  <c r="BN82" i="13"/>
  <c r="BM82" i="13"/>
  <c r="BI68" i="13"/>
  <c r="BK82" i="13"/>
  <c r="BQ33" i="13"/>
  <c r="BW33" i="13"/>
  <c r="BQ68" i="13"/>
  <c r="BQ82" i="13" s="1"/>
  <c r="BS82" i="13"/>
  <c r="BY31" i="66"/>
  <c r="BY45" i="66" s="1"/>
  <c r="BY68" i="13"/>
  <c r="BT82" i="13"/>
  <c r="BZ68" i="13"/>
  <c r="BQ9" i="66"/>
  <c r="BW68" i="13"/>
  <c r="BI46" i="66"/>
  <c r="BW31" i="66"/>
  <c r="BW45" i="66" s="1"/>
  <c r="BU48" i="66"/>
  <c r="BO49" i="66"/>
  <c r="BU31" i="66"/>
  <c r="CF68" i="13" l="1"/>
  <c r="CF82" i="13" s="1"/>
  <c r="CF31" i="66"/>
  <c r="CC31" i="66"/>
  <c r="CC68" i="13"/>
  <c r="CE31" i="66"/>
  <c r="CE68" i="13"/>
  <c r="BO68" i="13"/>
  <c r="BO33" i="13"/>
  <c r="BZ82" i="13"/>
  <c r="BY82" i="13"/>
  <c r="BW82" i="13"/>
  <c r="BM11" i="66"/>
  <c r="BM118" i="67" s="1"/>
  <c r="BM120" i="67" s="1"/>
  <c r="BM129" i="67" s="1"/>
  <c r="BM46" i="66"/>
  <c r="BZ9" i="66"/>
  <c r="BZ11" i="66" s="1"/>
  <c r="BN11" i="66"/>
  <c r="BN47" i="66" s="1"/>
  <c r="BK46" i="66"/>
  <c r="BK11" i="66"/>
  <c r="CA31" i="66"/>
  <c r="BU32" i="66"/>
  <c r="BQ11" i="66"/>
  <c r="BQ46" i="66"/>
  <c r="BQ9" i="67"/>
  <c r="BN50" i="66" l="1"/>
  <c r="BN118" i="67"/>
  <c r="BN120" i="67" s="1"/>
  <c r="BN129" i="67" s="1"/>
  <c r="CA45" i="66"/>
  <c r="CL31" i="66"/>
  <c r="CL68" i="13"/>
  <c r="CL82" i="13" s="1"/>
  <c r="CG49" i="66"/>
  <c r="CK31" i="66"/>
  <c r="CK68" i="13"/>
  <c r="CG31" i="66"/>
  <c r="CI31" i="66"/>
  <c r="CI68" i="13"/>
  <c r="CE82" i="13"/>
  <c r="CC82" i="13"/>
  <c r="BO82" i="13"/>
  <c r="BK47" i="66"/>
  <c r="BK50" i="66" s="1"/>
  <c r="BK15" i="13" s="1"/>
  <c r="BK118" i="67"/>
  <c r="BK120" i="67" s="1"/>
  <c r="BK129" i="67" s="1"/>
  <c r="BW9" i="66"/>
  <c r="CA48" i="66"/>
  <c r="BM47" i="66"/>
  <c r="BM50" i="66" s="1"/>
  <c r="BM15" i="13" s="1"/>
  <c r="BY9" i="66"/>
  <c r="BZ9" i="67"/>
  <c r="BZ46" i="66"/>
  <c r="BO9" i="67"/>
  <c r="BO46" i="66"/>
  <c r="BO11" i="66"/>
  <c r="CA32" i="66"/>
  <c r="BQ47" i="66"/>
  <c r="BQ50" i="66" s="1"/>
  <c r="BQ15" i="13" s="1"/>
  <c r="DN7" i="13" l="1"/>
  <c r="DN15" i="13" s="1"/>
  <c r="BW9" i="67"/>
  <c r="CA9" i="66"/>
  <c r="BN15" i="13"/>
  <c r="BN67" i="13" s="1"/>
  <c r="BO47" i="66"/>
  <c r="BO50" i="66" s="1"/>
  <c r="BO15" i="13" s="1"/>
  <c r="BO118" i="67"/>
  <c r="BO120" i="67" s="1"/>
  <c r="BO129" i="67" s="1"/>
  <c r="DR7" i="13"/>
  <c r="DP7" i="13"/>
  <c r="DP15" i="13" s="1"/>
  <c r="CI82" i="13"/>
  <c r="CG32" i="66"/>
  <c r="CK82" i="13"/>
  <c r="CM31" i="66"/>
  <c r="CM32" i="66" s="1"/>
  <c r="BK40" i="13"/>
  <c r="BK67" i="13"/>
  <c r="BW11" i="66"/>
  <c r="BW47" i="66" s="1"/>
  <c r="BW50" i="66" s="1"/>
  <c r="BW15" i="13" s="1"/>
  <c r="BW17" i="13" s="1"/>
  <c r="BW46" i="66"/>
  <c r="BM67" i="13"/>
  <c r="BM40" i="13"/>
  <c r="BY46" i="66"/>
  <c r="BY9" i="67"/>
  <c r="BY11" i="66"/>
  <c r="BQ40" i="13"/>
  <c r="BQ67" i="13"/>
  <c r="DR15" i="13" l="1"/>
  <c r="CA11" i="66"/>
  <c r="BW16" i="13"/>
  <c r="BN81" i="13"/>
  <c r="DQ7" i="13"/>
  <c r="DQ15" i="13" s="1"/>
  <c r="BN40" i="13"/>
  <c r="BO67" i="13"/>
  <c r="BO40" i="13"/>
  <c r="BK81" i="13"/>
  <c r="BW40" i="13"/>
  <c r="BM81" i="13"/>
  <c r="BW67" i="13"/>
  <c r="CA9" i="67"/>
  <c r="BQ81" i="13"/>
  <c r="CA46" i="66"/>
  <c r="BO81" i="13" l="1"/>
  <c r="BW81" i="13"/>
  <c r="BU70" i="13" l="1"/>
  <c r="BU84" i="13" l="1"/>
  <c r="CA70" i="13"/>
  <c r="CG84" i="13" s="1"/>
  <c r="CA84" i="13" l="1"/>
  <c r="BK25" i="67" l="1"/>
  <c r="AQ126" i="66" l="1"/>
  <c r="AQ115" i="66"/>
  <c r="AQ121" i="66"/>
  <c r="AN121" i="66" s="1"/>
  <c r="AQ117" i="66"/>
  <c r="AQ122" i="66"/>
  <c r="AP122" i="66" s="1"/>
  <c r="AQ120" i="66"/>
  <c r="AN120" i="66" s="1"/>
  <c r="AQ119" i="66"/>
  <c r="AN119" i="66" s="1"/>
  <c r="AQ123" i="66"/>
  <c r="AQ124" i="66"/>
  <c r="AQ106" i="66"/>
  <c r="AN124" i="66" l="1"/>
  <c r="AN112" i="66" s="1"/>
  <c r="AQ118" i="66"/>
  <c r="AN118" i="66" s="1"/>
  <c r="AM124" i="66"/>
  <c r="AP120" i="66"/>
  <c r="AP108" i="66" s="1"/>
  <c r="AM120" i="66"/>
  <c r="AP123" i="66"/>
  <c r="AP111" i="66" s="1"/>
  <c r="AO122" i="66"/>
  <c r="AN122" i="66"/>
  <c r="AQ113" i="66"/>
  <c r="AO123" i="66"/>
  <c r="AO111" i="66" s="1"/>
  <c r="AM122" i="66"/>
  <c r="AN107" i="66"/>
  <c r="AP110" i="66"/>
  <c r="AN109" i="66"/>
  <c r="AN108" i="66"/>
  <c r="AP119" i="66"/>
  <c r="AO124" i="66"/>
  <c r="AO117" i="66"/>
  <c r="AM119" i="66"/>
  <c r="AN123" i="66"/>
  <c r="AP117" i="66"/>
  <c r="AN117" i="66"/>
  <c r="AP124" i="66"/>
  <c r="AO119" i="66"/>
  <c r="AO121" i="66"/>
  <c r="AM123" i="66"/>
  <c r="AP121" i="66"/>
  <c r="AM117" i="66"/>
  <c r="AO120" i="66"/>
  <c r="AM121" i="66"/>
  <c r="AM118" i="66" l="1"/>
  <c r="AM106" i="66" s="1"/>
  <c r="AM112" i="66"/>
  <c r="AP118" i="66"/>
  <c r="AO118" i="66"/>
  <c r="AQ125" i="66"/>
  <c r="AN125" i="66" s="1"/>
  <c r="AM108" i="66"/>
  <c r="AO110" i="66"/>
  <c r="AN110" i="66"/>
  <c r="AM110" i="66"/>
  <c r="AM111" i="66"/>
  <c r="AM107" i="66"/>
  <c r="AP109" i="66"/>
  <c r="AP112" i="66"/>
  <c r="AN105" i="66"/>
  <c r="AO105" i="66"/>
  <c r="AO108" i="66"/>
  <c r="AO109" i="66"/>
  <c r="AP105" i="66"/>
  <c r="AM109" i="66"/>
  <c r="AM105" i="66"/>
  <c r="AO107" i="66"/>
  <c r="AN111" i="66"/>
  <c r="AO112" i="66"/>
  <c r="AP107" i="66"/>
  <c r="AN106" i="66"/>
  <c r="AO106" i="66" l="1"/>
  <c r="AP106" i="66"/>
  <c r="AP125" i="66"/>
  <c r="AO125" i="66"/>
  <c r="AM125" i="66"/>
  <c r="AN113" i="66"/>
  <c r="AO113" i="66" l="1"/>
  <c r="AP113" i="66"/>
  <c r="AM113" i="66"/>
  <c r="AY65" i="66"/>
  <c r="BE65" i="66" s="1"/>
  <c r="BE92" i="66" l="1"/>
  <c r="BI65" i="66"/>
  <c r="BK65" i="66"/>
  <c r="AY92" i="66"/>
  <c r="BC65" i="66"/>
  <c r="AS47" i="13"/>
  <c r="AY47" i="13"/>
  <c r="AW47" i="13"/>
  <c r="BI66" i="66" l="1"/>
  <c r="BI92" i="66"/>
  <c r="BC92" i="66"/>
  <c r="BC66" i="66"/>
  <c r="BO65" i="66"/>
  <c r="BQ65" i="66"/>
  <c r="BU65" i="66" l="1"/>
  <c r="BW65" i="66"/>
  <c r="CC65" i="66" s="1"/>
  <c r="BO66" i="66"/>
  <c r="CG65" i="66" l="1"/>
  <c r="CI65" i="66"/>
  <c r="BU66" i="66"/>
  <c r="BU22" i="13" s="1"/>
  <c r="CA65" i="66"/>
  <c r="BK14" i="66"/>
  <c r="BK15" i="66"/>
  <c r="BQ20" i="66" l="1"/>
  <c r="CG66" i="66"/>
  <c r="CG22" i="13" s="1"/>
  <c r="CM65" i="66"/>
  <c r="CM66" i="66" s="1"/>
  <c r="BO47" i="13"/>
  <c r="BK71" i="66"/>
  <c r="BK132" i="67"/>
  <c r="BK134" i="67" s="1"/>
  <c r="BK141" i="67" s="1"/>
  <c r="BK88" i="66"/>
  <c r="CA66" i="66"/>
  <c r="CA22" i="13" s="1"/>
  <c r="BK11" i="67"/>
  <c r="BK84" i="66"/>
  <c r="BK86" i="66"/>
  <c r="BK93" i="66"/>
  <c r="BK85" i="66"/>
  <c r="BK90" i="66"/>
  <c r="BK83" i="66"/>
  <c r="BK87" i="66"/>
  <c r="BK17" i="66"/>
  <c r="BK92" i="66"/>
  <c r="BK100" i="66" l="1"/>
  <c r="BK81" i="12"/>
  <c r="BQ81" i="12" s="1"/>
  <c r="BW81" i="12" s="1"/>
  <c r="CC81" i="12" s="1"/>
  <c r="CG47" i="13"/>
  <c r="CM22" i="13"/>
  <c r="BK99" i="12"/>
  <c r="BK69" i="12"/>
  <c r="BQ69" i="12" s="1"/>
  <c r="BW69" i="12" s="1"/>
  <c r="CC69" i="12" s="1"/>
  <c r="BK139" i="12"/>
  <c r="BK159" i="12" s="1"/>
  <c r="BK57" i="67"/>
  <c r="BQ57" i="67" s="1"/>
  <c r="BK55" i="67"/>
  <c r="BK13" i="67"/>
  <c r="BK58" i="67"/>
  <c r="BQ58" i="67" s="1"/>
  <c r="BK67" i="67"/>
  <c r="BK114" i="66"/>
  <c r="BK18" i="66"/>
  <c r="CI69" i="12" l="1"/>
  <c r="CI72" i="12" s="1"/>
  <c r="CC72" i="12"/>
  <c r="BK21" i="66"/>
  <c r="BW58" i="67"/>
  <c r="CC58" i="67" s="1"/>
  <c r="CI58" i="67" s="1"/>
  <c r="CM47" i="13"/>
  <c r="CI81" i="12"/>
  <c r="BK126" i="66"/>
  <c r="BK72" i="12"/>
  <c r="BK56" i="67"/>
  <c r="BQ56" i="67" s="1"/>
  <c r="BW56" i="67" s="1"/>
  <c r="BK62" i="67"/>
  <c r="BK70" i="67"/>
  <c r="BK97" i="13"/>
  <c r="BK101" i="13" s="1"/>
  <c r="BK17" i="67"/>
  <c r="BK112" i="66"/>
  <c r="BK111" i="66"/>
  <c r="BK110" i="66"/>
  <c r="BK105" i="66"/>
  <c r="BK113" i="66"/>
  <c r="BK106" i="66"/>
  <c r="BK109" i="66"/>
  <c r="BK108" i="66"/>
  <c r="BK107" i="66"/>
  <c r="BK96" i="13"/>
  <c r="BK100" i="13" s="1"/>
  <c r="BK71" i="67"/>
  <c r="BK22" i="66" l="1"/>
  <c r="BK152" i="67"/>
  <c r="BK26" i="13"/>
  <c r="DN11" i="13" s="1"/>
  <c r="DN19" i="13" s="1"/>
  <c r="BK27" i="13"/>
  <c r="BK68" i="67"/>
  <c r="BW72" i="12"/>
  <c r="BQ72" i="12"/>
  <c r="BW57" i="67"/>
  <c r="BK18" i="67"/>
  <c r="BK33" i="11"/>
  <c r="BK35" i="11" s="1"/>
  <c r="BK69" i="67"/>
  <c r="BK72" i="67"/>
  <c r="BK50" i="13" l="1"/>
  <c r="CC56" i="67"/>
  <c r="CI56" i="67" s="1"/>
  <c r="BK102" i="13"/>
  <c r="BK78" i="13"/>
  <c r="BK92" i="13" s="1"/>
  <c r="CC57" i="67"/>
  <c r="BK57" i="12"/>
  <c r="BK140" i="12"/>
  <c r="BK59" i="67"/>
  <c r="BK146" i="67" s="1"/>
  <c r="BK63" i="67"/>
  <c r="BK104" i="13"/>
  <c r="BK105" i="13" s="1"/>
  <c r="BK30" i="67"/>
  <c r="BK73" i="67"/>
  <c r="BK29" i="12"/>
  <c r="BK63" i="12" l="1"/>
  <c r="BK64" i="12"/>
  <c r="CI57" i="67"/>
  <c r="BK64" i="67"/>
  <c r="BK85" i="67" s="1"/>
  <c r="BK165" i="12" s="1"/>
  <c r="BK147" i="67"/>
  <c r="BK150" i="67"/>
  <c r="BK32" i="67"/>
  <c r="BK19" i="11"/>
  <c r="BK33" i="12"/>
  <c r="BK166" i="12" l="1"/>
  <c r="BK167" i="12" s="1"/>
  <c r="BK168" i="12" s="1"/>
  <c r="BK153" i="67"/>
  <c r="BK141" i="12"/>
  <c r="BK142" i="12" s="1"/>
  <c r="BK143" i="12" s="1"/>
  <c r="BK144" i="12" s="1"/>
  <c r="BK138" i="12" s="1"/>
  <c r="BK65" i="67"/>
  <c r="BK151" i="67"/>
  <c r="BK42" i="67"/>
  <c r="BK36" i="67"/>
  <c r="BK94" i="67"/>
  <c r="BK102" i="67" s="1"/>
  <c r="BK105" i="67"/>
  <c r="BK114" i="67" s="1"/>
  <c r="BK41" i="67"/>
  <c r="BK40" i="67"/>
  <c r="BL19" i="67"/>
  <c r="BK154" i="67" l="1"/>
  <c r="BK69" i="40"/>
  <c r="BK38" i="67"/>
  <c r="BK88" i="12" s="1"/>
  <c r="BK74" i="67"/>
  <c r="BL20" i="67"/>
  <c r="BK91" i="12" l="1"/>
  <c r="BK92" i="12" s="1"/>
  <c r="BK60" i="67"/>
  <c r="BK39" i="67"/>
  <c r="BL70" i="40"/>
  <c r="BK12" i="11"/>
  <c r="BL86" i="12" l="1"/>
  <c r="BL93" i="67" l="1"/>
  <c r="BM93" i="67" s="1"/>
  <c r="BK92" i="67"/>
  <c r="BK24" i="11" s="1"/>
  <c r="BK26" i="11" s="1"/>
  <c r="BK60" i="11" l="1"/>
  <c r="BK65" i="11" s="1"/>
  <c r="BK76" i="12"/>
  <c r="BN93" i="67"/>
  <c r="BK53" i="11"/>
  <c r="BK75" i="12" s="1"/>
  <c r="BK22" i="67"/>
  <c r="BK77" i="12" l="1"/>
  <c r="BK61" i="11"/>
  <c r="BK64" i="11"/>
  <c r="BK56" i="11"/>
  <c r="BK40" i="12"/>
  <c r="BK23" i="67"/>
  <c r="BK24" i="67" s="1"/>
  <c r="BK178" i="12" l="1"/>
  <c r="BK93" i="12"/>
  <c r="BK184" i="12"/>
  <c r="BK187" i="12" s="1"/>
  <c r="BK185" i="12"/>
  <c r="BK188" i="12" s="1"/>
  <c r="BK53" i="12" s="1"/>
  <c r="BK59" i="12"/>
  <c r="BK51" i="12"/>
  <c r="BK62" i="11"/>
  <c r="BK78" i="12"/>
  <c r="BK63" i="11"/>
  <c r="BK61" i="67"/>
  <c r="BK56" i="12"/>
  <c r="BK58" i="12"/>
  <c r="BK42" i="12"/>
  <c r="BL55" i="11"/>
  <c r="BK57" i="11" l="1"/>
  <c r="BK15" i="12"/>
  <c r="BL35" i="40"/>
  <c r="BL37" i="40" s="1"/>
  <c r="BK65" i="12" l="1"/>
  <c r="BK62" i="12"/>
  <c r="BL25" i="67"/>
  <c r="BK22" i="12"/>
  <c r="BK52" i="12" s="1"/>
  <c r="BK43" i="12" l="1"/>
  <c r="BA73" i="13" l="1"/>
  <c r="AY73" i="13"/>
  <c r="AZ73" i="13"/>
  <c r="BA59" i="66"/>
  <c r="AY59" i="66"/>
  <c r="BB59" i="66"/>
  <c r="AZ59" i="66"/>
  <c r="BF59" i="66" s="1"/>
  <c r="BA89" i="66" l="1"/>
  <c r="BG73" i="13"/>
  <c r="BG59" i="66"/>
  <c r="AZ44" i="13"/>
  <c r="AT44" i="13"/>
  <c r="AT73" i="13"/>
  <c r="AZ87" i="13" s="1"/>
  <c r="AW44" i="13"/>
  <c r="AW73" i="13"/>
  <c r="BF89" i="66"/>
  <c r="BL73" i="13"/>
  <c r="BL59" i="66"/>
  <c r="BB89" i="66"/>
  <c r="BH73" i="13"/>
  <c r="BH59" i="66"/>
  <c r="AY89" i="66"/>
  <c r="BE73" i="13"/>
  <c r="BC59" i="66"/>
  <c r="BE59" i="66"/>
  <c r="AZ89" i="66"/>
  <c r="BF73" i="13"/>
  <c r="AV44" i="13"/>
  <c r="AV73" i="13"/>
  <c r="AY44" i="13"/>
  <c r="AS44" i="13"/>
  <c r="AS73" i="13"/>
  <c r="BA44" i="13"/>
  <c r="AU44" i="13"/>
  <c r="AU73" i="13"/>
  <c r="AS87" i="13" l="1"/>
  <c r="BC89" i="66"/>
  <c r="BC60" i="66"/>
  <c r="BL87" i="13"/>
  <c r="BR73" i="13"/>
  <c r="BR59" i="66"/>
  <c r="AU87" i="13"/>
  <c r="BA87" i="13"/>
  <c r="AV87" i="13"/>
  <c r="BF87" i="13"/>
  <c r="BH89" i="66"/>
  <c r="BN73" i="13"/>
  <c r="BN59" i="66"/>
  <c r="BG87" i="13"/>
  <c r="BE87" i="13"/>
  <c r="AY87" i="13"/>
  <c r="BE89" i="66"/>
  <c r="BK73" i="13"/>
  <c r="BI59" i="66"/>
  <c r="BK59" i="66"/>
  <c r="AW87" i="13"/>
  <c r="AT87" i="13"/>
  <c r="BM73" i="13"/>
  <c r="BG89" i="66"/>
  <c r="BM59" i="66"/>
  <c r="BK87" i="13" l="1"/>
  <c r="BR87" i="13"/>
  <c r="BM87" i="13"/>
  <c r="BK89" i="66"/>
  <c r="BQ73" i="13"/>
  <c r="BO59" i="66"/>
  <c r="BQ59" i="66"/>
  <c r="BT73" i="13"/>
  <c r="BT59" i="66"/>
  <c r="BS73" i="13"/>
  <c r="BS59" i="66"/>
  <c r="BI89" i="66"/>
  <c r="BI60" i="66"/>
  <c r="BN87" i="13"/>
  <c r="BX73" i="13"/>
  <c r="BX59" i="66"/>
  <c r="CD59" i="66" l="1"/>
  <c r="CD73" i="13"/>
  <c r="BT87" i="13"/>
  <c r="BX87" i="13"/>
  <c r="BI73" i="13"/>
  <c r="BS87" i="13"/>
  <c r="BW73" i="13"/>
  <c r="BW59" i="66"/>
  <c r="BU59" i="66"/>
  <c r="BY73" i="13"/>
  <c r="BY59" i="66"/>
  <c r="BQ87" i="13"/>
  <c r="BZ73" i="13"/>
  <c r="BZ59" i="66"/>
  <c r="BO60" i="66"/>
  <c r="CD87" i="13" l="1"/>
  <c r="CF59" i="66"/>
  <c r="CF73" i="13"/>
  <c r="CE59" i="66"/>
  <c r="CE73" i="13"/>
  <c r="CC59" i="66"/>
  <c r="CC73" i="13"/>
  <c r="CJ59" i="66"/>
  <c r="CJ73" i="13"/>
  <c r="BU60" i="66"/>
  <c r="BU19" i="13" s="1"/>
  <c r="CA59" i="66"/>
  <c r="BZ87" i="13"/>
  <c r="BO44" i="13"/>
  <c r="BO73" i="13"/>
  <c r="BY87" i="13"/>
  <c r="BW87" i="13"/>
  <c r="CC87" i="13" l="1"/>
  <c r="CE87" i="13"/>
  <c r="CF87" i="13"/>
  <c r="CJ87" i="13"/>
  <c r="CG59" i="66"/>
  <c r="CG60" i="66" s="1"/>
  <c r="CI59" i="66"/>
  <c r="CI73" i="13"/>
  <c r="CK59" i="66"/>
  <c r="CK73" i="13"/>
  <c r="CL59" i="66"/>
  <c r="CL73" i="13"/>
  <c r="CA60" i="66"/>
  <c r="CA19" i="13" s="1"/>
  <c r="BO87" i="13"/>
  <c r="CL87" i="13" l="1"/>
  <c r="CK87" i="13"/>
  <c r="CI87" i="13"/>
  <c r="CM59" i="66"/>
  <c r="CM60" i="66" s="1"/>
  <c r="CG19" i="13"/>
  <c r="AP46" i="13"/>
  <c r="AI46" i="13"/>
  <c r="AI63" i="66"/>
  <c r="AO63" i="66" s="1"/>
  <c r="AH63" i="66"/>
  <c r="AJ63" i="66"/>
  <c r="AP63" i="66" s="1"/>
  <c r="AG63" i="66"/>
  <c r="AM63" i="66" s="1"/>
  <c r="CG44" i="13" l="1"/>
  <c r="CG73" i="13"/>
  <c r="CM19" i="13"/>
  <c r="AO46" i="13"/>
  <c r="AI75" i="13"/>
  <c r="AI89" i="13" s="1"/>
  <c r="AS75" i="13"/>
  <c r="AS76" i="13"/>
  <c r="AM91" i="66"/>
  <c r="AM69" i="66"/>
  <c r="AS63" i="66"/>
  <c r="AP91" i="66"/>
  <c r="AV76" i="13"/>
  <c r="AV75" i="13"/>
  <c r="AP69" i="66"/>
  <c r="AV63" i="66"/>
  <c r="AO91" i="66"/>
  <c r="AU75" i="13"/>
  <c r="AU76" i="13"/>
  <c r="AO69" i="66"/>
  <c r="AU63" i="66"/>
  <c r="AH91" i="66"/>
  <c r="AN75" i="13"/>
  <c r="AN76" i="13"/>
  <c r="AH69" i="66"/>
  <c r="AI91" i="66"/>
  <c r="AO75" i="13"/>
  <c r="AO76" i="13"/>
  <c r="AI69" i="66"/>
  <c r="AM76" i="13"/>
  <c r="AG69" i="66"/>
  <c r="AK63" i="66"/>
  <c r="AM75" i="13"/>
  <c r="AG91" i="66"/>
  <c r="AJ91" i="66"/>
  <c r="AP76" i="13"/>
  <c r="AP75" i="13"/>
  <c r="AJ69" i="66"/>
  <c r="AN63" i="66"/>
  <c r="AH46" i="13"/>
  <c r="AH75" i="13"/>
  <c r="AN46" i="13"/>
  <c r="AG75" i="13"/>
  <c r="AG46" i="13"/>
  <c r="AM46" i="13"/>
  <c r="AJ46" i="13"/>
  <c r="AJ75" i="13"/>
  <c r="CM73" i="13" l="1"/>
  <c r="CM44" i="13"/>
  <c r="AJ89" i="13"/>
  <c r="AM90" i="13"/>
  <c r="AJ70" i="66"/>
  <c r="AP72" i="13"/>
  <c r="AK69" i="66"/>
  <c r="AK64" i="66"/>
  <c r="AK21" i="13" s="1"/>
  <c r="AK91" i="66"/>
  <c r="AQ76" i="13"/>
  <c r="AN72" i="13"/>
  <c r="AH70" i="66"/>
  <c r="AV73" i="66"/>
  <c r="AP70" i="66"/>
  <c r="AG89" i="13"/>
  <c r="AN90" i="13"/>
  <c r="AH89" i="13"/>
  <c r="AP89" i="13"/>
  <c r="AQ73" i="66"/>
  <c r="AG70" i="66"/>
  <c r="AM72" i="13"/>
  <c r="AQ72" i="66"/>
  <c r="AO90" i="13"/>
  <c r="BA76" i="13"/>
  <c r="BA75" i="13"/>
  <c r="AU69" i="66"/>
  <c r="BA63" i="66"/>
  <c r="AU89" i="13"/>
  <c r="AV89" i="13"/>
  <c r="AY75" i="13"/>
  <c r="AY76" i="13"/>
  <c r="AS69" i="66"/>
  <c r="AY63" i="66"/>
  <c r="AS90" i="13"/>
  <c r="AO89" i="13"/>
  <c r="AO70" i="66"/>
  <c r="AM70" i="66"/>
  <c r="AT76" i="13"/>
  <c r="AN69" i="66"/>
  <c r="AW72" i="66" s="1"/>
  <c r="AT75" i="13"/>
  <c r="AN91" i="66"/>
  <c r="AT63" i="66"/>
  <c r="AW63" i="66" s="1"/>
  <c r="AP90" i="13"/>
  <c r="AM89" i="13"/>
  <c r="AI70" i="66"/>
  <c r="AO72" i="13"/>
  <c r="AN89" i="13"/>
  <c r="AU90" i="13"/>
  <c r="AV69" i="66"/>
  <c r="BB63" i="66"/>
  <c r="AV90" i="13"/>
  <c r="AQ63" i="66"/>
  <c r="AS89" i="13"/>
  <c r="CM87" i="13" l="1"/>
  <c r="AW73" i="66"/>
  <c r="AQ74" i="66"/>
  <c r="AW64" i="66"/>
  <c r="AW21" i="13" s="1"/>
  <c r="AW69" i="66"/>
  <c r="AK75" i="13"/>
  <c r="AK46" i="13"/>
  <c r="AT89" i="13"/>
  <c r="BE76" i="13"/>
  <c r="AY69" i="66"/>
  <c r="AY91" i="66"/>
  <c r="BE75" i="13"/>
  <c r="BE63" i="66"/>
  <c r="BA73" i="66"/>
  <c r="AU12" i="66"/>
  <c r="AQ90" i="13"/>
  <c r="BB73" i="66"/>
  <c r="AV12" i="66"/>
  <c r="AZ76" i="13"/>
  <c r="AZ75" i="13"/>
  <c r="AT69" i="66"/>
  <c r="BC72" i="66" s="1"/>
  <c r="AZ63" i="66"/>
  <c r="BB91" i="66"/>
  <c r="BH75" i="13"/>
  <c r="BH76" i="13"/>
  <c r="BB69" i="66"/>
  <c r="BH63" i="66"/>
  <c r="AN70" i="66"/>
  <c r="AY73" i="66"/>
  <c r="AS12" i="66"/>
  <c r="AY89" i="13"/>
  <c r="AQ91" i="66"/>
  <c r="AQ64" i="66"/>
  <c r="AQ21" i="13" s="1"/>
  <c r="AW76" i="13"/>
  <c r="AW75" i="13"/>
  <c r="AQ69" i="66"/>
  <c r="AT90" i="13"/>
  <c r="BA89" i="13"/>
  <c r="AY90" i="13"/>
  <c r="BA91" i="66"/>
  <c r="BG75" i="13"/>
  <c r="BG76" i="13"/>
  <c r="BA69" i="66"/>
  <c r="BG63" i="66"/>
  <c r="BA90" i="13"/>
  <c r="AK70" i="66"/>
  <c r="AQ24" i="13" l="1"/>
  <c r="AQ72" i="13" s="1"/>
  <c r="AZ89" i="13"/>
  <c r="BE72" i="13"/>
  <c r="AY70" i="66"/>
  <c r="AQ70" i="66"/>
  <c r="AZ73" i="66"/>
  <c r="BC73" i="66" s="1"/>
  <c r="AT12" i="66"/>
  <c r="AW12" i="66" s="1"/>
  <c r="BE89" i="13"/>
  <c r="BE90" i="13"/>
  <c r="AK89" i="13"/>
  <c r="AW90" i="13"/>
  <c r="AU70" i="66"/>
  <c r="AU14" i="66"/>
  <c r="AU15" i="66"/>
  <c r="BM76" i="13"/>
  <c r="BG91" i="66"/>
  <c r="BM75" i="13"/>
  <c r="BG69" i="66"/>
  <c r="BM73" i="66" s="1"/>
  <c r="BM63" i="66"/>
  <c r="BG89" i="13"/>
  <c r="AS70" i="66"/>
  <c r="AS14" i="66"/>
  <c r="AS15" i="66"/>
  <c r="BN76" i="13"/>
  <c r="BH91" i="66"/>
  <c r="BN75" i="13"/>
  <c r="BH69" i="66"/>
  <c r="BN63" i="66"/>
  <c r="AV70" i="66"/>
  <c r="AV14" i="66"/>
  <c r="AV15" i="66"/>
  <c r="AW46" i="13"/>
  <c r="BA70" i="66"/>
  <c r="BG73" i="66"/>
  <c r="BG74" i="66" s="1"/>
  <c r="BG24" i="13" s="1"/>
  <c r="BB70" i="66"/>
  <c r="BH73" i="66"/>
  <c r="BH74" i="66" s="1"/>
  <c r="BK75" i="13"/>
  <c r="BE91" i="66"/>
  <c r="BK76" i="13"/>
  <c r="BE69" i="66"/>
  <c r="BK73" i="66" s="1"/>
  <c r="BK63" i="66"/>
  <c r="BG90" i="13"/>
  <c r="AQ46" i="13"/>
  <c r="AQ75" i="13"/>
  <c r="AW89" i="13" s="1"/>
  <c r="BF76" i="13"/>
  <c r="BF75" i="13"/>
  <c r="AZ69" i="66"/>
  <c r="BI72" i="66" s="1"/>
  <c r="AZ91" i="66"/>
  <c r="BF63" i="66"/>
  <c r="AZ90" i="13"/>
  <c r="BC63" i="66"/>
  <c r="AS88" i="66" l="1"/>
  <c r="AU88" i="66"/>
  <c r="BG72" i="13"/>
  <c r="DL10" i="13"/>
  <c r="AQ49" i="13"/>
  <c r="BH24" i="13"/>
  <c r="BF91" i="66"/>
  <c r="BL75" i="13"/>
  <c r="BL76" i="13"/>
  <c r="BF69" i="66"/>
  <c r="BL73" i="66" s="1"/>
  <c r="BL63" i="66"/>
  <c r="AV85" i="66"/>
  <c r="AV83" i="66"/>
  <c r="AV87" i="66"/>
  <c r="AV93" i="66"/>
  <c r="AV84" i="66"/>
  <c r="AV90" i="66"/>
  <c r="AV89" i="66"/>
  <c r="AV92" i="66"/>
  <c r="AV86" i="66"/>
  <c r="BB19" i="66"/>
  <c r="AV17" i="66"/>
  <c r="AV91" i="66"/>
  <c r="AS132" i="67"/>
  <c r="AS134" i="67" s="1"/>
  <c r="AS141" i="67" s="1"/>
  <c r="AY71" i="66"/>
  <c r="AY74" i="66" s="1"/>
  <c r="AY24" i="13" s="1"/>
  <c r="DF10" i="13" s="1"/>
  <c r="AS71" i="66"/>
  <c r="AS74" i="66" s="1"/>
  <c r="AS24" i="13" s="1"/>
  <c r="DB10" i="13" s="1"/>
  <c r="DB18" i="13" s="1"/>
  <c r="AU71" i="66"/>
  <c r="AU74" i="66" s="1"/>
  <c r="AU24" i="13" s="1"/>
  <c r="DD10" i="13" s="1"/>
  <c r="DD18" i="13" s="1"/>
  <c r="AU132" i="67"/>
  <c r="AU134" i="67" s="1"/>
  <c r="AU141" i="67" s="1"/>
  <c r="BA71" i="66"/>
  <c r="BA74" i="66" s="1"/>
  <c r="BQ76" i="13"/>
  <c r="BQ75" i="13"/>
  <c r="BK91" i="66"/>
  <c r="BO63" i="66"/>
  <c r="BK69" i="66"/>
  <c r="BK70" i="66" s="1"/>
  <c r="BQ63" i="66"/>
  <c r="AV88" i="66"/>
  <c r="BN89" i="13"/>
  <c r="AW70" i="66"/>
  <c r="AW15" i="66"/>
  <c r="BF89" i="13"/>
  <c r="BE70" i="66"/>
  <c r="BK74" i="66"/>
  <c r="BK24" i="13" s="1"/>
  <c r="BN90" i="13"/>
  <c r="AZ70" i="66"/>
  <c r="BF73" i="66"/>
  <c r="BI63" i="66"/>
  <c r="AS83" i="66"/>
  <c r="AS90" i="66"/>
  <c r="AS87" i="66"/>
  <c r="AS92" i="66"/>
  <c r="AS84" i="66"/>
  <c r="AS85" i="66"/>
  <c r="AS89" i="66"/>
  <c r="AS93" i="66"/>
  <c r="AS86" i="66"/>
  <c r="AS17" i="66"/>
  <c r="AS91" i="66"/>
  <c r="BS76" i="13"/>
  <c r="BS75" i="13"/>
  <c r="BS63" i="66"/>
  <c r="BM69" i="66"/>
  <c r="BM70" i="66" s="1"/>
  <c r="BM90" i="13"/>
  <c r="AU92" i="66"/>
  <c r="AU87" i="66"/>
  <c r="AU90" i="66"/>
  <c r="AU83" i="66"/>
  <c r="AU86" i="66"/>
  <c r="AU89" i="66"/>
  <c r="AU84" i="66"/>
  <c r="AU85" i="66"/>
  <c r="AU93" i="66"/>
  <c r="AU17" i="66"/>
  <c r="AU91" i="66"/>
  <c r="AQ89" i="13"/>
  <c r="BK89" i="13"/>
  <c r="BT76" i="13"/>
  <c r="BT75" i="13"/>
  <c r="BT63" i="66"/>
  <c r="BN69" i="66"/>
  <c r="BG70" i="66"/>
  <c r="BC91" i="66"/>
  <c r="BC64" i="66"/>
  <c r="BC69" i="66"/>
  <c r="BI76" i="13"/>
  <c r="BF90" i="13"/>
  <c r="BK90" i="13"/>
  <c r="AV71" i="66"/>
  <c r="AV74" i="66" s="1"/>
  <c r="AV24" i="13" s="1"/>
  <c r="DE10" i="13" s="1"/>
  <c r="DE18" i="13" s="1"/>
  <c r="AV132" i="67"/>
  <c r="AV134" i="67" s="1"/>
  <c r="AV141" i="67" s="1"/>
  <c r="BB71" i="66"/>
  <c r="BB74" i="66" s="1"/>
  <c r="BB24" i="13" s="1"/>
  <c r="DI10" i="13" s="1"/>
  <c r="BH70" i="66"/>
  <c r="BM89" i="13"/>
  <c r="AT14" i="66"/>
  <c r="AW14" i="66" s="1"/>
  <c r="AT70" i="66"/>
  <c r="AT15" i="66"/>
  <c r="AW88" i="66" l="1"/>
  <c r="DI18" i="13"/>
  <c r="DF18" i="13"/>
  <c r="DJ18" i="13"/>
  <c r="BH72" i="13"/>
  <c r="DM10" i="13"/>
  <c r="DM18" i="13" s="1"/>
  <c r="BK72" i="13"/>
  <c r="BK86" i="13" s="1"/>
  <c r="DN10" i="13"/>
  <c r="BA24" i="13"/>
  <c r="DH10" i="13" s="1"/>
  <c r="DH18" i="13" s="1"/>
  <c r="BO72" i="66"/>
  <c r="BF70" i="66"/>
  <c r="BC71" i="66"/>
  <c r="BC74" i="66" s="1"/>
  <c r="BC24" i="13" s="1"/>
  <c r="AW132" i="67"/>
  <c r="AW134" i="67" s="1"/>
  <c r="AW141" i="67" s="1"/>
  <c r="AW71" i="66"/>
  <c r="AW74" i="66" s="1"/>
  <c r="AW24" i="13" s="1"/>
  <c r="BT90" i="13"/>
  <c r="AU49" i="13"/>
  <c r="AU72" i="13"/>
  <c r="BC70" i="66"/>
  <c r="BZ76" i="13"/>
  <c r="BZ75" i="13"/>
  <c r="BZ63" i="66"/>
  <c r="BT69" i="66"/>
  <c r="BS90" i="13"/>
  <c r="BF74" i="66"/>
  <c r="BF24" i="13" s="1"/>
  <c r="BI73" i="66"/>
  <c r="BI74" i="66" s="1"/>
  <c r="BI24" i="13" s="1"/>
  <c r="AW85" i="66"/>
  <c r="AW87" i="66"/>
  <c r="AW83" i="66"/>
  <c r="AW93" i="66"/>
  <c r="AW92" i="66"/>
  <c r="AW89" i="66"/>
  <c r="AW84" i="66"/>
  <c r="AW86" i="66"/>
  <c r="AW90" i="66"/>
  <c r="AW17" i="66"/>
  <c r="AW91" i="66"/>
  <c r="AV100" i="66"/>
  <c r="BB18" i="66"/>
  <c r="AV18" i="66"/>
  <c r="AV114" i="66"/>
  <c r="AU100" i="66"/>
  <c r="AU18" i="66"/>
  <c r="BA18" i="66"/>
  <c r="AU114" i="66"/>
  <c r="BQ89" i="13"/>
  <c r="BO73" i="66"/>
  <c r="AT71" i="66"/>
  <c r="AT74" i="66" s="1"/>
  <c r="AT24" i="13" s="1"/>
  <c r="DC10" i="13" s="1"/>
  <c r="DC18" i="13" s="1"/>
  <c r="AZ71" i="66"/>
  <c r="AZ74" i="66" s="1"/>
  <c r="AZ24" i="13" s="1"/>
  <c r="DG10" i="13" s="1"/>
  <c r="AT132" i="67"/>
  <c r="AT134" i="67" s="1"/>
  <c r="AT141" i="67" s="1"/>
  <c r="AV49" i="13"/>
  <c r="AV72" i="13"/>
  <c r="BT89" i="13"/>
  <c r="BY76" i="13"/>
  <c r="BY75" i="13"/>
  <c r="BY63" i="66"/>
  <c r="BS69" i="66"/>
  <c r="BW76" i="13"/>
  <c r="BW75" i="13"/>
  <c r="BW63" i="66"/>
  <c r="BQ69" i="66"/>
  <c r="AY49" i="13"/>
  <c r="BE49" i="13"/>
  <c r="AY72" i="13"/>
  <c r="BB11" i="13"/>
  <c r="BC11" i="13" s="1"/>
  <c r="BB10" i="13"/>
  <c r="BC10" i="13" s="1"/>
  <c r="BB8" i="13"/>
  <c r="BC8" i="13" s="1"/>
  <c r="BB9" i="13"/>
  <c r="BC9" i="13" s="1"/>
  <c r="BR75" i="13"/>
  <c r="BR76" i="13"/>
  <c r="BR63" i="66"/>
  <c r="BL69" i="66"/>
  <c r="BU73" i="66" s="1"/>
  <c r="BL89" i="13"/>
  <c r="AT93" i="66"/>
  <c r="AT89" i="66"/>
  <c r="AT92" i="66"/>
  <c r="AT87" i="66"/>
  <c r="AT86" i="66"/>
  <c r="AT85" i="66"/>
  <c r="AT84" i="66"/>
  <c r="AT90" i="66"/>
  <c r="AT83" i="66"/>
  <c r="AT17" i="66"/>
  <c r="BC19" i="66" s="1"/>
  <c r="AT91" i="66"/>
  <c r="AT88" i="66"/>
  <c r="BB49" i="13"/>
  <c r="BB72" i="13"/>
  <c r="BH49" i="13"/>
  <c r="BS89" i="13"/>
  <c r="AS100" i="66"/>
  <c r="AS114" i="66"/>
  <c r="AY18" i="66"/>
  <c r="AS18" i="66"/>
  <c r="BI64" i="66"/>
  <c r="BO76" i="13"/>
  <c r="BI91" i="66"/>
  <c r="BI69" i="66"/>
  <c r="BK49" i="13"/>
  <c r="BO64" i="66"/>
  <c r="BO69" i="66"/>
  <c r="BQ90" i="13"/>
  <c r="AS49" i="13"/>
  <c r="AS72" i="13"/>
  <c r="BL90" i="13"/>
  <c r="BA21" i="66" l="1"/>
  <c r="BA26" i="13" s="1"/>
  <c r="DH11" i="13" s="1"/>
  <c r="AV21" i="66"/>
  <c r="AV26" i="13" s="1"/>
  <c r="DE11" i="13" s="1"/>
  <c r="AY21" i="66"/>
  <c r="AY22" i="66" s="1"/>
  <c r="AU21" i="66"/>
  <c r="AU26" i="13" s="1"/>
  <c r="DD11" i="13" s="1"/>
  <c r="BB21" i="66"/>
  <c r="BB26" i="13" s="1"/>
  <c r="DI11" i="13" s="1"/>
  <c r="AS21" i="66"/>
  <c r="AS22" i="66" s="1"/>
  <c r="DN18" i="13"/>
  <c r="CE75" i="13"/>
  <c r="CE63" i="66"/>
  <c r="CE76" i="13"/>
  <c r="CC63" i="66"/>
  <c r="CC76" i="13"/>
  <c r="CC75" i="13"/>
  <c r="CF63" i="66"/>
  <c r="CF75" i="13"/>
  <c r="CF76" i="13"/>
  <c r="DG18" i="13"/>
  <c r="DK10" i="13"/>
  <c r="DK18" i="13" s="1"/>
  <c r="DL18" i="13"/>
  <c r="BA72" i="13"/>
  <c r="BA86" i="13" s="1"/>
  <c r="BA49" i="13"/>
  <c r="BG49" i="13"/>
  <c r="BO46" i="13"/>
  <c r="BH48" i="13"/>
  <c r="BB77" i="13"/>
  <c r="BB48" i="13"/>
  <c r="BW69" i="66"/>
  <c r="BI49" i="13"/>
  <c r="BZ69" i="66"/>
  <c r="BC20" i="66"/>
  <c r="BN70" i="66"/>
  <c r="BN14" i="66"/>
  <c r="BN15" i="66"/>
  <c r="BR89" i="13"/>
  <c r="BH47" i="13"/>
  <c r="BB47" i="13"/>
  <c r="BB76" i="13"/>
  <c r="BH45" i="13"/>
  <c r="BB45" i="13"/>
  <c r="BB74" i="13"/>
  <c r="BW89" i="13"/>
  <c r="BS12" i="66"/>
  <c r="AT49" i="13"/>
  <c r="AT72" i="13"/>
  <c r="AU126" i="66"/>
  <c r="BI72" i="13"/>
  <c r="BI46" i="13"/>
  <c r="BI75" i="13"/>
  <c r="BB86" i="13"/>
  <c r="BH86" i="13"/>
  <c r="BB46" i="13"/>
  <c r="BH46" i="13"/>
  <c r="BB75" i="13"/>
  <c r="AU22" i="66"/>
  <c r="BM14" i="66"/>
  <c r="BM15" i="66"/>
  <c r="BZ90" i="13"/>
  <c r="AU86" i="13"/>
  <c r="BI70" i="66"/>
  <c r="BO90" i="13"/>
  <c r="BX75" i="13"/>
  <c r="BX76" i="13"/>
  <c r="BR69" i="66"/>
  <c r="CA73" i="66" s="1"/>
  <c r="BX63" i="66"/>
  <c r="BH33" i="13"/>
  <c r="BB68" i="13"/>
  <c r="BB33" i="13"/>
  <c r="BH36" i="13"/>
  <c r="BB36" i="13"/>
  <c r="BB71" i="13"/>
  <c r="BQ12" i="66"/>
  <c r="BY69" i="66"/>
  <c r="BY90" i="13"/>
  <c r="AV86" i="13"/>
  <c r="BU72" i="66"/>
  <c r="AV126" i="66"/>
  <c r="BT12" i="66"/>
  <c r="AW49" i="13"/>
  <c r="AW72" i="13"/>
  <c r="AT100" i="66"/>
  <c r="AZ18" i="66"/>
  <c r="AT18" i="66"/>
  <c r="AT114" i="66"/>
  <c r="BH34" i="13"/>
  <c r="BB34" i="13"/>
  <c r="BB69" i="13"/>
  <c r="AV22" i="66"/>
  <c r="AS86" i="13"/>
  <c r="BO75" i="13"/>
  <c r="AS126" i="66"/>
  <c r="BR90" i="13"/>
  <c r="BB73" i="13"/>
  <c r="BB44" i="13"/>
  <c r="BH44" i="13"/>
  <c r="BB70" i="13"/>
  <c r="BB35" i="13"/>
  <c r="AY86" i="13"/>
  <c r="BE86" i="13"/>
  <c r="BU63" i="66"/>
  <c r="BW90" i="13"/>
  <c r="BY89" i="13"/>
  <c r="AZ49" i="13"/>
  <c r="AZ72" i="13"/>
  <c r="AW100" i="66"/>
  <c r="AW18" i="66"/>
  <c r="BC18" i="66"/>
  <c r="AW114" i="66"/>
  <c r="AW115" i="66" s="1"/>
  <c r="BF49" i="13"/>
  <c r="BF72" i="13"/>
  <c r="BZ89" i="13"/>
  <c r="BC49" i="13"/>
  <c r="BC72" i="13"/>
  <c r="AS26" i="13" l="1"/>
  <c r="DB11" i="13" s="1"/>
  <c r="BN71" i="66"/>
  <c r="BN74" i="66" s="1"/>
  <c r="BN132" i="67"/>
  <c r="BN134" i="67" s="1"/>
  <c r="BN141" i="67" s="1"/>
  <c r="AY26" i="13"/>
  <c r="DF11" i="13" s="1"/>
  <c r="BB22" i="66"/>
  <c r="BB27" i="13" s="1"/>
  <c r="BA22" i="66"/>
  <c r="BN11" i="67"/>
  <c r="AV27" i="13"/>
  <c r="AU27" i="13"/>
  <c r="AS68" i="67"/>
  <c r="AU68" i="67"/>
  <c r="AV68" i="67"/>
  <c r="AT21" i="66"/>
  <c r="AT26" i="13" s="1"/>
  <c r="DC11" i="13" s="1"/>
  <c r="AY27" i="13"/>
  <c r="AS27" i="13"/>
  <c r="AW21" i="66"/>
  <c r="AW26" i="13" s="1"/>
  <c r="AZ21" i="66"/>
  <c r="AZ26" i="13" s="1"/>
  <c r="DG11" i="13" s="1"/>
  <c r="BB68" i="67"/>
  <c r="AY68" i="67"/>
  <c r="BA68" i="67"/>
  <c r="BM71" i="66"/>
  <c r="BM74" i="66" s="1"/>
  <c r="BM24" i="13" s="1"/>
  <c r="BM132" i="67"/>
  <c r="BM134" i="67" s="1"/>
  <c r="BM141" i="67" s="1"/>
  <c r="DH19" i="13"/>
  <c r="DL19" i="13"/>
  <c r="DI19" i="13"/>
  <c r="DM19" i="13"/>
  <c r="BM11" i="67"/>
  <c r="BM81" i="12" s="1"/>
  <c r="CD76" i="13"/>
  <c r="CD63" i="66"/>
  <c r="CG63" i="66" s="1"/>
  <c r="CD75" i="13"/>
  <c r="CF89" i="13"/>
  <c r="CC89" i="13"/>
  <c r="CI63" i="66"/>
  <c r="CI76" i="13"/>
  <c r="CI75" i="13"/>
  <c r="CC69" i="66"/>
  <c r="CK63" i="66"/>
  <c r="CK75" i="13"/>
  <c r="CK76" i="13"/>
  <c r="CE69" i="66"/>
  <c r="CF90" i="13"/>
  <c r="CL76" i="13"/>
  <c r="CL63" i="66"/>
  <c r="CL75" i="13"/>
  <c r="CF69" i="66"/>
  <c r="CC90" i="13"/>
  <c r="CE90" i="13"/>
  <c r="CE89" i="13"/>
  <c r="BG86" i="13"/>
  <c r="BM88" i="66"/>
  <c r="CA72" i="66"/>
  <c r="BF86" i="13"/>
  <c r="BH84" i="13"/>
  <c r="BB84" i="13"/>
  <c r="AW126" i="66"/>
  <c r="AW120" i="66"/>
  <c r="AW124" i="66"/>
  <c r="AW119" i="66"/>
  <c r="AW122" i="66"/>
  <c r="AW123" i="66"/>
  <c r="AW117" i="66"/>
  <c r="AW106" i="66"/>
  <c r="AW121" i="66"/>
  <c r="AT126" i="66"/>
  <c r="BA50" i="13"/>
  <c r="BG50" i="13"/>
  <c r="BA78" i="13"/>
  <c r="BY12" i="66"/>
  <c r="BB82" i="13"/>
  <c r="BH82" i="13"/>
  <c r="AT86" i="13"/>
  <c r="BI36" i="13"/>
  <c r="BC36" i="13"/>
  <c r="BC71" i="13"/>
  <c r="BC21" i="66"/>
  <c r="AT22" i="66"/>
  <c r="BX89" i="13"/>
  <c r="BB89" i="13"/>
  <c r="BH89" i="13"/>
  <c r="BO70" i="66"/>
  <c r="BO14" i="66"/>
  <c r="BO15" i="66"/>
  <c r="BS70" i="66"/>
  <c r="BS14" i="66"/>
  <c r="BS71" i="66" s="1"/>
  <c r="BS74" i="66" s="1"/>
  <c r="BS24" i="13" s="1"/>
  <c r="DT10" i="13" s="1"/>
  <c r="BS10" i="67"/>
  <c r="AS102" i="13"/>
  <c r="BW12" i="66"/>
  <c r="BC33" i="13"/>
  <c r="BI33" i="13"/>
  <c r="BC68" i="13"/>
  <c r="BC45" i="13"/>
  <c r="BI45" i="13"/>
  <c r="BC74" i="13"/>
  <c r="BB87" i="13"/>
  <c r="BH87" i="13"/>
  <c r="BU64" i="66"/>
  <c r="BU21" i="13" s="1"/>
  <c r="BU69" i="66"/>
  <c r="BB83" i="13"/>
  <c r="BH83" i="13"/>
  <c r="AY50" i="13"/>
  <c r="BE50" i="13"/>
  <c r="AY78" i="13"/>
  <c r="BX90" i="13"/>
  <c r="BI86" i="13"/>
  <c r="BL70" i="66"/>
  <c r="BL14" i="66"/>
  <c r="BL15" i="66"/>
  <c r="BN93" i="66"/>
  <c r="BN85" i="66"/>
  <c r="BN90" i="66"/>
  <c r="BN92" i="66"/>
  <c r="BN83" i="66"/>
  <c r="BN86" i="66"/>
  <c r="BN84" i="66"/>
  <c r="BN87" i="66"/>
  <c r="BN89" i="66"/>
  <c r="BN17" i="66"/>
  <c r="BN100" i="66" s="1"/>
  <c r="BN91" i="66"/>
  <c r="BC44" i="13"/>
  <c r="BI44" i="13"/>
  <c r="BC73" i="13"/>
  <c r="BC86" i="13"/>
  <c r="BH50" i="13"/>
  <c r="BB50" i="13"/>
  <c r="BB78" i="13"/>
  <c r="BO89" i="13"/>
  <c r="AV50" i="13"/>
  <c r="DE19" i="13" s="1"/>
  <c r="AV102" i="13"/>
  <c r="AV78" i="13"/>
  <c r="AW86" i="13"/>
  <c r="BT70" i="66"/>
  <c r="BT14" i="66"/>
  <c r="BT71" i="66" s="1"/>
  <c r="BT74" i="66" s="1"/>
  <c r="BT24" i="13" s="1"/>
  <c r="DU10" i="13" s="1"/>
  <c r="BT10" i="67"/>
  <c r="BH85" i="13"/>
  <c r="BB85" i="13"/>
  <c r="BX69" i="66"/>
  <c r="BB88" i="13"/>
  <c r="BH88" i="13"/>
  <c r="BB90" i="13"/>
  <c r="BH90" i="13"/>
  <c r="BN88" i="66"/>
  <c r="CA63" i="66"/>
  <c r="BH91" i="13"/>
  <c r="BB91" i="13"/>
  <c r="BI34" i="13"/>
  <c r="BC34" i="13"/>
  <c r="BC69" i="13"/>
  <c r="BC47" i="13"/>
  <c r="BI47" i="13"/>
  <c r="BC76" i="13"/>
  <c r="AZ86" i="13"/>
  <c r="BQ70" i="66"/>
  <c r="BQ14" i="66"/>
  <c r="BQ71" i="66" s="1"/>
  <c r="BQ74" i="66" s="1"/>
  <c r="BQ24" i="13" s="1"/>
  <c r="DR10" i="13" s="1"/>
  <c r="DR18" i="13" s="1"/>
  <c r="BQ15" i="66"/>
  <c r="BQ10" i="67"/>
  <c r="BR12" i="66"/>
  <c r="BU12" i="66" s="1"/>
  <c r="BM92" i="66"/>
  <c r="BM89" i="66"/>
  <c r="BM93" i="66"/>
  <c r="BM85" i="66"/>
  <c r="BM87" i="66"/>
  <c r="BM90" i="66"/>
  <c r="BM83" i="66"/>
  <c r="BM86" i="66"/>
  <c r="BM84" i="66"/>
  <c r="BM17" i="66"/>
  <c r="BM100" i="66" s="1"/>
  <c r="BM91" i="66"/>
  <c r="AU102" i="13"/>
  <c r="AU78" i="13"/>
  <c r="AU50" i="13"/>
  <c r="DD19" i="13" s="1"/>
  <c r="BZ12" i="66"/>
  <c r="BC46" i="13"/>
  <c r="BC75" i="13"/>
  <c r="BI48" i="13"/>
  <c r="BC48" i="13"/>
  <c r="BC77" i="13"/>
  <c r="BI35" i="13"/>
  <c r="BC35" i="13"/>
  <c r="BC70" i="13"/>
  <c r="AS78" i="13" l="1"/>
  <c r="AS50" i="13"/>
  <c r="DB19" i="13" s="1"/>
  <c r="DF19" i="13"/>
  <c r="DJ19" i="13"/>
  <c r="BU14" i="66"/>
  <c r="BN139" i="12"/>
  <c r="BN81" i="12"/>
  <c r="BT81" i="12" s="1"/>
  <c r="BZ81" i="12" s="1"/>
  <c r="CF81" i="12" s="1"/>
  <c r="CL81" i="12" s="1"/>
  <c r="BN69" i="12"/>
  <c r="BT69" i="12" s="1"/>
  <c r="BZ69" i="12" s="1"/>
  <c r="CF69" i="12" s="1"/>
  <c r="BN99" i="12"/>
  <c r="BA27" i="13"/>
  <c r="BN24" i="13"/>
  <c r="BN57" i="67"/>
  <c r="BN55" i="67"/>
  <c r="BN58" i="67"/>
  <c r="BN13" i="67"/>
  <c r="BN67" i="67"/>
  <c r="BO71" i="66"/>
  <c r="BO74" i="66" s="1"/>
  <c r="BO24" i="13" s="1"/>
  <c r="BO132" i="67"/>
  <c r="BO134" i="67" s="1"/>
  <c r="BO141" i="67" s="1"/>
  <c r="AZ22" i="66"/>
  <c r="AW22" i="66"/>
  <c r="BO13" i="12"/>
  <c r="BO147" i="12" s="1"/>
  <c r="AT27" i="13"/>
  <c r="AZ68" i="67"/>
  <c r="AT68" i="67"/>
  <c r="BC68" i="67"/>
  <c r="AZ27" i="13"/>
  <c r="AW68" i="67"/>
  <c r="BM67" i="67"/>
  <c r="BS81" i="12"/>
  <c r="BY81" i="12" s="1"/>
  <c r="CE81" i="12" s="1"/>
  <c r="CK81" i="12" s="1"/>
  <c r="BM69" i="12"/>
  <c r="BS69" i="12" s="1"/>
  <c r="BY69" i="12" s="1"/>
  <c r="CE69" i="12" s="1"/>
  <c r="BM99" i="12"/>
  <c r="BQ88" i="66"/>
  <c r="BM49" i="13"/>
  <c r="DP10" i="13"/>
  <c r="DT18" i="13" s="1"/>
  <c r="BM72" i="13"/>
  <c r="BM139" i="12"/>
  <c r="BM57" i="67"/>
  <c r="BS57" i="67" s="1"/>
  <c r="BM58" i="67"/>
  <c r="BS58" i="67" s="1"/>
  <c r="BM13" i="67"/>
  <c r="BM55" i="67"/>
  <c r="BM147" i="12"/>
  <c r="DG19" i="13"/>
  <c r="DK19" i="13"/>
  <c r="BO88" i="66"/>
  <c r="BL88" i="66"/>
  <c r="CL69" i="66"/>
  <c r="CG73" i="66"/>
  <c r="CK89" i="13"/>
  <c r="CG64" i="66"/>
  <c r="CG21" i="13" s="1"/>
  <c r="CG75" i="13" s="1"/>
  <c r="CM76" i="13"/>
  <c r="CG69" i="66"/>
  <c r="CI89" i="13"/>
  <c r="CI69" i="66"/>
  <c r="CJ75" i="13"/>
  <c r="CJ63" i="66"/>
  <c r="CJ76" i="13"/>
  <c r="CD69" i="66"/>
  <c r="CM73" i="66" s="1"/>
  <c r="CG76" i="13"/>
  <c r="CF12" i="66"/>
  <c r="CL89" i="13"/>
  <c r="CL90" i="13"/>
  <c r="CG72" i="66"/>
  <c r="CE12" i="66"/>
  <c r="CK90" i="13"/>
  <c r="CK69" i="66"/>
  <c r="CC12" i="66"/>
  <c r="CI90" i="13"/>
  <c r="CD89" i="13"/>
  <c r="CD90" i="13"/>
  <c r="BL71" i="66"/>
  <c r="BL74" i="66" s="1"/>
  <c r="BL24" i="13" s="1"/>
  <c r="BL132" i="67"/>
  <c r="BL134" i="67" s="1"/>
  <c r="BL141" i="67" s="1"/>
  <c r="AU92" i="13"/>
  <c r="BO11" i="12"/>
  <c r="BO145" i="12" s="1"/>
  <c r="BI87" i="13"/>
  <c r="BC87" i="13"/>
  <c r="BE92" i="13"/>
  <c r="AY92" i="13"/>
  <c r="BI85" i="13"/>
  <c r="BC85" i="13"/>
  <c r="BY70" i="66"/>
  <c r="BY14" i="66"/>
  <c r="BY71" i="66" s="1"/>
  <c r="BY74" i="66" s="1"/>
  <c r="BY24" i="13" s="1"/>
  <c r="BY15" i="66"/>
  <c r="BY10" i="67"/>
  <c r="BY11" i="67" s="1"/>
  <c r="BA102" i="13"/>
  <c r="BG102" i="13"/>
  <c r="AW118" i="66"/>
  <c r="AW113" i="66"/>
  <c r="AV119" i="66"/>
  <c r="AU119" i="66"/>
  <c r="AT119" i="66"/>
  <c r="AS119" i="66"/>
  <c r="BI84" i="13"/>
  <c r="BC84" i="13"/>
  <c r="BC91" i="13"/>
  <c r="BI91" i="13"/>
  <c r="BN96" i="13"/>
  <c r="BN100" i="13" s="1"/>
  <c r="BN71" i="67"/>
  <c r="BM114" i="66"/>
  <c r="BM126" i="66" s="1"/>
  <c r="BM18" i="66"/>
  <c r="BQ49" i="13"/>
  <c r="BQ72" i="13"/>
  <c r="BT49" i="13"/>
  <c r="BT72" i="13"/>
  <c r="BC82" i="13"/>
  <c r="BI82" i="13"/>
  <c r="BW14" i="66"/>
  <c r="BW71" i="66" s="1"/>
  <c r="BW74" i="66" s="1"/>
  <c r="BW24" i="13" s="1"/>
  <c r="BW70" i="66"/>
  <c r="BW15" i="66"/>
  <c r="BW10" i="67"/>
  <c r="AT50" i="13"/>
  <c r="DC19" i="13" s="1"/>
  <c r="AT102" i="13"/>
  <c r="AT78" i="13"/>
  <c r="AU117" i="66"/>
  <c r="AS117" i="66"/>
  <c r="AT117" i="66"/>
  <c r="AV117" i="66"/>
  <c r="AU124" i="66"/>
  <c r="AS124" i="66"/>
  <c r="AV124" i="66"/>
  <c r="AT124" i="66"/>
  <c r="BQ11" i="67"/>
  <c r="CA64" i="66"/>
  <c r="CA21" i="13" s="1"/>
  <c r="CA69" i="66"/>
  <c r="BR70" i="66"/>
  <c r="BR14" i="66"/>
  <c r="BR71" i="66" s="1"/>
  <c r="BR74" i="66" s="1"/>
  <c r="BR24" i="13" s="1"/>
  <c r="DS10" i="13" s="1"/>
  <c r="BR10" i="67"/>
  <c r="BQ93" i="66"/>
  <c r="BQ90" i="66"/>
  <c r="BQ89" i="66"/>
  <c r="BQ92" i="66"/>
  <c r="BQ83" i="66"/>
  <c r="BQ86" i="66"/>
  <c r="BQ85" i="66"/>
  <c r="BQ84" i="66"/>
  <c r="BQ87" i="66"/>
  <c r="BQ17" i="66"/>
  <c r="BQ91" i="66"/>
  <c r="BI83" i="13"/>
  <c r="BC83" i="13"/>
  <c r="BM70" i="67"/>
  <c r="BM97" i="13"/>
  <c r="BM101" i="13" s="1"/>
  <c r="BM17" i="67"/>
  <c r="BX12" i="66"/>
  <c r="CA12" i="66" s="1"/>
  <c r="CA15" i="66" s="1"/>
  <c r="BF50" i="13"/>
  <c r="AZ50" i="13"/>
  <c r="AZ78" i="13"/>
  <c r="BB92" i="13"/>
  <c r="BH92" i="13"/>
  <c r="BC88" i="13"/>
  <c r="BI88" i="13"/>
  <c r="BC89" i="13"/>
  <c r="BZ70" i="66"/>
  <c r="BZ14" i="66"/>
  <c r="BZ71" i="66" s="1"/>
  <c r="BZ74" i="66" s="1"/>
  <c r="BZ24" i="13" s="1"/>
  <c r="BZ15" i="66"/>
  <c r="BZ10" i="67"/>
  <c r="BZ11" i="67" s="1"/>
  <c r="BN70" i="67"/>
  <c r="BN17" i="67"/>
  <c r="BM71" i="67"/>
  <c r="BM96" i="13"/>
  <c r="BM100" i="13" s="1"/>
  <c r="AV92" i="13"/>
  <c r="BH102" i="13"/>
  <c r="BB102" i="13"/>
  <c r="AW50" i="13"/>
  <c r="AW78" i="13"/>
  <c r="AW102" i="13"/>
  <c r="BN114" i="66"/>
  <c r="BN18" i="66"/>
  <c r="BL87" i="66"/>
  <c r="BL90" i="66"/>
  <c r="BL92" i="66"/>
  <c r="BL86" i="66"/>
  <c r="BL83" i="66"/>
  <c r="BL93" i="66"/>
  <c r="BL84" i="66"/>
  <c r="BL85" i="66"/>
  <c r="BL89" i="66"/>
  <c r="BL17" i="66"/>
  <c r="BL91" i="66"/>
  <c r="BE102" i="13"/>
  <c r="AY102" i="13"/>
  <c r="BO83" i="66"/>
  <c r="BO85" i="66"/>
  <c r="BO86" i="66"/>
  <c r="BO90" i="66"/>
  <c r="BO93" i="66"/>
  <c r="BO89" i="66"/>
  <c r="BO84" i="66"/>
  <c r="BO87" i="66"/>
  <c r="BO92" i="66"/>
  <c r="BO17" i="66"/>
  <c r="BO100" i="66" s="1"/>
  <c r="BO91" i="66"/>
  <c r="BA92" i="13"/>
  <c r="BG92" i="13"/>
  <c r="AS123" i="66"/>
  <c r="AV123" i="66"/>
  <c r="AT123" i="66"/>
  <c r="AU123" i="66"/>
  <c r="AV120" i="66"/>
  <c r="AT120" i="66"/>
  <c r="AU120" i="66"/>
  <c r="AS120" i="66"/>
  <c r="BC90" i="13"/>
  <c r="BI90" i="13"/>
  <c r="BO10" i="67"/>
  <c r="BL11" i="67"/>
  <c r="BL81" i="12" s="1"/>
  <c r="AS92" i="13"/>
  <c r="BS49" i="13"/>
  <c r="BS72" i="13"/>
  <c r="BI89" i="13"/>
  <c r="BC26" i="13"/>
  <c r="BC22" i="66"/>
  <c r="AS121" i="66"/>
  <c r="AU121" i="66"/>
  <c r="AT121" i="66"/>
  <c r="AV121" i="66"/>
  <c r="AU122" i="66"/>
  <c r="AS122" i="66"/>
  <c r="AT122" i="66"/>
  <c r="AV122" i="66"/>
  <c r="BL100" i="66" l="1"/>
  <c r="BU19" i="66"/>
  <c r="CF72" i="12"/>
  <c r="CL69" i="12"/>
  <c r="CL72" i="12" s="1"/>
  <c r="BQ149" i="67"/>
  <c r="CE72" i="12"/>
  <c r="CK69" i="12"/>
  <c r="CK72" i="12" s="1"/>
  <c r="CA14" i="66"/>
  <c r="CA17" i="66"/>
  <c r="BN72" i="12"/>
  <c r="BO49" i="13"/>
  <c r="AW27" i="13"/>
  <c r="BN72" i="13"/>
  <c r="BT86" i="13" s="1"/>
  <c r="DQ10" i="13"/>
  <c r="BN49" i="13"/>
  <c r="BT58" i="67"/>
  <c r="BN62" i="67"/>
  <c r="BN56" i="67"/>
  <c r="BT57" i="67"/>
  <c r="BO72" i="13"/>
  <c r="BN97" i="13"/>
  <c r="BN101" i="13" s="1"/>
  <c r="BN69" i="67"/>
  <c r="BC27" i="13"/>
  <c r="BN21" i="66"/>
  <c r="BM72" i="12"/>
  <c r="BM145" i="12"/>
  <c r="DP18" i="13"/>
  <c r="BM86" i="13"/>
  <c r="BM56" i="67"/>
  <c r="BM62" i="67"/>
  <c r="BM21" i="66"/>
  <c r="BM69" i="67"/>
  <c r="BM18" i="67"/>
  <c r="BM57" i="12" s="1"/>
  <c r="CM72" i="66"/>
  <c r="BL139" i="12"/>
  <c r="BL159" i="12" s="1"/>
  <c r="BR81" i="12"/>
  <c r="BX81" i="12" s="1"/>
  <c r="CD81" i="12" s="1"/>
  <c r="CJ81" i="12" s="1"/>
  <c r="BL99" i="12"/>
  <c r="BL69" i="12"/>
  <c r="BR69" i="12" s="1"/>
  <c r="BX69" i="12" s="1"/>
  <c r="CD69" i="12" s="1"/>
  <c r="BZ88" i="66"/>
  <c r="BY88" i="66"/>
  <c r="CK12" i="66"/>
  <c r="CE10" i="67"/>
  <c r="CE14" i="66"/>
  <c r="CE71" i="66" s="1"/>
  <c r="CE74" i="66" s="1"/>
  <c r="CE24" i="13" s="1"/>
  <c r="CE70" i="66"/>
  <c r="CF10" i="67"/>
  <c r="CF70" i="66"/>
  <c r="CF14" i="66"/>
  <c r="CF71" i="66" s="1"/>
  <c r="CF74" i="66" s="1"/>
  <c r="CF24" i="13" s="1"/>
  <c r="CJ69" i="66"/>
  <c r="CM90" i="13"/>
  <c r="CG46" i="13"/>
  <c r="CL12" i="66"/>
  <c r="CC10" i="67"/>
  <c r="CC14" i="66"/>
  <c r="CC71" i="66" s="1"/>
  <c r="CC74" i="66" s="1"/>
  <c r="CC24" i="13" s="1"/>
  <c r="CC70" i="66"/>
  <c r="CD12" i="66"/>
  <c r="CG12" i="66" s="1"/>
  <c r="CG14" i="66" s="1"/>
  <c r="CJ90" i="13"/>
  <c r="CJ89" i="13"/>
  <c r="CI12" i="66"/>
  <c r="CM63" i="66"/>
  <c r="DO10" i="13"/>
  <c r="BL55" i="67"/>
  <c r="BL58" i="67"/>
  <c r="BR58" i="67" s="1"/>
  <c r="BL57" i="67"/>
  <c r="BR57" i="67" s="1"/>
  <c r="BL13" i="67"/>
  <c r="BL72" i="13"/>
  <c r="BL86" i="13" s="1"/>
  <c r="BL49" i="13"/>
  <c r="AU111" i="66"/>
  <c r="BN92" i="67"/>
  <c r="BN72" i="67"/>
  <c r="BQ15" i="67"/>
  <c r="BQ67" i="67"/>
  <c r="BQ139" i="12"/>
  <c r="BQ13" i="12"/>
  <c r="BQ18" i="11" s="1"/>
  <c r="BQ14" i="67"/>
  <c r="BQ11" i="12"/>
  <c r="BQ20" i="11" s="1"/>
  <c r="BQ13" i="67"/>
  <c r="BQ98" i="12"/>
  <c r="AV112" i="66"/>
  <c r="AU105" i="66"/>
  <c r="BW87" i="66"/>
  <c r="BW90" i="66"/>
  <c r="BW84" i="66"/>
  <c r="BW17" i="66"/>
  <c r="BW93" i="66"/>
  <c r="BW92" i="66"/>
  <c r="BW85" i="66"/>
  <c r="BW86" i="66"/>
  <c r="BW83" i="66"/>
  <c r="BW89" i="66"/>
  <c r="BW91" i="66"/>
  <c r="AS107" i="66"/>
  <c r="AV107" i="66"/>
  <c r="BY49" i="13"/>
  <c r="BY72" i="13"/>
  <c r="AS110" i="66"/>
  <c r="AV109" i="66"/>
  <c r="BI50" i="13"/>
  <c r="BC50" i="13"/>
  <c r="BC78" i="13"/>
  <c r="BL67" i="67"/>
  <c r="BO11" i="67"/>
  <c r="AT108" i="66"/>
  <c r="AT111" i="66"/>
  <c r="BN106" i="66"/>
  <c r="BN112" i="66"/>
  <c r="BN105" i="66"/>
  <c r="BN107" i="66"/>
  <c r="BN110" i="66"/>
  <c r="BN111" i="66"/>
  <c r="BN113" i="66"/>
  <c r="BN108" i="66"/>
  <c r="BN109" i="66"/>
  <c r="BZ13" i="12"/>
  <c r="BZ139" i="12"/>
  <c r="BZ98" i="12"/>
  <c r="BZ29" i="11" s="1"/>
  <c r="BQ114" i="66"/>
  <c r="BQ18" i="66"/>
  <c r="BU10" i="67"/>
  <c r="AS112" i="66"/>
  <c r="AV105" i="66"/>
  <c r="BQ86" i="13"/>
  <c r="AW125" i="66"/>
  <c r="AT110" i="66"/>
  <c r="AS109" i="66"/>
  <c r="AU108" i="66"/>
  <c r="BU70" i="66"/>
  <c r="BU71" i="66"/>
  <c r="BU74" i="66" s="1"/>
  <c r="BU24" i="13" s="1"/>
  <c r="AW92" i="13"/>
  <c r="BM72" i="67"/>
  <c r="BM92" i="67"/>
  <c r="AU110" i="66"/>
  <c r="AT109" i="66"/>
  <c r="AV108" i="66"/>
  <c r="AV111" i="66"/>
  <c r="BL114" i="66"/>
  <c r="BL126" i="66" s="1"/>
  <c r="BL18" i="66"/>
  <c r="BN18" i="67"/>
  <c r="BZ87" i="66"/>
  <c r="BZ92" i="66"/>
  <c r="BZ93" i="66"/>
  <c r="BZ85" i="66"/>
  <c r="BZ17" i="66"/>
  <c r="BZ83" i="66"/>
  <c r="BZ89" i="66"/>
  <c r="BZ90" i="66"/>
  <c r="BZ86" i="66"/>
  <c r="BZ84" i="66"/>
  <c r="BZ91" i="66"/>
  <c r="BF92" i="13"/>
  <c r="AZ92" i="13"/>
  <c r="BF102" i="13"/>
  <c r="AZ102" i="13"/>
  <c r="BX70" i="66"/>
  <c r="BX14" i="66"/>
  <c r="BX71" i="66" s="1"/>
  <c r="BX74" i="66" s="1"/>
  <c r="BX24" i="13" s="1"/>
  <c r="BX15" i="66"/>
  <c r="BX10" i="67"/>
  <c r="BX11" i="67" s="1"/>
  <c r="BR49" i="13"/>
  <c r="BR72" i="13"/>
  <c r="AU112" i="66"/>
  <c r="AT105" i="66"/>
  <c r="AT92" i="13"/>
  <c r="BW49" i="13"/>
  <c r="BW72" i="13"/>
  <c r="BM108" i="66"/>
  <c r="BM107" i="66"/>
  <c r="BM105" i="66"/>
  <c r="BM106" i="66"/>
  <c r="BM112" i="66"/>
  <c r="BM109" i="66"/>
  <c r="BM110" i="66"/>
  <c r="BM111" i="66"/>
  <c r="BM113" i="66"/>
  <c r="AT107" i="66"/>
  <c r="AU118" i="66"/>
  <c r="AS118" i="66"/>
  <c r="AV118" i="66"/>
  <c r="AT118" i="66"/>
  <c r="BY13" i="12"/>
  <c r="BY139" i="12"/>
  <c r="BY98" i="12"/>
  <c r="BY29" i="11" s="1"/>
  <c r="AV110" i="66"/>
  <c r="AU109" i="66"/>
  <c r="BS86" i="13"/>
  <c r="AS108" i="66"/>
  <c r="AS111" i="66"/>
  <c r="BO114" i="66"/>
  <c r="BO18" i="66"/>
  <c r="BZ49" i="13"/>
  <c r="BZ72" i="13"/>
  <c r="AT112" i="66"/>
  <c r="AS105" i="66"/>
  <c r="BW11" i="67"/>
  <c r="BW88" i="66"/>
  <c r="AU107" i="66"/>
  <c r="BY83" i="66"/>
  <c r="BY90" i="66"/>
  <c r="BY87" i="66"/>
  <c r="BY92" i="66"/>
  <c r="BY93" i="66"/>
  <c r="BY85" i="66"/>
  <c r="BY84" i="66"/>
  <c r="BY86" i="66"/>
  <c r="BY89" i="66"/>
  <c r="BY17" i="66"/>
  <c r="BY91" i="66"/>
  <c r="CD72" i="12" l="1"/>
  <c r="CJ69" i="12"/>
  <c r="CJ72" i="12" s="1"/>
  <c r="BS56" i="67"/>
  <c r="BY56" i="67" s="1"/>
  <c r="CE56" i="67" s="1"/>
  <c r="CK56" i="67" s="1"/>
  <c r="BT56" i="67"/>
  <c r="BZ56" i="67" s="1"/>
  <c r="CF56" i="67" s="1"/>
  <c r="CL56" i="67" s="1"/>
  <c r="BO139" i="12"/>
  <c r="BO159" i="12" s="1"/>
  <c r="BO81" i="12"/>
  <c r="BO69" i="12"/>
  <c r="BO99" i="12"/>
  <c r="BT72" i="12"/>
  <c r="BN140" i="12"/>
  <c r="BN57" i="12"/>
  <c r="BZ13" i="67"/>
  <c r="BZ12" i="67" s="1"/>
  <c r="BZ55" i="67" s="1"/>
  <c r="BO12" i="12"/>
  <c r="BO146" i="12" s="1"/>
  <c r="DQ18" i="13"/>
  <c r="DU18" i="13"/>
  <c r="BN86" i="13"/>
  <c r="BN59" i="67"/>
  <c r="BN63" i="67"/>
  <c r="BZ57" i="67"/>
  <c r="BZ58" i="67"/>
  <c r="BO86" i="13"/>
  <c r="BN26" i="13"/>
  <c r="DQ11" i="13" s="1"/>
  <c r="DQ19" i="13" s="1"/>
  <c r="BO25" i="12"/>
  <c r="BO153" i="12" s="1"/>
  <c r="BN152" i="67"/>
  <c r="BN22" i="66"/>
  <c r="BN27" i="13" s="1"/>
  <c r="BN29" i="12"/>
  <c r="BO27" i="12"/>
  <c r="BO154" i="12" s="1"/>
  <c r="BL21" i="66"/>
  <c r="BN68" i="67"/>
  <c r="BS72" i="12"/>
  <c r="BQ21" i="66"/>
  <c r="BO21" i="66"/>
  <c r="BO26" i="13" s="1"/>
  <c r="BM63" i="67"/>
  <c r="BM59" i="67"/>
  <c r="BY58" i="67"/>
  <c r="BX58" i="67"/>
  <c r="CD58" i="67" s="1"/>
  <c r="CJ58" i="67" s="1"/>
  <c r="BY57" i="67"/>
  <c r="BM26" i="13"/>
  <c r="BM78" i="13" s="1"/>
  <c r="BM152" i="67"/>
  <c r="BM22" i="66"/>
  <c r="BM153" i="12"/>
  <c r="BM154" i="12"/>
  <c r="BM29" i="12"/>
  <c r="BM68" i="67"/>
  <c r="DO18" i="13"/>
  <c r="DS18" i="13"/>
  <c r="BM104" i="13"/>
  <c r="BM105" i="13" s="1"/>
  <c r="BM73" i="67"/>
  <c r="BM146" i="12"/>
  <c r="BM140" i="12"/>
  <c r="BL72" i="12"/>
  <c r="CM64" i="66"/>
  <c r="CM21" i="13" s="1"/>
  <c r="CM69" i="66"/>
  <c r="CI10" i="67"/>
  <c r="CI70" i="66"/>
  <c r="CI14" i="66"/>
  <c r="CI71" i="66" s="1"/>
  <c r="CI74" i="66" s="1"/>
  <c r="CI24" i="13" s="1"/>
  <c r="CJ12" i="66"/>
  <c r="CM12" i="66" s="1"/>
  <c r="CM14" i="66" s="1"/>
  <c r="CE72" i="13"/>
  <c r="CE49" i="13"/>
  <c r="CK10" i="67"/>
  <c r="CK14" i="66"/>
  <c r="CK71" i="66" s="1"/>
  <c r="CK74" i="66" s="1"/>
  <c r="CK24" i="13" s="1"/>
  <c r="CK70" i="66"/>
  <c r="BX88" i="66"/>
  <c r="CG70" i="66"/>
  <c r="CD10" i="67"/>
  <c r="CD70" i="66"/>
  <c r="CD14" i="66"/>
  <c r="CD71" i="66" s="1"/>
  <c r="CD74" i="66" s="1"/>
  <c r="CD24" i="13" s="1"/>
  <c r="CC72" i="13"/>
  <c r="CC49" i="13"/>
  <c r="CL10" i="67"/>
  <c r="CL70" i="66"/>
  <c r="CL14" i="66"/>
  <c r="CL71" i="66" s="1"/>
  <c r="CL74" i="66" s="1"/>
  <c r="CL24" i="13" s="1"/>
  <c r="CF49" i="13"/>
  <c r="CF72" i="13"/>
  <c r="BL62" i="67"/>
  <c r="BL56" i="67"/>
  <c r="BW67" i="67"/>
  <c r="BW13" i="12"/>
  <c r="BW14" i="67"/>
  <c r="BW139" i="12"/>
  <c r="BW15" i="67"/>
  <c r="BW13" i="67"/>
  <c r="BW98" i="12"/>
  <c r="BW11" i="12"/>
  <c r="CA11" i="67"/>
  <c r="BY33" i="11"/>
  <c r="BY35" i="11" s="1"/>
  <c r="BR86" i="13"/>
  <c r="BQ109" i="66"/>
  <c r="BQ106" i="66"/>
  <c r="BQ110" i="66"/>
  <c r="BQ112" i="66"/>
  <c r="BQ113" i="66"/>
  <c r="BQ105" i="66"/>
  <c r="BQ108" i="66"/>
  <c r="BQ107" i="66"/>
  <c r="BQ111" i="66"/>
  <c r="BZ147" i="12"/>
  <c r="CA13" i="12"/>
  <c r="BQ29" i="11"/>
  <c r="BQ97" i="13"/>
  <c r="BQ101" i="13" s="1"/>
  <c r="BQ70" i="67"/>
  <c r="BQ17" i="67"/>
  <c r="CA10" i="67"/>
  <c r="AU106" i="66"/>
  <c r="BX86" i="66"/>
  <c r="BX89" i="66"/>
  <c r="BX84" i="66"/>
  <c r="BX93" i="66"/>
  <c r="BX92" i="66"/>
  <c r="BX83" i="66"/>
  <c r="BX90" i="66"/>
  <c r="BX85" i="66"/>
  <c r="BX87" i="66"/>
  <c r="BX17" i="66"/>
  <c r="CG20" i="66" s="1"/>
  <c r="BX91" i="66"/>
  <c r="BZ114" i="66"/>
  <c r="BU9" i="13"/>
  <c r="BU11" i="13"/>
  <c r="BM22" i="67"/>
  <c r="AU125" i="66"/>
  <c r="AS125" i="66"/>
  <c r="AT125" i="66"/>
  <c r="AV125" i="66"/>
  <c r="BL71" i="67"/>
  <c r="BL96" i="13"/>
  <c r="BL100" i="13" s="1"/>
  <c r="BO15" i="67"/>
  <c r="BQ147" i="12"/>
  <c r="BX13" i="12"/>
  <c r="BX98" i="12"/>
  <c r="BX29" i="11" s="1"/>
  <c r="BX139" i="12"/>
  <c r="BL112" i="66"/>
  <c r="BL105" i="66"/>
  <c r="BL107" i="66"/>
  <c r="BL110" i="66"/>
  <c r="BL111" i="66"/>
  <c r="BL108" i="66"/>
  <c r="BL106" i="66"/>
  <c r="BL109" i="66"/>
  <c r="BL113" i="66"/>
  <c r="BU49" i="13"/>
  <c r="BU72" i="13"/>
  <c r="BI92" i="13"/>
  <c r="BC92" i="13"/>
  <c r="BY114" i="66"/>
  <c r="BO112" i="66"/>
  <c r="BO113" i="66"/>
  <c r="BO110" i="66"/>
  <c r="BO111" i="66"/>
  <c r="BO105" i="66"/>
  <c r="BO106" i="66"/>
  <c r="BO107" i="66"/>
  <c r="BO109" i="66"/>
  <c r="BO108" i="66"/>
  <c r="AT106" i="66"/>
  <c r="BW86" i="13"/>
  <c r="BX49" i="13"/>
  <c r="BX72" i="13"/>
  <c r="BN104" i="13"/>
  <c r="BN105" i="13" s="1"/>
  <c r="BN73" i="67"/>
  <c r="BZ33" i="11"/>
  <c r="BZ35" i="11" s="1"/>
  <c r="BL97" i="13"/>
  <c r="BL101" i="13" s="1"/>
  <c r="BL70" i="67"/>
  <c r="BO14" i="67"/>
  <c r="BL17" i="67"/>
  <c r="BO67" i="67"/>
  <c r="BI102" i="13"/>
  <c r="BC102" i="13"/>
  <c r="BY86" i="13"/>
  <c r="BW18" i="66"/>
  <c r="BW114" i="66"/>
  <c r="BQ62" i="67"/>
  <c r="BQ12" i="67"/>
  <c r="CA71" i="66"/>
  <c r="CA74" i="66" s="1"/>
  <c r="CA24" i="13" s="1"/>
  <c r="CA70" i="66"/>
  <c r="BZ86" i="13"/>
  <c r="AS106" i="66"/>
  <c r="BZ18" i="11"/>
  <c r="BY147" i="12"/>
  <c r="AV106" i="66"/>
  <c r="BQ145" i="12"/>
  <c r="BQ96" i="13"/>
  <c r="BQ100" i="13" s="1"/>
  <c r="BQ71" i="67"/>
  <c r="BN22" i="67"/>
  <c r="BN64" i="12" l="1"/>
  <c r="BN63" i="12"/>
  <c r="BO156" i="12"/>
  <c r="BR56" i="67"/>
  <c r="BX56" i="67" s="1"/>
  <c r="CD56" i="67" s="1"/>
  <c r="CJ56" i="67" s="1"/>
  <c r="BQ18" i="67"/>
  <c r="CG19" i="66"/>
  <c r="BZ72" i="12"/>
  <c r="BZ11" i="12"/>
  <c r="BM33" i="12"/>
  <c r="BM63" i="12"/>
  <c r="BM64" i="12"/>
  <c r="CF58" i="67"/>
  <c r="BZ15" i="67"/>
  <c r="CF57" i="67"/>
  <c r="BZ14" i="67"/>
  <c r="BQ152" i="67"/>
  <c r="BN50" i="13"/>
  <c r="BN102" i="13"/>
  <c r="BN78" i="13"/>
  <c r="BN92" i="13" s="1"/>
  <c r="BO152" i="67"/>
  <c r="BO22" i="66"/>
  <c r="BO27" i="13" s="1"/>
  <c r="BQ26" i="13"/>
  <c r="DR11" i="13" s="1"/>
  <c r="DR19" i="13" s="1"/>
  <c r="BQ22" i="66"/>
  <c r="BQ27" i="13" s="1"/>
  <c r="BM102" i="13"/>
  <c r="BN33" i="12"/>
  <c r="BO29" i="12"/>
  <c r="BO33" i="12" s="1"/>
  <c r="BN146" i="67"/>
  <c r="BM27" i="13"/>
  <c r="BL152" i="67"/>
  <c r="BL68" i="67"/>
  <c r="BL26" i="13"/>
  <c r="DO11" i="13" s="1"/>
  <c r="DO19" i="13" s="1"/>
  <c r="BL22" i="66"/>
  <c r="BY72" i="12"/>
  <c r="BY11" i="12"/>
  <c r="BQ68" i="67"/>
  <c r="BO68" i="67"/>
  <c r="BW21" i="66"/>
  <c r="BW26" i="13" s="1"/>
  <c r="CE58" i="67"/>
  <c r="BY15" i="67"/>
  <c r="CE57" i="67"/>
  <c r="BY14" i="67"/>
  <c r="BM50" i="13"/>
  <c r="DP11" i="13"/>
  <c r="DP19" i="13" s="1"/>
  <c r="BM156" i="12"/>
  <c r="BN19" i="11"/>
  <c r="BX72" i="12"/>
  <c r="BM146" i="67"/>
  <c r="BZ25" i="12"/>
  <c r="BZ12" i="12"/>
  <c r="BZ27" i="12"/>
  <c r="BZ154" i="12" s="1"/>
  <c r="BN33" i="11"/>
  <c r="BN35" i="11" s="1"/>
  <c r="BR72" i="12"/>
  <c r="BM33" i="11"/>
  <c r="BM35" i="11" s="1"/>
  <c r="CD49" i="13"/>
  <c r="CD72" i="13"/>
  <c r="CE86" i="13"/>
  <c r="CJ10" i="67"/>
  <c r="CJ70" i="66"/>
  <c r="CJ14" i="66"/>
  <c r="CJ71" i="66" s="1"/>
  <c r="CJ74" i="66" s="1"/>
  <c r="CJ24" i="13" s="1"/>
  <c r="CI49" i="13"/>
  <c r="CI72" i="13"/>
  <c r="CA88" i="66"/>
  <c r="CF86" i="13"/>
  <c r="CL49" i="13"/>
  <c r="CL72" i="13"/>
  <c r="CC86" i="13"/>
  <c r="CG71" i="66"/>
  <c r="CG74" i="66" s="1"/>
  <c r="CG24" i="13" s="1"/>
  <c r="CK72" i="13"/>
  <c r="CK49" i="13"/>
  <c r="CG10" i="67"/>
  <c r="CM46" i="13"/>
  <c r="CM75" i="13"/>
  <c r="BX57" i="67"/>
  <c r="CD57" i="67" s="1"/>
  <c r="BO12" i="67"/>
  <c r="BL69" i="67"/>
  <c r="BL18" i="67"/>
  <c r="BY108" i="66"/>
  <c r="BY113" i="66"/>
  <c r="BY110" i="66"/>
  <c r="BY111" i="66"/>
  <c r="BY109" i="66"/>
  <c r="BY107" i="66"/>
  <c r="BY112" i="66"/>
  <c r="BY105" i="66"/>
  <c r="BY106" i="66"/>
  <c r="AU113" i="66"/>
  <c r="BU46" i="13"/>
  <c r="BU75" i="13"/>
  <c r="CA139" i="12"/>
  <c r="BW62" i="67"/>
  <c r="BQ57" i="12"/>
  <c r="BQ73" i="67"/>
  <c r="BQ104" i="13"/>
  <c r="BQ105" i="13" s="1"/>
  <c r="BQ63" i="67"/>
  <c r="BQ140" i="12"/>
  <c r="BQ59" i="67"/>
  <c r="BQ146" i="67" s="1"/>
  <c r="BX86" i="13"/>
  <c r="AS113" i="66"/>
  <c r="BU33" i="13"/>
  <c r="BU68" i="13"/>
  <c r="BU48" i="13"/>
  <c r="BU77" i="13"/>
  <c r="BX114" i="66"/>
  <c r="BQ72" i="67"/>
  <c r="CA98" i="12"/>
  <c r="CA99" i="12" s="1"/>
  <c r="BW29" i="11"/>
  <c r="BW97" i="13"/>
  <c r="BW101" i="13" s="1"/>
  <c r="BW70" i="67"/>
  <c r="BW17" i="67"/>
  <c r="AV113" i="66"/>
  <c r="BM92" i="13"/>
  <c r="CA49" i="13"/>
  <c r="CA72" i="13"/>
  <c r="BL72" i="67"/>
  <c r="BL92" i="67"/>
  <c r="BU86" i="13"/>
  <c r="BO96" i="13"/>
  <c r="BO100" i="13" s="1"/>
  <c r="BO58" i="67"/>
  <c r="BO71" i="67"/>
  <c r="AT113" i="66"/>
  <c r="BU71" i="13"/>
  <c r="BU36" i="13"/>
  <c r="BU47" i="13"/>
  <c r="BU76" i="13"/>
  <c r="BZ110" i="66"/>
  <c r="BZ111" i="66"/>
  <c r="BZ113" i="66"/>
  <c r="BZ106" i="66"/>
  <c r="BZ108" i="66"/>
  <c r="BZ105" i="66"/>
  <c r="BZ107" i="66"/>
  <c r="BZ109" i="66"/>
  <c r="BZ112" i="66"/>
  <c r="BO78" i="13"/>
  <c r="BO50" i="13"/>
  <c r="BW12" i="67"/>
  <c r="BW71" i="67"/>
  <c r="BW96" i="13"/>
  <c r="BW100" i="13" s="1"/>
  <c r="BO20" i="11"/>
  <c r="BY18" i="11"/>
  <c r="BX147" i="12"/>
  <c r="BU44" i="13"/>
  <c r="BU73" i="13"/>
  <c r="BO18" i="11"/>
  <c r="CA84" i="66"/>
  <c r="CA87" i="66"/>
  <c r="CA83" i="66"/>
  <c r="CA85" i="66"/>
  <c r="CA90" i="66"/>
  <c r="CA92" i="66"/>
  <c r="CA86" i="66"/>
  <c r="CA93" i="66"/>
  <c r="CA89" i="66"/>
  <c r="CA91" i="66"/>
  <c r="BQ12" i="12"/>
  <c r="BQ25" i="12"/>
  <c r="BQ69" i="67"/>
  <c r="BQ55" i="67"/>
  <c r="BQ27" i="12"/>
  <c r="BW112" i="66"/>
  <c r="BW111" i="66"/>
  <c r="BW105" i="66"/>
  <c r="BW106" i="66"/>
  <c r="BW110" i="66"/>
  <c r="BW107" i="66"/>
  <c r="BW108" i="66"/>
  <c r="BW113" i="66"/>
  <c r="BW109" i="66"/>
  <c r="BO57" i="67"/>
  <c r="BO97" i="13"/>
  <c r="BO101" i="13" s="1"/>
  <c r="BO17" i="67"/>
  <c r="BO70" i="67"/>
  <c r="BX33" i="11"/>
  <c r="BX35" i="11" s="1"/>
  <c r="BL33" i="11"/>
  <c r="BL35" i="11" s="1"/>
  <c r="BO29" i="11"/>
  <c r="BU45" i="13"/>
  <c r="BU74" i="13"/>
  <c r="BU34" i="13"/>
  <c r="BU69" i="13"/>
  <c r="BQ33" i="11"/>
  <c r="BQ35" i="11" s="1"/>
  <c r="CA147" i="12"/>
  <c r="CA81" i="12"/>
  <c r="BW145" i="12"/>
  <c r="BW147" i="12"/>
  <c r="BX18" i="11"/>
  <c r="CG9" i="13" l="1"/>
  <c r="CG14" i="13"/>
  <c r="CG8" i="13"/>
  <c r="CG12" i="13"/>
  <c r="CG11" i="13"/>
  <c r="BO82" i="12"/>
  <c r="BO70" i="12"/>
  <c r="BO71" i="12"/>
  <c r="CA11" i="12"/>
  <c r="BZ145" i="12"/>
  <c r="BW29" i="13"/>
  <c r="BW28" i="13"/>
  <c r="BL78" i="13"/>
  <c r="BL50" i="13"/>
  <c r="BL102" i="13"/>
  <c r="CL57" i="67"/>
  <c r="BZ17" i="67"/>
  <c r="CL58" i="67"/>
  <c r="BQ102" i="13"/>
  <c r="BQ78" i="13"/>
  <c r="BQ50" i="13"/>
  <c r="BN147" i="67"/>
  <c r="BL27" i="13"/>
  <c r="BW22" i="66"/>
  <c r="BY145" i="12"/>
  <c r="BZ20" i="11"/>
  <c r="BW152" i="67"/>
  <c r="BW68" i="67"/>
  <c r="CK58" i="67"/>
  <c r="BY17" i="67"/>
  <c r="CK57" i="67"/>
  <c r="BY13" i="67"/>
  <c r="BM150" i="67"/>
  <c r="BM147" i="67"/>
  <c r="CM10" i="67"/>
  <c r="BQ97" i="12"/>
  <c r="BZ146" i="12"/>
  <c r="CA12" i="12"/>
  <c r="BZ153" i="12"/>
  <c r="BZ156" i="12" s="1"/>
  <c r="BZ29" i="12"/>
  <c r="CA25" i="12"/>
  <c r="CA153" i="12" s="1"/>
  <c r="CA27" i="12"/>
  <c r="CA154" i="12" s="1"/>
  <c r="BL140" i="12"/>
  <c r="BL57" i="12"/>
  <c r="BX11" i="12"/>
  <c r="CM89" i="13"/>
  <c r="CK86" i="13"/>
  <c r="CG72" i="13"/>
  <c r="CG49" i="13"/>
  <c r="CM71" i="66"/>
  <c r="CM74" i="66" s="1"/>
  <c r="CM24" i="13" s="1"/>
  <c r="CM70" i="66"/>
  <c r="CD86" i="13"/>
  <c r="CL86" i="13"/>
  <c r="CI86" i="13"/>
  <c r="CJ49" i="13"/>
  <c r="CJ72" i="13"/>
  <c r="CJ57" i="67"/>
  <c r="BX13" i="67"/>
  <c r="BX12" i="67" s="1"/>
  <c r="BX12" i="12" s="1"/>
  <c r="BW18" i="67"/>
  <c r="BW57" i="12" s="1"/>
  <c r="BX15" i="67"/>
  <c r="BO23" i="11"/>
  <c r="BL59" i="67"/>
  <c r="BL63" i="67"/>
  <c r="BX14" i="67"/>
  <c r="BO55" i="67"/>
  <c r="BL29" i="12"/>
  <c r="BO69" i="67"/>
  <c r="BL30" i="67"/>
  <c r="BO102" i="13"/>
  <c r="BO148" i="67"/>
  <c r="BL104" i="13"/>
  <c r="BL105" i="13" s="1"/>
  <c r="BO21" i="11"/>
  <c r="BO13" i="67"/>
  <c r="BL73" i="67"/>
  <c r="BM19" i="11"/>
  <c r="BU88" i="13"/>
  <c r="BU83" i="13"/>
  <c r="BO72" i="67"/>
  <c r="CA114" i="66"/>
  <c r="BU87" i="13"/>
  <c r="BU90" i="13"/>
  <c r="BU89" i="13"/>
  <c r="BQ146" i="12"/>
  <c r="BQ21" i="11"/>
  <c r="BU85" i="13"/>
  <c r="BL22" i="67"/>
  <c r="BO92" i="67"/>
  <c r="BO93" i="67" s="1"/>
  <c r="BQ93" i="67" s="1"/>
  <c r="CA73" i="13"/>
  <c r="CG87" i="13" s="1"/>
  <c r="CA44" i="13"/>
  <c r="CA45" i="13"/>
  <c r="CA74" i="13"/>
  <c r="CG88" i="13" s="1"/>
  <c r="CA29" i="11"/>
  <c r="BW33" i="11"/>
  <c r="BW35" i="11" s="1"/>
  <c r="BX111" i="66"/>
  <c r="BX108" i="66"/>
  <c r="BX107" i="66"/>
  <c r="BX106" i="66"/>
  <c r="BX105" i="66"/>
  <c r="BX109" i="66"/>
  <c r="BX113" i="66"/>
  <c r="BX112" i="66"/>
  <c r="BX110" i="66"/>
  <c r="BU82" i="13"/>
  <c r="BW50" i="13"/>
  <c r="BW78" i="13"/>
  <c r="BQ23" i="11"/>
  <c r="BQ154" i="12"/>
  <c r="BW69" i="67"/>
  <c r="BW55" i="67"/>
  <c r="BW12" i="12"/>
  <c r="BW27" i="12"/>
  <c r="BW25" i="12"/>
  <c r="CA46" i="13"/>
  <c r="CA75" i="13"/>
  <c r="CG89" i="13" s="1"/>
  <c r="BQ150" i="67"/>
  <c r="BQ147" i="67"/>
  <c r="BQ29" i="12"/>
  <c r="BQ153" i="12"/>
  <c r="BQ22" i="11"/>
  <c r="BO92" i="13"/>
  <c r="CA48" i="13"/>
  <c r="CA77" i="13"/>
  <c r="CG91" i="13" s="1"/>
  <c r="BW72" i="67"/>
  <c r="BO33" i="11"/>
  <c r="BO35" i="11" s="1"/>
  <c r="BK71" i="40"/>
  <c r="CA86" i="13"/>
  <c r="CA47" i="13"/>
  <c r="CA76" i="13"/>
  <c r="CG90" i="13" s="1"/>
  <c r="BU91" i="13"/>
  <c r="BL92" i="13" l="1"/>
  <c r="BO72" i="12"/>
  <c r="CG69" i="13"/>
  <c r="CG68" i="13"/>
  <c r="CG71" i="13"/>
  <c r="CA69" i="12"/>
  <c r="CA145" i="12"/>
  <c r="BZ18" i="67"/>
  <c r="BW102" i="13"/>
  <c r="BQ92" i="13"/>
  <c r="BW27" i="13"/>
  <c r="BY12" i="67"/>
  <c r="CA12" i="67" s="1"/>
  <c r="CA55" i="67" s="1"/>
  <c r="BY18" i="67"/>
  <c r="BM151" i="67"/>
  <c r="BM153" i="67"/>
  <c r="BL64" i="12"/>
  <c r="BL63" i="12"/>
  <c r="BU97" i="12"/>
  <c r="BZ33" i="12"/>
  <c r="CA146" i="12"/>
  <c r="CA29" i="12"/>
  <c r="CA33" i="12" s="1"/>
  <c r="BX146" i="12"/>
  <c r="BW140" i="12"/>
  <c r="BW59" i="67"/>
  <c r="BW146" i="67" s="1"/>
  <c r="BW73" i="67"/>
  <c r="BW104" i="13"/>
  <c r="BW105" i="13" s="1"/>
  <c r="BW63" i="67"/>
  <c r="BX25" i="12"/>
  <c r="BX145" i="12"/>
  <c r="BY20" i="11"/>
  <c r="BX20" i="11"/>
  <c r="CG86" i="13"/>
  <c r="BX55" i="67"/>
  <c r="CJ86" i="13"/>
  <c r="CM49" i="13"/>
  <c r="CM72" i="13"/>
  <c r="BX27" i="12"/>
  <c r="BX154" i="12" s="1"/>
  <c r="BL146" i="67"/>
  <c r="BL150" i="67" s="1"/>
  <c r="CA14" i="67"/>
  <c r="BX17" i="67"/>
  <c r="CA15" i="67"/>
  <c r="CA58" i="67" s="1"/>
  <c r="BL64" i="67"/>
  <c r="BL85" i="67" s="1"/>
  <c r="BL165" i="12" s="1"/>
  <c r="BO18" i="67"/>
  <c r="BO62" i="67"/>
  <c r="BO22" i="11"/>
  <c r="BO19" i="11" s="1"/>
  <c r="BM159" i="12"/>
  <c r="BO56" i="67"/>
  <c r="BL19" i="11"/>
  <c r="BL33" i="12"/>
  <c r="BL32" i="67"/>
  <c r="CA90" i="13"/>
  <c r="CA91" i="13"/>
  <c r="BO22" i="67"/>
  <c r="BL23" i="67"/>
  <c r="BL24" i="67" s="1"/>
  <c r="BQ151" i="67"/>
  <c r="BQ153" i="67"/>
  <c r="CA89" i="13"/>
  <c r="BW92" i="13"/>
  <c r="CA87" i="13"/>
  <c r="BR93" i="67"/>
  <c r="BQ92" i="67"/>
  <c r="BQ156" i="12"/>
  <c r="BW154" i="12"/>
  <c r="BW153" i="12"/>
  <c r="BW29" i="12"/>
  <c r="BL71" i="40"/>
  <c r="BM71" i="40" s="1"/>
  <c r="BN71" i="40" s="1"/>
  <c r="BK73" i="40"/>
  <c r="BQ33" i="12"/>
  <c r="BQ105" i="12"/>
  <c r="BQ102" i="12"/>
  <c r="BW146" i="12"/>
  <c r="BX21" i="11"/>
  <c r="BW71" i="40"/>
  <c r="BX71" i="40" s="1"/>
  <c r="BY71" i="40" s="1"/>
  <c r="BZ71" i="40" s="1"/>
  <c r="CA33" i="11"/>
  <c r="CA35" i="11" s="1"/>
  <c r="CA88" i="13"/>
  <c r="BO15" i="11"/>
  <c r="CA156" i="12"/>
  <c r="BQ19" i="11"/>
  <c r="CA108" i="66"/>
  <c r="CA110" i="66"/>
  <c r="CA106" i="66"/>
  <c r="CA105" i="66"/>
  <c r="CA107" i="66"/>
  <c r="CA113" i="66"/>
  <c r="CA112" i="66"/>
  <c r="CA109" i="66"/>
  <c r="CA111" i="66"/>
  <c r="BO65" i="40" l="1"/>
  <c r="BO57" i="12"/>
  <c r="BO140" i="12"/>
  <c r="BL166" i="12"/>
  <c r="BL167" i="12" s="1"/>
  <c r="BL168" i="12" s="1"/>
  <c r="BZ104" i="13"/>
  <c r="BZ59" i="67"/>
  <c r="BZ146" i="67" s="1"/>
  <c r="BZ57" i="12"/>
  <c r="BZ140" i="12"/>
  <c r="BY59" i="67"/>
  <c r="BY146" i="67" s="1"/>
  <c r="BY140" i="12"/>
  <c r="BY104" i="13"/>
  <c r="BY57" i="12"/>
  <c r="BY12" i="12"/>
  <c r="BY55" i="67"/>
  <c r="BY27" i="12"/>
  <c r="BY23" i="11" s="1"/>
  <c r="BY25" i="12"/>
  <c r="BY22" i="11" s="1"/>
  <c r="BM154" i="67"/>
  <c r="BM60" i="67" s="1"/>
  <c r="BL147" i="67"/>
  <c r="BL151" i="67"/>
  <c r="BW147" i="67"/>
  <c r="CA82" i="12"/>
  <c r="BX22" i="11"/>
  <c r="BW150" i="67"/>
  <c r="CA13" i="67"/>
  <c r="BX153" i="12"/>
  <c r="BX156" i="12" s="1"/>
  <c r="BX23" i="11"/>
  <c r="BX29" i="12"/>
  <c r="CA71" i="12"/>
  <c r="CA70" i="12"/>
  <c r="BL141" i="12"/>
  <c r="BL142" i="12" s="1"/>
  <c r="BL143" i="12" s="1"/>
  <c r="BL144" i="12" s="1"/>
  <c r="BL138" i="12" s="1"/>
  <c r="BL61" i="67"/>
  <c r="BL56" i="12"/>
  <c r="BL58" i="12"/>
  <c r="CM86" i="13"/>
  <c r="CA17" i="67"/>
  <c r="CA57" i="67"/>
  <c r="BX18" i="67"/>
  <c r="BL65" i="67"/>
  <c r="BO59" i="67"/>
  <c r="BO104" i="13"/>
  <c r="BO105" i="13" s="1"/>
  <c r="BL153" i="67"/>
  <c r="BO63" i="67"/>
  <c r="BO73" i="67"/>
  <c r="BL94" i="67"/>
  <c r="BL102" i="67" s="1"/>
  <c r="BL105" i="67"/>
  <c r="BL114" i="67" s="1"/>
  <c r="BL36" i="67"/>
  <c r="BL42" i="67"/>
  <c r="BL40" i="67"/>
  <c r="BL41" i="67"/>
  <c r="BQ154" i="67"/>
  <c r="BW156" i="12"/>
  <c r="BQ15" i="11"/>
  <c r="BQ22" i="67"/>
  <c r="BL68" i="40"/>
  <c r="BK74" i="40"/>
  <c r="BK76" i="40" s="1"/>
  <c r="BS93" i="67"/>
  <c r="BQ14" i="11"/>
  <c r="BR97" i="12"/>
  <c r="BM19" i="67"/>
  <c r="BW33" i="12"/>
  <c r="BZ150" i="67" l="1"/>
  <c r="BZ23" i="11"/>
  <c r="BY154" i="12"/>
  <c r="BY150" i="67"/>
  <c r="BZ21" i="11"/>
  <c r="BY146" i="12"/>
  <c r="BY21" i="11"/>
  <c r="BY19" i="11" s="1"/>
  <c r="BY153" i="12"/>
  <c r="BY29" i="12"/>
  <c r="BZ22" i="11"/>
  <c r="BL154" i="67"/>
  <c r="BW151" i="67"/>
  <c r="BX33" i="12"/>
  <c r="BX19" i="11"/>
  <c r="CA56" i="67"/>
  <c r="BW153" i="67"/>
  <c r="BO146" i="67"/>
  <c r="CA18" i="67"/>
  <c r="CA72" i="12"/>
  <c r="BQ60" i="67"/>
  <c r="BX140" i="12"/>
  <c r="BX57" i="12"/>
  <c r="BX59" i="67"/>
  <c r="BX146" i="67" s="1"/>
  <c r="CA149" i="67"/>
  <c r="BX104" i="13"/>
  <c r="CA148" i="67"/>
  <c r="BL38" i="67"/>
  <c r="BL88" i="12" s="1"/>
  <c r="BL69" i="40"/>
  <c r="BL73" i="40" s="1"/>
  <c r="BM68" i="40" s="1"/>
  <c r="BL74" i="67"/>
  <c r="BR105" i="12"/>
  <c r="BT93" i="67"/>
  <c r="BM20" i="67"/>
  <c r="BQ19" i="67"/>
  <c r="BM148" i="12"/>
  <c r="BM151" i="12" s="1"/>
  <c r="BM158" i="12" s="1"/>
  <c r="BN159" i="12" s="1"/>
  <c r="BL91" i="12" l="1"/>
  <c r="BL92" i="12" s="1"/>
  <c r="BY156" i="12"/>
  <c r="BZ19" i="11"/>
  <c r="BY33" i="12"/>
  <c r="BL60" i="67"/>
  <c r="CA65" i="40"/>
  <c r="BO147" i="67"/>
  <c r="BW154" i="67"/>
  <c r="CA57" i="12"/>
  <c r="CA59" i="67"/>
  <c r="CA146" i="67" s="1"/>
  <c r="CA140" i="12"/>
  <c r="CA104" i="13"/>
  <c r="BX150" i="67"/>
  <c r="BL12" i="11"/>
  <c r="BL39" i="67"/>
  <c r="BO16" i="12"/>
  <c r="BN19" i="67"/>
  <c r="BO14" i="11"/>
  <c r="BO37" i="12"/>
  <c r="BO87" i="12" s="1"/>
  <c r="BR14" i="11"/>
  <c r="BQ20" i="67"/>
  <c r="BM70" i="40"/>
  <c r="BM23" i="67"/>
  <c r="BM24" i="67" s="1"/>
  <c r="BL74" i="40"/>
  <c r="BL76" i="40" s="1"/>
  <c r="BO148" i="12" l="1"/>
  <c r="BO151" i="12" s="1"/>
  <c r="BO158" i="12" s="1"/>
  <c r="BM86" i="12"/>
  <c r="BM61" i="67"/>
  <c r="BM56" i="12"/>
  <c r="BM58" i="12"/>
  <c r="CA150" i="67"/>
  <c r="BW60" i="67"/>
  <c r="BO19" i="67"/>
  <c r="BQ159" i="12"/>
  <c r="BL24" i="11"/>
  <c r="BL26" i="11" s="1"/>
  <c r="BU104" i="12"/>
  <c r="BQ104" i="12"/>
  <c r="BQ108" i="12" s="1"/>
  <c r="BN20" i="67"/>
  <c r="BR19" i="67"/>
  <c r="BQ70" i="40"/>
  <c r="BQ23" i="67"/>
  <c r="BQ24" i="67" s="1"/>
  <c r="BQ37" i="12"/>
  <c r="BL76" i="12" l="1"/>
  <c r="BL60" i="11"/>
  <c r="BL65" i="11" s="1"/>
  <c r="BQ87" i="12"/>
  <c r="BL40" i="12"/>
  <c r="BN23" i="67"/>
  <c r="BN24" i="67" s="1"/>
  <c r="BN70" i="40"/>
  <c r="BO20" i="67"/>
  <c r="BQ56" i="12"/>
  <c r="BQ61" i="67"/>
  <c r="BR104" i="12"/>
  <c r="BR108" i="12" s="1"/>
  <c r="BQ110" i="12"/>
  <c r="BQ16" i="12" s="1"/>
  <c r="BR20" i="67"/>
  <c r="BL53" i="11"/>
  <c r="BL75" i="12" s="1"/>
  <c r="BL178" i="12" l="1"/>
  <c r="BL93" i="12"/>
  <c r="BN61" i="67"/>
  <c r="BN56" i="12"/>
  <c r="BN58" i="12"/>
  <c r="BL184" i="12"/>
  <c r="BL187" i="12" s="1"/>
  <c r="BL185" i="12"/>
  <c r="BL188" i="12" s="1"/>
  <c r="BL53" i="12" s="1"/>
  <c r="BL59" i="12"/>
  <c r="BL51" i="12"/>
  <c r="BL61" i="11"/>
  <c r="BL77" i="12"/>
  <c r="BL64" i="11"/>
  <c r="BR70" i="40"/>
  <c r="BO23" i="67"/>
  <c r="BO24" i="67" s="1"/>
  <c r="BL42" i="12"/>
  <c r="BL56" i="11"/>
  <c r="BQ148" i="12"/>
  <c r="BQ151" i="12" s="1"/>
  <c r="BQ158" i="12" s="1"/>
  <c r="BS104" i="12"/>
  <c r="BO56" i="12" l="1"/>
  <c r="BL78" i="12"/>
  <c r="BL62" i="11"/>
  <c r="BL63" i="11"/>
  <c r="C100" i="69"/>
  <c r="C101" i="69" s="1"/>
  <c r="F20" i="69"/>
  <c r="F21" i="69" s="1"/>
  <c r="BO61" i="67"/>
  <c r="BM55" i="11"/>
  <c r="BL57" i="11" l="1"/>
  <c r="BL15" i="12"/>
  <c r="BL65" i="12" l="1"/>
  <c r="BL62" i="12"/>
  <c r="BL22" i="12"/>
  <c r="BL52" i="12" s="1"/>
  <c r="BL43" i="12" l="1"/>
  <c r="BM25" i="67"/>
  <c r="BM30" i="67" l="1"/>
  <c r="BM64" i="67" s="1"/>
  <c r="BM85" i="67" l="1"/>
  <c r="BM141" i="12" l="1"/>
  <c r="BM142" i="12" s="1"/>
  <c r="BM143" i="12" s="1"/>
  <c r="BM144" i="12" s="1"/>
  <c r="BM138" i="12" s="1"/>
  <c r="BM165" i="12"/>
  <c r="BM166" i="12" s="1"/>
  <c r="BM167" i="12" s="1"/>
  <c r="BN150" i="67"/>
  <c r="BO149" i="67"/>
  <c r="BM32" i="67"/>
  <c r="BM168" i="12" l="1"/>
  <c r="BO150" i="67"/>
  <c r="BN153" i="67"/>
  <c r="BN151" i="67"/>
  <c r="BM65" i="67"/>
  <c r="BM105" i="67"/>
  <c r="BM114" i="67" s="1"/>
  <c r="BM94" i="67"/>
  <c r="BM102" i="67" s="1"/>
  <c r="BM42" i="67"/>
  <c r="BM40" i="67"/>
  <c r="BM41" i="67"/>
  <c r="BM36" i="67"/>
  <c r="BO151" i="67" l="1"/>
  <c r="BO153" i="67"/>
  <c r="BN154" i="67"/>
  <c r="BN60" i="67" s="1"/>
  <c r="BM74" i="67"/>
  <c r="BM38" i="67"/>
  <c r="BM88" i="12" s="1"/>
  <c r="BM69" i="40"/>
  <c r="BM73" i="40" s="1"/>
  <c r="BN68" i="40" s="1"/>
  <c r="BM91" i="12" l="1"/>
  <c r="BM92" i="12" s="1"/>
  <c r="BM39" i="67"/>
  <c r="BO154" i="67"/>
  <c r="BM12" i="11"/>
  <c r="BM74" i="40"/>
  <c r="BM76" i="40" s="1"/>
  <c r="BN86" i="12" l="1"/>
  <c r="BO60" i="67"/>
  <c r="BM24" i="11"/>
  <c r="BM26" i="11" s="1"/>
  <c r="BM76" i="12" l="1"/>
  <c r="BM60" i="11"/>
  <c r="BM53" i="11"/>
  <c r="BM75" i="12" s="1"/>
  <c r="BM40" i="12"/>
  <c r="BM93" i="12" s="1"/>
  <c r="BM77" i="12" l="1"/>
  <c r="BM65" i="11"/>
  <c r="BM178" i="12"/>
  <c r="BM59" i="12"/>
  <c r="BM51" i="12"/>
  <c r="BM64" i="11"/>
  <c r="BM61" i="11"/>
  <c r="BM78" i="12" s="1"/>
  <c r="BM42" i="12"/>
  <c r="BM56" i="11"/>
  <c r="BM63" i="11" l="1"/>
  <c r="BM62" i="11"/>
  <c r="BN55" i="11"/>
  <c r="BM181" i="12" l="1"/>
  <c r="BM57" i="11"/>
  <c r="BM15" i="12"/>
  <c r="BM65" i="12" l="1"/>
  <c r="BM62" i="12"/>
  <c r="BM184" i="12"/>
  <c r="BM187" i="12" s="1"/>
  <c r="BM185" i="12"/>
  <c r="BM188" i="12" s="1"/>
  <c r="BM22" i="12"/>
  <c r="BM52" i="12" s="1"/>
  <c r="BM53" i="12" l="1"/>
  <c r="BN25" i="67"/>
  <c r="BO26" i="67"/>
  <c r="BM43" i="12"/>
  <c r="BN30" i="67" l="1"/>
  <c r="BN64" i="67" s="1"/>
  <c r="BN85" i="67" s="1"/>
  <c r="BN141" i="12" s="1"/>
  <c r="BN142" i="12" s="1"/>
  <c r="BN143" i="12" s="1"/>
  <c r="BN144" i="12" s="1"/>
  <c r="BN138" i="12" s="1"/>
  <c r="BO25" i="67"/>
  <c r="BN165" i="12" l="1"/>
  <c r="BN166" i="12" s="1"/>
  <c r="BN167" i="12" s="1"/>
  <c r="BN168" i="12" s="1"/>
  <c r="BO30" i="67"/>
  <c r="BN32" i="67" l="1"/>
  <c r="BO31" i="67"/>
  <c r="BN65" i="67" l="1"/>
  <c r="BN36" i="67"/>
  <c r="BN94" i="67"/>
  <c r="BO94" i="67" s="1"/>
  <c r="BO102" i="67" s="1"/>
  <c r="BN40" i="67"/>
  <c r="BN41" i="67"/>
  <c r="BN105" i="67"/>
  <c r="BN114" i="67" s="1"/>
  <c r="BN42" i="67"/>
  <c r="BO64" i="67"/>
  <c r="BO32" i="67"/>
  <c r="BN69" i="40" l="1"/>
  <c r="BN73" i="40" s="1"/>
  <c r="BN74" i="40" s="1"/>
  <c r="BN76" i="40" s="1"/>
  <c r="BO76" i="40" s="1"/>
  <c r="BN38" i="67"/>
  <c r="BN102" i="67"/>
  <c r="BN74" i="67"/>
  <c r="BO85" i="67"/>
  <c r="BO141" i="12" s="1"/>
  <c r="BO142" i="12" s="1"/>
  <c r="BO143" i="12" s="1"/>
  <c r="BO144" i="12" s="1"/>
  <c r="BO138" i="12" s="1"/>
  <c r="BO42" i="67"/>
  <c r="BO36" i="67"/>
  <c r="BO41" i="67"/>
  <c r="BO65" i="67"/>
  <c r="BO105" i="67"/>
  <c r="BO114" i="67" s="1"/>
  <c r="BO40" i="67"/>
  <c r="BN88" i="12" l="1"/>
  <c r="BN39" i="67"/>
  <c r="BN12" i="11"/>
  <c r="BO165" i="12"/>
  <c r="BO166" i="12" s="1"/>
  <c r="BO167" i="12" s="1"/>
  <c r="BQ85" i="67"/>
  <c r="BR64" i="67"/>
  <c r="BO74" i="67"/>
  <c r="BO38" i="67"/>
  <c r="BO88" i="12" s="1"/>
  <c r="BN91" i="12" l="1"/>
  <c r="BO91" i="12" s="1"/>
  <c r="BO92" i="12" s="1"/>
  <c r="BO9" i="11"/>
  <c r="BO12" i="11" s="1"/>
  <c r="BO168" i="12"/>
  <c r="BQ141" i="12"/>
  <c r="BQ142" i="12" s="1"/>
  <c r="BQ143" i="12" s="1"/>
  <c r="BQ144" i="12" s="1"/>
  <c r="BQ138" i="12" s="1"/>
  <c r="BQ165" i="12"/>
  <c r="BQ166" i="12" s="1"/>
  <c r="BQ167" i="12" s="1"/>
  <c r="B71" i="69"/>
  <c r="BR85" i="67"/>
  <c r="BS64" i="67"/>
  <c r="BO39" i="67"/>
  <c r="BN24" i="11"/>
  <c r="BN26" i="11" s="1"/>
  <c r="BN76" i="12" s="1"/>
  <c r="BN92" i="12" l="1"/>
  <c r="BO24" i="11"/>
  <c r="BR141" i="12"/>
  <c r="BR165" i="12"/>
  <c r="BQ168" i="12"/>
  <c r="B74" i="69"/>
  <c r="BS85" i="67"/>
  <c r="BT64" i="67"/>
  <c r="BU86" i="12"/>
  <c r="BQ86" i="12"/>
  <c r="BN60" i="11"/>
  <c r="BN53" i="11"/>
  <c r="BN75" i="12" s="1"/>
  <c r="BO38" i="12"/>
  <c r="BN40" i="12"/>
  <c r="BN178" i="12" l="1"/>
  <c r="BN59" i="12"/>
  <c r="BN51" i="12"/>
  <c r="BN93" i="12"/>
  <c r="BN65" i="11"/>
  <c r="BN77" i="12"/>
  <c r="BO26" i="11"/>
  <c r="BS141" i="12"/>
  <c r="BS165" i="12"/>
  <c r="BN56" i="11"/>
  <c r="BN64" i="11"/>
  <c r="BN61" i="11"/>
  <c r="BN78" i="12" s="1"/>
  <c r="BO40" i="12"/>
  <c r="BN42" i="12"/>
  <c r="BT85" i="67"/>
  <c r="BO178" i="12" l="1"/>
  <c r="BO59" i="12"/>
  <c r="BO51" i="12"/>
  <c r="BO93" i="12"/>
  <c r="BO76" i="12"/>
  <c r="BO60" i="11"/>
  <c r="BO53" i="11"/>
  <c r="BO75" i="12" s="1"/>
  <c r="BT141" i="12"/>
  <c r="BT165" i="12"/>
  <c r="BQ35" i="40"/>
  <c r="BU35" i="40" s="1"/>
  <c r="BN181" i="12"/>
  <c r="BN15" i="12"/>
  <c r="BN57" i="11"/>
  <c r="BO42" i="12"/>
  <c r="BN63" i="11"/>
  <c r="BN62" i="11"/>
  <c r="BN62" i="12" l="1"/>
  <c r="BN65" i="12"/>
  <c r="BO77" i="12"/>
  <c r="BO65" i="11"/>
  <c r="BO56" i="11"/>
  <c r="BO61" i="11"/>
  <c r="BO78" i="12" s="1"/>
  <c r="BO64" i="11"/>
  <c r="BN185" i="12"/>
  <c r="BN184" i="12"/>
  <c r="BN22" i="12"/>
  <c r="BN52" i="12" s="1"/>
  <c r="BQ36" i="40"/>
  <c r="BQ26" i="67" s="1"/>
  <c r="BQ55" i="11" l="1"/>
  <c r="BO10" i="12"/>
  <c r="BO63" i="11"/>
  <c r="BO62" i="11"/>
  <c r="BN187" i="12"/>
  <c r="BO187" i="12"/>
  <c r="BN188" i="12"/>
  <c r="BN53" i="12" s="1"/>
  <c r="BO188" i="12"/>
  <c r="BO53" i="12" s="1"/>
  <c r="BN43" i="12"/>
  <c r="BO64" i="12" l="1"/>
  <c r="BO63" i="12"/>
  <c r="BO48" i="12"/>
  <c r="BO47" i="12"/>
  <c r="BO58" i="12" s="1"/>
  <c r="BO181" i="12"/>
  <c r="BO57" i="11"/>
  <c r="BQ68" i="40"/>
  <c r="C98" i="69"/>
  <c r="C99" i="69" s="1"/>
  <c r="C102" i="69" s="1"/>
  <c r="BO15" i="12"/>
  <c r="F8" i="69"/>
  <c r="F9" i="69" s="1"/>
  <c r="BU55" i="11"/>
  <c r="BQ25" i="67"/>
  <c r="BO62" i="12" l="1"/>
  <c r="BO65" i="12"/>
  <c r="BO22" i="12"/>
  <c r="BO52" i="12" s="1"/>
  <c r="BO185" i="12"/>
  <c r="BO184" i="12"/>
  <c r="BQ30" i="67"/>
  <c r="BO43" i="12" l="1"/>
  <c r="BQ31" i="67"/>
  <c r="BQ32" i="67" l="1"/>
  <c r="BQ65" i="67"/>
  <c r="BQ42" i="67"/>
  <c r="BQ41" i="67"/>
  <c r="BQ94" i="67"/>
  <c r="BQ105" i="67"/>
  <c r="BQ114" i="67" s="1"/>
  <c r="BQ40" i="67"/>
  <c r="BQ36" i="67"/>
  <c r="BQ74" i="67" l="1"/>
  <c r="BQ69" i="40"/>
  <c r="BQ38" i="67"/>
  <c r="BQ102" i="67"/>
  <c r="BQ88" i="12" l="1"/>
  <c r="BQ92" i="12" s="1"/>
  <c r="BQ39" i="67"/>
  <c r="BQ9" i="11"/>
  <c r="BR86" i="12" l="1"/>
  <c r="BQ12" i="11"/>
  <c r="BQ24" i="11" l="1"/>
  <c r="BQ26" i="11" s="1"/>
  <c r="BQ38" i="12"/>
  <c r="BQ40" i="12" l="1"/>
  <c r="BQ178" i="12" s="1"/>
  <c r="BQ76" i="12"/>
  <c r="BQ60" i="11"/>
  <c r="BQ65" i="11" s="1"/>
  <c r="BQ53" i="11"/>
  <c r="BQ75" i="12" l="1"/>
  <c r="BQ56" i="11"/>
  <c r="BQ77" i="12"/>
  <c r="BQ64" i="11"/>
  <c r="BQ61" i="11"/>
  <c r="BQ59" i="12"/>
  <c r="BQ42" i="12"/>
  <c r="BQ51" i="12"/>
  <c r="BQ93" i="12"/>
  <c r="BQ63" i="11" l="1"/>
  <c r="BQ78" i="12"/>
  <c r="BQ62" i="11"/>
  <c r="BQ10" i="12"/>
  <c r="BR55" i="11"/>
  <c r="BR35" i="40" l="1"/>
  <c r="BR36" i="40" s="1"/>
  <c r="BR26" i="67" s="1"/>
  <c r="BQ181" i="12"/>
  <c r="BQ57" i="11"/>
  <c r="BQ63" i="12"/>
  <c r="BQ64" i="12"/>
  <c r="BQ47" i="12"/>
  <c r="BQ15" i="12"/>
  <c r="BQ48" i="12"/>
  <c r="BQ185" i="12" l="1"/>
  <c r="BQ188" i="12" s="1"/>
  <c r="BQ53" i="12" s="1"/>
  <c r="BQ184" i="12"/>
  <c r="BQ187" i="12" s="1"/>
  <c r="BQ58" i="12"/>
  <c r="BQ65" i="12"/>
  <c r="BQ62" i="12"/>
  <c r="BQ22" i="12"/>
  <c r="BR25" i="67" l="1"/>
  <c r="BQ52" i="12"/>
  <c r="BQ43" i="12"/>
  <c r="BW85" i="67" l="1"/>
  <c r="BW141" i="12" l="1"/>
  <c r="BW142" i="12" s="1"/>
  <c r="BW143" i="12" s="1"/>
  <c r="BW144" i="12" s="1"/>
  <c r="BW165" i="12"/>
  <c r="BW166" i="12" s="1"/>
  <c r="BW167" i="12" s="1"/>
  <c r="C71" i="69"/>
  <c r="C74" i="69"/>
  <c r="C75" i="69" s="1"/>
  <c r="BX85" i="67"/>
  <c r="BX141" i="12" l="1"/>
  <c r="BX142" i="12" s="1"/>
  <c r="BX143" i="12" s="1"/>
  <c r="BX144" i="12" s="1"/>
  <c r="BX165" i="12"/>
  <c r="BX166" i="12" s="1"/>
  <c r="BX167" i="12" s="1"/>
  <c r="BW168" i="12"/>
  <c r="BY85" i="67"/>
  <c r="BY141" i="12" l="1"/>
  <c r="BY142" i="12" s="1"/>
  <c r="BY143" i="12" s="1"/>
  <c r="BY144" i="12" s="1"/>
  <c r="BY165" i="12"/>
  <c r="BY166" i="12" s="1"/>
  <c r="BY167" i="12" s="1"/>
  <c r="BX168" i="12"/>
  <c r="BZ85" i="67"/>
  <c r="BY168" i="12" l="1"/>
  <c r="BZ141" i="12"/>
  <c r="BZ142" i="12" s="1"/>
  <c r="BZ143" i="12" s="1"/>
  <c r="BZ144" i="12" s="1"/>
  <c r="BZ165" i="12"/>
  <c r="BZ166" i="12" s="1"/>
  <c r="BZ167" i="12" s="1"/>
  <c r="BZ168" i="12" l="1"/>
  <c r="CC85" i="67" l="1"/>
  <c r="CD85" i="67"/>
  <c r="CD141" i="12" l="1"/>
  <c r="CD165" i="12"/>
  <c r="CC141" i="12"/>
  <c r="CC165" i="12"/>
  <c r="CE85" i="67"/>
  <c r="D71" i="69"/>
  <c r="D74" i="69"/>
  <c r="E75" i="69" s="1"/>
  <c r="CE141" i="12" l="1"/>
  <c r="CE165" i="12"/>
  <c r="CF85" i="67"/>
  <c r="D75" i="69"/>
  <c r="CF141" i="12" l="1"/>
  <c r="CF165" i="12"/>
  <c r="CF42" i="66" l="1"/>
  <c r="CF13" i="13" s="1"/>
  <c r="CF38" i="13" s="1"/>
  <c r="CE45" i="66"/>
  <c r="CD42" i="66"/>
  <c r="CD13" i="13" s="1"/>
  <c r="CD38" i="13" s="1"/>
  <c r="CF45" i="66" l="1"/>
  <c r="CF9" i="66" s="1"/>
  <c r="CE42" i="66"/>
  <c r="CE13" i="13" s="1"/>
  <c r="CE38" i="13" s="1"/>
  <c r="CD45" i="66"/>
  <c r="CJ42" i="66"/>
  <c r="CJ13" i="13" s="1"/>
  <c r="CJ38" i="13" s="1"/>
  <c r="CK42" i="66"/>
  <c r="CK13" i="13" s="1"/>
  <c r="CG41" i="66"/>
  <c r="CC45" i="66"/>
  <c r="CC42" i="66"/>
  <c r="CC13" i="13" s="1"/>
  <c r="CC38" i="13" s="1"/>
  <c r="CL42" i="66"/>
  <c r="CL13" i="13" s="1"/>
  <c r="CL38" i="13" s="1"/>
  <c r="CE9" i="66"/>
  <c r="CD9" i="66" l="1"/>
  <c r="CD46" i="66" s="1"/>
  <c r="CK38" i="13"/>
  <c r="CG45" i="66"/>
  <c r="CG42" i="66"/>
  <c r="CF9" i="67"/>
  <c r="CF11" i="67" s="1"/>
  <c r="CF11" i="66"/>
  <c r="CF47" i="66" s="1"/>
  <c r="CF50" i="66" s="1"/>
  <c r="CF15" i="13" s="1"/>
  <c r="CF46" i="66"/>
  <c r="CF15" i="66"/>
  <c r="CM41" i="66"/>
  <c r="CI42" i="66"/>
  <c r="CI13" i="13" s="1"/>
  <c r="CI38" i="13" s="1"/>
  <c r="CE9" i="67"/>
  <c r="CE11" i="67" s="1"/>
  <c r="CE11" i="66"/>
  <c r="CE47" i="66" s="1"/>
  <c r="CE50" i="66" s="1"/>
  <c r="CE15" i="13" s="1"/>
  <c r="CE46" i="66"/>
  <c r="CE15" i="66"/>
  <c r="CC9" i="66"/>
  <c r="CM49" i="66"/>
  <c r="CG48" i="66"/>
  <c r="CG9" i="66" l="1"/>
  <c r="CG11" i="66" s="1"/>
  <c r="CF16" i="13"/>
  <c r="CF17" i="13"/>
  <c r="CE16" i="13"/>
  <c r="CE17" i="13"/>
  <c r="CE83" i="66"/>
  <c r="CF83" i="66"/>
  <c r="CD11" i="66"/>
  <c r="CD47" i="66" s="1"/>
  <c r="CD50" i="66" s="1"/>
  <c r="CD15" i="13" s="1"/>
  <c r="CD9" i="67"/>
  <c r="CD11" i="67" s="1"/>
  <c r="CD139" i="12" s="1"/>
  <c r="CD15" i="66"/>
  <c r="CE67" i="13"/>
  <c r="CE17" i="66"/>
  <c r="CE85" i="66"/>
  <c r="CE87" i="66"/>
  <c r="CE89" i="66"/>
  <c r="CE91" i="66"/>
  <c r="CE93" i="66"/>
  <c r="CE84" i="66"/>
  <c r="CE86" i="66"/>
  <c r="CE88" i="66"/>
  <c r="CE90" i="66"/>
  <c r="CE92" i="66"/>
  <c r="CE11" i="12"/>
  <c r="CE13" i="12"/>
  <c r="CE98" i="12"/>
  <c r="CE29" i="11" s="1"/>
  <c r="CE139" i="12"/>
  <c r="CE14" i="67"/>
  <c r="CE13" i="67"/>
  <c r="CE12" i="67" s="1"/>
  <c r="CE15" i="67"/>
  <c r="CE67" i="67"/>
  <c r="CM42" i="66"/>
  <c r="CF67" i="13"/>
  <c r="CF11" i="12"/>
  <c r="CF13" i="12"/>
  <c r="CF139" i="12"/>
  <c r="CF13" i="67"/>
  <c r="CF12" i="67" s="1"/>
  <c r="CF15" i="67"/>
  <c r="CF98" i="12"/>
  <c r="CF29" i="11" s="1"/>
  <c r="CF14" i="67"/>
  <c r="CF67" i="67"/>
  <c r="CC9" i="67"/>
  <c r="CC15" i="66"/>
  <c r="CC11" i="66"/>
  <c r="CC47" i="66" s="1"/>
  <c r="CC50" i="66" s="1"/>
  <c r="CC15" i="13" s="1"/>
  <c r="CC46" i="66"/>
  <c r="CF84" i="66"/>
  <c r="CF86" i="66"/>
  <c r="CF88" i="66"/>
  <c r="CF90" i="66"/>
  <c r="CF92" i="66"/>
  <c r="CF17" i="66"/>
  <c r="CF85" i="66"/>
  <c r="CF91" i="66"/>
  <c r="CF93" i="66"/>
  <c r="CF87" i="66"/>
  <c r="CF89" i="66"/>
  <c r="CG13" i="13"/>
  <c r="CG38" i="13" s="1"/>
  <c r="CG15" i="66" l="1"/>
  <c r="CG17" i="66" s="1"/>
  <c r="CG18" i="66" s="1"/>
  <c r="CG21" i="66" s="1"/>
  <c r="CG22" i="66" s="1"/>
  <c r="CD17" i="13"/>
  <c r="CD16" i="13"/>
  <c r="CC16" i="13"/>
  <c r="CC41" i="13" s="1"/>
  <c r="CC17" i="13"/>
  <c r="CC42" i="13" s="1"/>
  <c r="CD11" i="12"/>
  <c r="CE20" i="11" s="1"/>
  <c r="CD85" i="66"/>
  <c r="CD67" i="13"/>
  <c r="CD14" i="67"/>
  <c r="CD70" i="67" s="1"/>
  <c r="CD15" i="67"/>
  <c r="CD13" i="12"/>
  <c r="CE18" i="11" s="1"/>
  <c r="CD13" i="67"/>
  <c r="CD62" i="67" s="1"/>
  <c r="CD98" i="12"/>
  <c r="CD29" i="11" s="1"/>
  <c r="CD33" i="11" s="1"/>
  <c r="CD35" i="11" s="1"/>
  <c r="CD67" i="67"/>
  <c r="CD84" i="66"/>
  <c r="CD83" i="66"/>
  <c r="CD90" i="66"/>
  <c r="CD89" i="66"/>
  <c r="CD17" i="66"/>
  <c r="CD18" i="66" s="1"/>
  <c r="CD91" i="66"/>
  <c r="CD88" i="66"/>
  <c r="CD92" i="66"/>
  <c r="CD87" i="66"/>
  <c r="CD86" i="66"/>
  <c r="CD93" i="66"/>
  <c r="CC84" i="66"/>
  <c r="CC86" i="66"/>
  <c r="CC88" i="66"/>
  <c r="CC90" i="66"/>
  <c r="CC92" i="66"/>
  <c r="CC85" i="66"/>
  <c r="CC87" i="66"/>
  <c r="CC89" i="66"/>
  <c r="CC91" i="66"/>
  <c r="CC93" i="66"/>
  <c r="CC17" i="66"/>
  <c r="CC67" i="13"/>
  <c r="CC40" i="13"/>
  <c r="CF25" i="12"/>
  <c r="CF12" i="12"/>
  <c r="CF27" i="12"/>
  <c r="CF55" i="67"/>
  <c r="CF69" i="67"/>
  <c r="CD71" i="67"/>
  <c r="CE25" i="12"/>
  <c r="CE12" i="12"/>
  <c r="CE27" i="12"/>
  <c r="CE55" i="67"/>
  <c r="CE69" i="67"/>
  <c r="CE145" i="12"/>
  <c r="CF20" i="11"/>
  <c r="CE114" i="66"/>
  <c r="CE18" i="66"/>
  <c r="CG47" i="66"/>
  <c r="CG50" i="66" s="1"/>
  <c r="CG15" i="13" s="1"/>
  <c r="CG46" i="66"/>
  <c r="CF33" i="11"/>
  <c r="CF35" i="11" s="1"/>
  <c r="CE71" i="67"/>
  <c r="CE96" i="13"/>
  <c r="CC83" i="66"/>
  <c r="CC11" i="67"/>
  <c r="CG9" i="67"/>
  <c r="CF71" i="67"/>
  <c r="CF96" i="13"/>
  <c r="CG11" i="12"/>
  <c r="CF145" i="12"/>
  <c r="CE62" i="67"/>
  <c r="CE33" i="11"/>
  <c r="CE35" i="11" s="1"/>
  <c r="CG13" i="12"/>
  <c r="CF147" i="12"/>
  <c r="CF114" i="66"/>
  <c r="CF18" i="66"/>
  <c r="CF17" i="67"/>
  <c r="CF70" i="67"/>
  <c r="CF97" i="13"/>
  <c r="CF62" i="67"/>
  <c r="CE17" i="67"/>
  <c r="CE70" i="67"/>
  <c r="CE97" i="13"/>
  <c r="CF18" i="11"/>
  <c r="CE147" i="12"/>
  <c r="CM20" i="66" l="1"/>
  <c r="CM19" i="66"/>
  <c r="CG16" i="13"/>
  <c r="CG17" i="13"/>
  <c r="CD145" i="12"/>
  <c r="CF21" i="66"/>
  <c r="CE21" i="66"/>
  <c r="CD21" i="66"/>
  <c r="CD114" i="66"/>
  <c r="CD106" i="66" s="1"/>
  <c r="CD97" i="13"/>
  <c r="CD147" i="12"/>
  <c r="CD96" i="13"/>
  <c r="CD17" i="67"/>
  <c r="CD12" i="67"/>
  <c r="CD27" i="12" s="1"/>
  <c r="CE23" i="11" s="1"/>
  <c r="CG83" i="66"/>
  <c r="CF72" i="67"/>
  <c r="CG145" i="12"/>
  <c r="CG147" i="12"/>
  <c r="CG84" i="66"/>
  <c r="CG86" i="66"/>
  <c r="CG88" i="66"/>
  <c r="CG90" i="66"/>
  <c r="CG92" i="66"/>
  <c r="CG85" i="66"/>
  <c r="CG87" i="66"/>
  <c r="CG89" i="66"/>
  <c r="CG91" i="66"/>
  <c r="CG93" i="66"/>
  <c r="CE146" i="12"/>
  <c r="CF21" i="11"/>
  <c r="CG27" i="12"/>
  <c r="CF154" i="12"/>
  <c r="CF23" i="11"/>
  <c r="CE29" i="12"/>
  <c r="CE153" i="12"/>
  <c r="CG12" i="12"/>
  <c r="CF146" i="12"/>
  <c r="CC81" i="13"/>
  <c r="CF18" i="67"/>
  <c r="CF29" i="12"/>
  <c r="CG25" i="12"/>
  <c r="CF22" i="11"/>
  <c r="CF153" i="12"/>
  <c r="CC18" i="66"/>
  <c r="CC114" i="66"/>
  <c r="CC11" i="12"/>
  <c r="CC13" i="12"/>
  <c r="CC139" i="12"/>
  <c r="CC98" i="12"/>
  <c r="CG11" i="67"/>
  <c r="CG69" i="12" s="1"/>
  <c r="CC13" i="67"/>
  <c r="CC15" i="67"/>
  <c r="CC14" i="67"/>
  <c r="CC67" i="67"/>
  <c r="CE72" i="67"/>
  <c r="CF105" i="66"/>
  <c r="CF107" i="66"/>
  <c r="CF109" i="66"/>
  <c r="CF111" i="66"/>
  <c r="CF113" i="66"/>
  <c r="CF110" i="66"/>
  <c r="CF112" i="66"/>
  <c r="CF106" i="66"/>
  <c r="CF108" i="66"/>
  <c r="CE18" i="67"/>
  <c r="CG67" i="13"/>
  <c r="CE106" i="66"/>
  <c r="CE108" i="66"/>
  <c r="CE110" i="66"/>
  <c r="CE112" i="66"/>
  <c r="CE105" i="66"/>
  <c r="CE107" i="66"/>
  <c r="CE109" i="66"/>
  <c r="CE111" i="66"/>
  <c r="CE113" i="66"/>
  <c r="CE154" i="12"/>
  <c r="CE68" i="67" l="1"/>
  <c r="CE22" i="66"/>
  <c r="CE27" i="13" s="1"/>
  <c r="CE26" i="13"/>
  <c r="CE152" i="67"/>
  <c r="CF22" i="66"/>
  <c r="CD68" i="67"/>
  <c r="CD22" i="66"/>
  <c r="CD152" i="67"/>
  <c r="CD26" i="13"/>
  <c r="CF68" i="67"/>
  <c r="CF26" i="13"/>
  <c r="CF152" i="67"/>
  <c r="CC21" i="66"/>
  <c r="CD108" i="66"/>
  <c r="CD111" i="66"/>
  <c r="CD113" i="66"/>
  <c r="CD112" i="66"/>
  <c r="CD109" i="66"/>
  <c r="CD110" i="66"/>
  <c r="CD105" i="66"/>
  <c r="CD107" i="66"/>
  <c r="CD72" i="67"/>
  <c r="CD18" i="67"/>
  <c r="CD73" i="67" s="1"/>
  <c r="CD25" i="12"/>
  <c r="CE22" i="11" s="1"/>
  <c r="CD12" i="12"/>
  <c r="CD69" i="67"/>
  <c r="CD55" i="67"/>
  <c r="CF156" i="12"/>
  <c r="CF19" i="11"/>
  <c r="CG14" i="67"/>
  <c r="CC17" i="67"/>
  <c r="CC18" i="67" s="1"/>
  <c r="CC70" i="67"/>
  <c r="CC97" i="13"/>
  <c r="CC101" i="13" s="1"/>
  <c r="CC145" i="12"/>
  <c r="CD20" i="11"/>
  <c r="CC20" i="11"/>
  <c r="CG15" i="67"/>
  <c r="CC71" i="67"/>
  <c r="CC96" i="13"/>
  <c r="CC100" i="13" s="1"/>
  <c r="CC62" i="67"/>
  <c r="CC147" i="12"/>
  <c r="CD18" i="11"/>
  <c r="CC18" i="11"/>
  <c r="CM11" i="13"/>
  <c r="CM14" i="13"/>
  <c r="CM39" i="13" s="1"/>
  <c r="CM8" i="13"/>
  <c r="CM9" i="13"/>
  <c r="CM13" i="13"/>
  <c r="CM38" i="13" s="1"/>
  <c r="CF57" i="12"/>
  <c r="CF140" i="12"/>
  <c r="CF59" i="67"/>
  <c r="CF146" i="67" s="1"/>
  <c r="CF63" i="67"/>
  <c r="CF73" i="67"/>
  <c r="CF166" i="12"/>
  <c r="CF167" i="12" s="1"/>
  <c r="CF168" i="12" s="1"/>
  <c r="CF104" i="13"/>
  <c r="CF105" i="13" s="1"/>
  <c r="CG154" i="12"/>
  <c r="CG114" i="66"/>
  <c r="CG139" i="12"/>
  <c r="CG67" i="67"/>
  <c r="CC12" i="67"/>
  <c r="CG98" i="12"/>
  <c r="CC29" i="11"/>
  <c r="CC105" i="66"/>
  <c r="CC107" i="66"/>
  <c r="CC109" i="66"/>
  <c r="CC111" i="66"/>
  <c r="CC113" i="66"/>
  <c r="CC106" i="66"/>
  <c r="CC108" i="66"/>
  <c r="CC110" i="66"/>
  <c r="CC112" i="66"/>
  <c r="CF33" i="12"/>
  <c r="CE156" i="12"/>
  <c r="CG81" i="12"/>
  <c r="CG29" i="12"/>
  <c r="CG153" i="12"/>
  <c r="CE57" i="12"/>
  <c r="CE140" i="12"/>
  <c r="CE59" i="67"/>
  <c r="CE146" i="67" s="1"/>
  <c r="CE63" i="67"/>
  <c r="CE166" i="12"/>
  <c r="CE167" i="12" s="1"/>
  <c r="CE168" i="12" s="1"/>
  <c r="CE73" i="67"/>
  <c r="CE104" i="13"/>
  <c r="CE105" i="13" s="1"/>
  <c r="CG146" i="12"/>
  <c r="CE33" i="12"/>
  <c r="CD154" i="12"/>
  <c r="CD78" i="13" l="1"/>
  <c r="CD29" i="13"/>
  <c r="CD28" i="13"/>
  <c r="CF28" i="13"/>
  <c r="CF29" i="13"/>
  <c r="CE29" i="13"/>
  <c r="CE28" i="13"/>
  <c r="CE78" i="13"/>
  <c r="CC26" i="13"/>
  <c r="CC68" i="67"/>
  <c r="CC22" i="66"/>
  <c r="CC152" i="67"/>
  <c r="CF27" i="13"/>
  <c r="CF78" i="13"/>
  <c r="CD27" i="13"/>
  <c r="CD153" i="12"/>
  <c r="CD156" i="12" s="1"/>
  <c r="CD59" i="67"/>
  <c r="CD146" i="67" s="1"/>
  <c r="CD166" i="12"/>
  <c r="CD167" i="12" s="1"/>
  <c r="CD168" i="12" s="1"/>
  <c r="CD104" i="13"/>
  <c r="CD105" i="13" s="1"/>
  <c r="CD57" i="12"/>
  <c r="CD140" i="12"/>
  <c r="CD142" i="12" s="1"/>
  <c r="CD143" i="12" s="1"/>
  <c r="CD144" i="12" s="1"/>
  <c r="CD63" i="67"/>
  <c r="CE21" i="11"/>
  <c r="CE19" i="11" s="1"/>
  <c r="CD29" i="12"/>
  <c r="CD33" i="12" s="1"/>
  <c r="CD146" i="12"/>
  <c r="CG156" i="12"/>
  <c r="CG18" i="11"/>
  <c r="CE142" i="12"/>
  <c r="CE143" i="12" s="1"/>
  <c r="CE144" i="12" s="1"/>
  <c r="CC12" i="12"/>
  <c r="CC27" i="12"/>
  <c r="CC25" i="12"/>
  <c r="CG12" i="67"/>
  <c r="CC69" i="67"/>
  <c r="CC55" i="67"/>
  <c r="CG105" i="66"/>
  <c r="CG107" i="66"/>
  <c r="CG109" i="66"/>
  <c r="CG111" i="66"/>
  <c r="CG113" i="66"/>
  <c r="CG106" i="66"/>
  <c r="CG108" i="66"/>
  <c r="CG110" i="66"/>
  <c r="CG112" i="66"/>
  <c r="CG58" i="67"/>
  <c r="CG71" i="67"/>
  <c r="CG96" i="13"/>
  <c r="CG20" i="11"/>
  <c r="CC72" i="67"/>
  <c r="CM34" i="13"/>
  <c r="CM69" i="13"/>
  <c r="CG33" i="12"/>
  <c r="CF150" i="67"/>
  <c r="CF147" i="67"/>
  <c r="CM68" i="13"/>
  <c r="CM33" i="13"/>
  <c r="CC33" i="11"/>
  <c r="CC35" i="11" s="1"/>
  <c r="CG29" i="11"/>
  <c r="CM36" i="13"/>
  <c r="CM71" i="13"/>
  <c r="CG17" i="67"/>
  <c r="CG70" i="67"/>
  <c r="CG57" i="67"/>
  <c r="CG97" i="13"/>
  <c r="CE150" i="67"/>
  <c r="CE147" i="67"/>
  <c r="CG99" i="12"/>
  <c r="CF142" i="12"/>
  <c r="CF143" i="12" s="1"/>
  <c r="CF144" i="12" s="1"/>
  <c r="CC57" i="12"/>
  <c r="CC140" i="12"/>
  <c r="CC73" i="67"/>
  <c r="CG149" i="67"/>
  <c r="CC166" i="12"/>
  <c r="CC167" i="12" s="1"/>
  <c r="CC168" i="12" s="1"/>
  <c r="CG148" i="67"/>
  <c r="CC63" i="67"/>
  <c r="CC59" i="67"/>
  <c r="CC146" i="67" s="1"/>
  <c r="CC104" i="13"/>
  <c r="CC105" i="13" s="1"/>
  <c r="CG70" i="12" l="1"/>
  <c r="CG71" i="12"/>
  <c r="CC50" i="13"/>
  <c r="CC29" i="13"/>
  <c r="CC28" i="13"/>
  <c r="CC51" i="13" s="1"/>
  <c r="CC78" i="13"/>
  <c r="CC102" i="13"/>
  <c r="CC27" i="13"/>
  <c r="CG26" i="13"/>
  <c r="CG68" i="67"/>
  <c r="CG27" i="13"/>
  <c r="CG152" i="67"/>
  <c r="CD150" i="67"/>
  <c r="CD147" i="67"/>
  <c r="CF151" i="67"/>
  <c r="CF153" i="67"/>
  <c r="CM85" i="13"/>
  <c r="CC147" i="67"/>
  <c r="CC150" i="67"/>
  <c r="CC142" i="12"/>
  <c r="CC143" i="12" s="1"/>
  <c r="CC144" i="12" s="1"/>
  <c r="CC71" i="40"/>
  <c r="CD71" i="40" s="1"/>
  <c r="CE71" i="40" s="1"/>
  <c r="CF71" i="40" s="1"/>
  <c r="CG33" i="11"/>
  <c r="CG35" i="11" s="1"/>
  <c r="CC29" i="12"/>
  <c r="CC153" i="12"/>
  <c r="CC22" i="11"/>
  <c r="CD22" i="11"/>
  <c r="CE151" i="67"/>
  <c r="CE153" i="67"/>
  <c r="CM82" i="13"/>
  <c r="CM83" i="13"/>
  <c r="CC154" i="12"/>
  <c r="CC23" i="11"/>
  <c r="CD23" i="11"/>
  <c r="CG72" i="67"/>
  <c r="CC146" i="12"/>
  <c r="CD21" i="11"/>
  <c r="CC21" i="11"/>
  <c r="CG69" i="67"/>
  <c r="CG55" i="67"/>
  <c r="CG82" i="12"/>
  <c r="CG13" i="67"/>
  <c r="CC52" i="13" l="1"/>
  <c r="CG72" i="12"/>
  <c r="CG29" i="13"/>
  <c r="CG28" i="13"/>
  <c r="CC92" i="13"/>
  <c r="CG78" i="13"/>
  <c r="CD153" i="67"/>
  <c r="CD151" i="67"/>
  <c r="CG23" i="11"/>
  <c r="CC156" i="12"/>
  <c r="CG21" i="11"/>
  <c r="CC19" i="11"/>
  <c r="CG18" i="67"/>
  <c r="CG56" i="67"/>
  <c r="CG62" i="67"/>
  <c r="CC33" i="12"/>
  <c r="CE154" i="67"/>
  <c r="CD19" i="11"/>
  <c r="CG22" i="11"/>
  <c r="CF154" i="67"/>
  <c r="CC151" i="67"/>
  <c r="CC153" i="67"/>
  <c r="CD154" i="67" l="1"/>
  <c r="CC154" i="67"/>
  <c r="CF60" i="67"/>
  <c r="CE60" i="67"/>
  <c r="CG19" i="11"/>
  <c r="CG57" i="12"/>
  <c r="CG65" i="40"/>
  <c r="CG73" i="67"/>
  <c r="CG59" i="67"/>
  <c r="CG146" i="67" s="1"/>
  <c r="CG140" i="12"/>
  <c r="CG63" i="67"/>
  <c r="CG104" i="13"/>
  <c r="CG105" i="13" s="1"/>
  <c r="CD60" i="67" l="1"/>
  <c r="CG147" i="67"/>
  <c r="CG150" i="67"/>
  <c r="CC60" i="67"/>
  <c r="CG151" i="67" l="1"/>
  <c r="CG153" i="67"/>
  <c r="CG154" i="67" l="1"/>
  <c r="CG60" i="67" l="1"/>
  <c r="CI85" i="67" l="1"/>
  <c r="CI141" i="12" l="1"/>
  <c r="CI165" i="12"/>
  <c r="CJ85" i="67"/>
  <c r="CJ141" i="12" l="1"/>
  <c r="CJ165" i="12"/>
  <c r="CK85" i="67"/>
  <c r="CK141" i="12" l="1"/>
  <c r="CK165" i="12"/>
  <c r="CL85" i="67"/>
  <c r="CL141" i="12" l="1"/>
  <c r="CL165" i="12"/>
  <c r="BR20" i="66" l="1"/>
  <c r="BX12" i="13"/>
  <c r="CD37" i="13" s="1"/>
  <c r="BR45" i="66"/>
  <c r="BR9" i="66" s="1"/>
  <c r="BR49" i="66"/>
  <c r="BR9" i="67" l="1"/>
  <c r="BR46" i="66"/>
  <c r="BR11" i="66"/>
  <c r="BR15" i="66"/>
  <c r="BR83" i="66" s="1"/>
  <c r="BR47" i="66" l="1"/>
  <c r="BR50" i="66" s="1"/>
  <c r="BR15" i="13" s="1"/>
  <c r="BX47" i="66"/>
  <c r="BX50" i="66" s="1"/>
  <c r="BX15" i="13" s="1"/>
  <c r="BR11" i="67"/>
  <c r="BR149" i="67" s="1"/>
  <c r="BR17" i="66"/>
  <c r="BR84" i="66"/>
  <c r="BR85" i="66"/>
  <c r="BR86" i="66"/>
  <c r="BR87" i="66"/>
  <c r="BR88" i="66"/>
  <c r="BR89" i="66"/>
  <c r="BR90" i="66"/>
  <c r="BR91" i="66"/>
  <c r="BR92" i="66"/>
  <c r="BR93" i="66"/>
  <c r="BX16" i="13" l="1"/>
  <c r="CD41" i="13" s="1"/>
  <c r="BX17" i="13"/>
  <c r="CD42" i="13" s="1"/>
  <c r="BX40" i="13"/>
  <c r="CD40" i="13"/>
  <c r="BX67" i="13"/>
  <c r="BR11" i="12"/>
  <c r="BR13" i="12"/>
  <c r="BR98" i="12"/>
  <c r="BR139" i="12"/>
  <c r="BR159" i="12" s="1"/>
  <c r="BR13" i="67"/>
  <c r="BR14" i="67"/>
  <c r="BR15" i="67"/>
  <c r="BR67" i="67"/>
  <c r="BX67" i="67"/>
  <c r="BR18" i="66"/>
  <c r="BX18" i="66"/>
  <c r="BR114" i="66"/>
  <c r="BR40" i="13"/>
  <c r="BR67" i="13"/>
  <c r="DS7" i="13"/>
  <c r="DS15" i="13" s="1"/>
  <c r="BR81" i="13" l="1"/>
  <c r="BX21" i="66"/>
  <c r="BR62" i="67"/>
  <c r="BX62" i="67"/>
  <c r="BR21" i="66"/>
  <c r="BR12" i="67"/>
  <c r="BR17" i="67"/>
  <c r="BR18" i="67" s="1"/>
  <c r="BR70" i="67"/>
  <c r="BX70" i="67"/>
  <c r="BR97" i="13"/>
  <c r="BR101" i="13" s="1"/>
  <c r="BX97" i="13"/>
  <c r="BX81" i="13"/>
  <c r="CD81" i="13"/>
  <c r="BR102" i="12"/>
  <c r="BR29" i="11"/>
  <c r="BR147" i="12"/>
  <c r="BR18" i="11"/>
  <c r="BR105" i="66"/>
  <c r="BR106" i="66"/>
  <c r="BR107" i="66"/>
  <c r="BR108" i="66"/>
  <c r="BR109" i="66"/>
  <c r="BR110" i="66"/>
  <c r="BR111" i="66"/>
  <c r="BR112" i="66"/>
  <c r="BR113" i="66"/>
  <c r="BR71" i="67"/>
  <c r="BX71" i="67"/>
  <c r="BX96" i="13"/>
  <c r="BR96" i="13"/>
  <c r="BR100" i="13" s="1"/>
  <c r="BR145" i="12"/>
  <c r="BR20" i="11"/>
  <c r="BR57" i="12" l="1"/>
  <c r="BR140" i="12"/>
  <c r="BR63" i="67"/>
  <c r="BX63" i="67"/>
  <c r="BR59" i="67"/>
  <c r="BR146" i="67" s="1"/>
  <c r="BR30" i="67"/>
  <c r="BR73" i="67"/>
  <c r="BX73" i="67"/>
  <c r="BR104" i="13"/>
  <c r="BR33" i="11"/>
  <c r="BR35" i="11" s="1"/>
  <c r="BR68" i="67"/>
  <c r="BR152" i="67"/>
  <c r="BR26" i="13"/>
  <c r="BR22" i="66"/>
  <c r="BR25" i="12"/>
  <c r="BR27" i="12"/>
  <c r="BR12" i="12"/>
  <c r="BR69" i="67"/>
  <c r="BX69" i="67"/>
  <c r="BR55" i="67"/>
  <c r="BR72" i="67"/>
  <c r="BX72" i="67"/>
  <c r="BR92" i="67"/>
  <c r="BX100" i="13"/>
  <c r="CD100" i="13"/>
  <c r="BS97" i="12"/>
  <c r="BR110" i="12"/>
  <c r="BR16" i="12" s="1"/>
  <c r="BX101" i="13"/>
  <c r="CD101" i="13"/>
  <c r="BX68" i="67"/>
  <c r="BX22" i="66"/>
  <c r="BX26" i="13"/>
  <c r="BX152" i="67"/>
  <c r="BX29" i="13" l="1"/>
  <c r="BX28" i="13"/>
  <c r="CD51" i="13" s="1"/>
  <c r="BR148" i="12"/>
  <c r="BR31" i="67"/>
  <c r="BR32" i="67" s="1"/>
  <c r="BX50" i="13"/>
  <c r="CD50" i="13"/>
  <c r="BX78" i="13"/>
  <c r="BX27" i="13"/>
  <c r="BR29" i="12"/>
  <c r="BR153" i="12"/>
  <c r="BR22" i="11"/>
  <c r="BR105" i="13"/>
  <c r="BX105" i="13"/>
  <c r="BR27" i="13"/>
  <c r="BR166" i="12"/>
  <c r="BR167" i="12" s="1"/>
  <c r="BR78" i="13"/>
  <c r="BR50" i="13"/>
  <c r="DS11" i="13"/>
  <c r="DS19" i="13" s="1"/>
  <c r="BR102" i="13"/>
  <c r="BS105" i="12"/>
  <c r="BR15" i="11"/>
  <c r="BR22" i="67"/>
  <c r="BR154" i="12"/>
  <c r="BR23" i="11"/>
  <c r="BR147" i="67"/>
  <c r="BX147" i="67"/>
  <c r="BR150" i="67"/>
  <c r="BX151" i="67"/>
  <c r="BR142" i="12"/>
  <c r="BR143" i="12" s="1"/>
  <c r="BR144" i="12" s="1"/>
  <c r="BR138" i="12" s="1"/>
  <c r="BX153" i="67"/>
  <c r="BR146" i="12"/>
  <c r="BR21" i="11"/>
  <c r="CD52" i="13" l="1"/>
  <c r="BR151" i="12"/>
  <c r="BR168" i="12"/>
  <c r="BR151" i="67"/>
  <c r="BS108" i="12"/>
  <c r="BT104" i="12" s="1"/>
  <c r="BS14" i="11"/>
  <c r="BR19" i="11"/>
  <c r="BR37" i="12"/>
  <c r="BX154" i="67"/>
  <c r="BR33" i="12"/>
  <c r="CD92" i="13"/>
  <c r="BX92" i="13"/>
  <c r="BR23" i="67"/>
  <c r="BR24" i="67" s="1"/>
  <c r="BR92" i="13"/>
  <c r="BR153" i="67"/>
  <c r="BR156" i="12"/>
  <c r="BR36" i="67"/>
  <c r="BR41" i="67"/>
  <c r="BR65" i="67"/>
  <c r="BR40" i="67"/>
  <c r="BR94" i="67"/>
  <c r="BR42" i="67"/>
  <c r="BR105" i="67"/>
  <c r="BR114" i="67" s="1"/>
  <c r="BX102" i="13"/>
  <c r="CD102" i="13"/>
  <c r="BR158" i="12" l="1"/>
  <c r="BS19" i="67"/>
  <c r="BR154" i="67"/>
  <c r="BX60" i="67"/>
  <c r="BR102" i="67"/>
  <c r="BR69" i="40"/>
  <c r="BR38" i="67"/>
  <c r="BR87" i="12"/>
  <c r="BR74" i="67"/>
  <c r="BR56" i="12"/>
  <c r="BR61" i="67"/>
  <c r="BS20" i="67" l="1"/>
  <c r="BR88" i="12"/>
  <c r="BR92" i="12" s="1"/>
  <c r="BR9" i="11"/>
  <c r="BR39" i="67"/>
  <c r="BR60" i="67"/>
  <c r="BS86" i="12" l="1"/>
  <c r="BS70" i="40"/>
  <c r="BR12" i="11"/>
  <c r="BR38" i="12" l="1"/>
  <c r="BR24" i="11"/>
  <c r="BR26" i="11" s="1"/>
  <c r="BR76" i="12" l="1"/>
  <c r="BR60" i="11"/>
  <c r="BR65" i="11" s="1"/>
  <c r="BR53" i="11"/>
  <c r="BR40" i="12"/>
  <c r="BR42" i="12" l="1"/>
  <c r="BR59" i="12"/>
  <c r="BR178" i="12"/>
  <c r="BR51" i="12"/>
  <c r="BR93" i="12"/>
  <c r="BR77" i="12"/>
  <c r="BR61" i="11"/>
  <c r="BR64" i="11"/>
  <c r="BR75" i="12"/>
  <c r="BR56" i="11"/>
  <c r="BR10" i="12" l="1"/>
  <c r="BS55" i="11"/>
  <c r="BR78" i="12"/>
  <c r="BR62" i="11"/>
  <c r="BR63" i="11"/>
  <c r="BR48" i="12" l="1"/>
  <c r="BR47" i="12"/>
  <c r="BR64" i="12"/>
  <c r="BR15" i="12"/>
  <c r="BR63" i="12"/>
  <c r="BR181" i="12"/>
  <c r="BR57" i="11"/>
  <c r="BS35" i="40"/>
  <c r="BS36" i="40" s="1"/>
  <c r="BS26" i="67" s="1"/>
  <c r="BR184" i="12" l="1"/>
  <c r="BR187" i="12" s="1"/>
  <c r="BR185" i="12"/>
  <c r="BR188" i="12" s="1"/>
  <c r="BR53" i="12" s="1"/>
  <c r="BR58" i="12"/>
  <c r="BR62" i="12"/>
  <c r="BR65" i="12"/>
  <c r="BR22" i="12"/>
  <c r="BS25" i="67" l="1"/>
  <c r="BR43" i="12"/>
  <c r="BR52" i="12"/>
  <c r="BS20" i="66"/>
  <c r="BY12" i="13"/>
  <c r="CE37" i="13" s="1"/>
  <c r="BS45" i="66"/>
  <c r="BS49" i="66"/>
  <c r="BS9" i="66" l="1"/>
  <c r="BS9" i="67" l="1"/>
  <c r="BS11" i="67" s="1"/>
  <c r="BS149" i="67" s="1"/>
  <c r="BS15" i="66"/>
  <c r="BS85" i="66" s="1"/>
  <c r="BS11" i="66"/>
  <c r="BS47" i="66" s="1"/>
  <c r="BS50" i="66" s="1"/>
  <c r="BS15" i="13" s="1"/>
  <c r="BS11" i="12"/>
  <c r="BS46" i="66"/>
  <c r="BS14" i="67" l="1"/>
  <c r="BY70" i="67" s="1"/>
  <c r="BY47" i="66"/>
  <c r="BY50" i="66" s="1"/>
  <c r="BY15" i="13" s="1"/>
  <c r="BS13" i="12"/>
  <c r="BS18" i="11" s="1"/>
  <c r="BS98" i="12"/>
  <c r="BS102" i="12" s="1"/>
  <c r="BS67" i="67"/>
  <c r="BY67" i="67"/>
  <c r="BS15" i="67"/>
  <c r="BS139" i="12"/>
  <c r="BS159" i="12" s="1"/>
  <c r="BS13" i="67"/>
  <c r="BS12" i="67" s="1"/>
  <c r="BS12" i="12" s="1"/>
  <c r="BS21" i="11" s="1"/>
  <c r="BY17" i="13"/>
  <c r="CE42" i="13" s="1"/>
  <c r="BY16" i="13"/>
  <c r="CE41" i="13" s="1"/>
  <c r="BS93" i="66"/>
  <c r="BS17" i="66"/>
  <c r="BS88" i="66"/>
  <c r="BS90" i="66"/>
  <c r="BS83" i="66"/>
  <c r="BS84" i="66"/>
  <c r="BS92" i="66"/>
  <c r="BS86" i="66"/>
  <c r="BS91" i="66"/>
  <c r="BS87" i="66"/>
  <c r="BS89" i="66"/>
  <c r="BS71" i="67"/>
  <c r="BS20" i="11"/>
  <c r="BY97" i="13"/>
  <c r="CE101" i="13" s="1"/>
  <c r="BY62" i="67"/>
  <c r="BS55" i="67"/>
  <c r="BS25" i="12"/>
  <c r="BS153" i="12" s="1"/>
  <c r="BY69" i="67"/>
  <c r="BS27" i="12"/>
  <c r="BS154" i="12" s="1"/>
  <c r="BS62" i="67"/>
  <c r="BS69" i="67"/>
  <c r="BS97" i="13"/>
  <c r="BS101" i="13" s="1"/>
  <c r="BS70" i="67"/>
  <c r="BS145" i="12"/>
  <c r="BS67" i="13"/>
  <c r="BS40" i="13"/>
  <c r="DT7" i="13"/>
  <c r="DT15" i="13" s="1"/>
  <c r="CE40" i="13"/>
  <c r="BY40" i="13"/>
  <c r="BY67" i="13"/>
  <c r="BS110" i="12"/>
  <c r="BS16" i="12" s="1"/>
  <c r="BT97" i="12"/>
  <c r="BS18" i="66"/>
  <c r="BS146" i="12"/>
  <c r="BY71" i="67" l="1"/>
  <c r="BS96" i="13"/>
  <c r="BS100" i="13" s="1"/>
  <c r="BS17" i="67"/>
  <c r="BS18" i="67" s="1"/>
  <c r="BS147" i="12"/>
  <c r="BY96" i="13"/>
  <c r="CE100" i="13" s="1"/>
  <c r="BS29" i="11"/>
  <c r="BS33" i="11" s="1"/>
  <c r="BS35" i="11" s="1"/>
  <c r="BS114" i="66"/>
  <c r="BS106" i="66" s="1"/>
  <c r="BY18" i="66"/>
  <c r="BY21" i="66" s="1"/>
  <c r="BS73" i="67"/>
  <c r="BY73" i="67"/>
  <c r="BS166" i="12"/>
  <c r="BS167" i="12" s="1"/>
  <c r="BY72" i="67"/>
  <c r="BS29" i="12"/>
  <c r="BS33" i="12" s="1"/>
  <c r="BS22" i="11"/>
  <c r="BS63" i="67"/>
  <c r="BY101" i="13"/>
  <c r="BS92" i="67"/>
  <c r="BS22" i="67" s="1"/>
  <c r="BS59" i="67"/>
  <c r="BS146" i="67" s="1"/>
  <c r="BY147" i="67" s="1"/>
  <c r="BS57" i="12"/>
  <c r="BS23" i="11"/>
  <c r="BS104" i="13"/>
  <c r="BY105" i="13" s="1"/>
  <c r="BY63" i="67"/>
  <c r="BS156" i="12"/>
  <c r="BS148" i="12"/>
  <c r="CE81" i="13"/>
  <c r="BY81" i="13"/>
  <c r="BS111" i="66"/>
  <c r="BS109" i="66"/>
  <c r="BS110" i="66"/>
  <c r="BS81" i="13"/>
  <c r="BS21" i="66"/>
  <c r="BT105" i="12"/>
  <c r="BY100" i="13" l="1"/>
  <c r="BS151" i="12"/>
  <c r="BS30" i="67"/>
  <c r="BS31" i="67" s="1"/>
  <c r="BS32" i="67" s="1"/>
  <c r="BS94" i="67" s="1"/>
  <c r="BS140" i="12"/>
  <c r="BS142" i="12" s="1"/>
  <c r="BS143" i="12" s="1"/>
  <c r="BS144" i="12" s="1"/>
  <c r="BS138" i="12" s="1"/>
  <c r="BS72" i="67"/>
  <c r="BS112" i="66"/>
  <c r="BS105" i="66"/>
  <c r="BS108" i="66"/>
  <c r="BS107" i="66"/>
  <c r="BS113" i="66"/>
  <c r="BS150" i="67"/>
  <c r="BY151" i="67"/>
  <c r="BS105" i="13"/>
  <c r="BS147" i="67"/>
  <c r="BS19" i="11"/>
  <c r="BS158" i="12"/>
  <c r="BS15" i="11"/>
  <c r="BS37" i="12" s="1"/>
  <c r="BU105" i="12"/>
  <c r="BT108" i="12"/>
  <c r="BT14" i="11"/>
  <c r="BU14" i="11" s="1"/>
  <c r="BY68" i="67"/>
  <c r="BY26" i="13"/>
  <c r="BY22" i="66"/>
  <c r="BY152" i="67"/>
  <c r="BS168" i="12"/>
  <c r="BS23" i="67"/>
  <c r="BS24" i="67" s="1"/>
  <c r="BS68" i="67"/>
  <c r="BS152" i="67"/>
  <c r="BS26" i="13"/>
  <c r="BS22" i="66"/>
  <c r="BS42" i="67" l="1"/>
  <c r="BS65" i="67"/>
  <c r="BS40" i="67"/>
  <c r="BS74" i="67" s="1"/>
  <c r="BS41" i="67"/>
  <c r="BS105" i="67"/>
  <c r="BS114" i="67" s="1"/>
  <c r="BS36" i="67"/>
  <c r="BY29" i="13"/>
  <c r="BY28" i="13"/>
  <c r="CE51" i="13" s="1"/>
  <c r="BS151" i="67"/>
  <c r="BY27" i="13"/>
  <c r="BT19" i="67"/>
  <c r="BS27" i="13"/>
  <c r="BY50" i="13"/>
  <c r="CE50" i="13"/>
  <c r="BY78" i="13"/>
  <c r="BS38" i="67"/>
  <c r="BS56" i="12"/>
  <c r="BS61" i="67"/>
  <c r="BS87" i="12"/>
  <c r="BU108" i="12"/>
  <c r="BU106" i="12"/>
  <c r="BS102" i="67"/>
  <c r="BS102" i="13"/>
  <c r="BS50" i="13"/>
  <c r="BS78" i="13"/>
  <c r="DT11" i="13"/>
  <c r="DT19" i="13" s="1"/>
  <c r="BY153" i="67"/>
  <c r="BS153" i="67"/>
  <c r="BS69" i="40" l="1"/>
  <c r="CE52" i="13"/>
  <c r="CE92" i="13"/>
  <c r="BY92" i="13"/>
  <c r="BS92" i="13"/>
  <c r="CE102" i="13"/>
  <c r="BY102" i="13"/>
  <c r="BY154" i="67"/>
  <c r="BT20" i="67"/>
  <c r="BW104" i="12"/>
  <c r="CA104" i="12"/>
  <c r="BU19" i="67"/>
  <c r="BS154" i="67"/>
  <c r="BS88" i="12"/>
  <c r="BS92" i="12" s="1"/>
  <c r="BS9" i="11"/>
  <c r="BS39" i="67"/>
  <c r="BY60" i="67" l="1"/>
  <c r="BT86" i="12"/>
  <c r="BT70" i="40"/>
  <c r="BU20" i="67"/>
  <c r="BS60" i="67"/>
  <c r="BS12" i="11"/>
  <c r="BS38" i="12" l="1"/>
  <c r="BS24" i="11"/>
  <c r="BS26" i="11" s="1"/>
  <c r="BS76" i="12" l="1"/>
  <c r="BS60" i="11"/>
  <c r="BS65" i="11" s="1"/>
  <c r="BS53" i="11"/>
  <c r="BS40" i="12"/>
  <c r="BS42" i="12" l="1"/>
  <c r="BS59" i="12"/>
  <c r="BS178" i="12"/>
  <c r="BS51" i="12"/>
  <c r="BS93" i="12"/>
  <c r="BS75" i="12"/>
  <c r="BS56" i="11"/>
  <c r="BS77" i="12"/>
  <c r="BS64" i="11"/>
  <c r="BS61" i="11"/>
  <c r="BS78" i="12" l="1"/>
  <c r="BS62" i="11"/>
  <c r="BS63" i="11"/>
  <c r="BS10" i="12"/>
  <c r="BT55" i="11"/>
  <c r="BS15" i="12" l="1"/>
  <c r="BS47" i="12"/>
  <c r="BS48" i="12"/>
  <c r="BS64" i="12"/>
  <c r="BS63" i="12"/>
  <c r="BS181" i="12"/>
  <c r="BS57" i="11"/>
  <c r="BT35" i="40"/>
  <c r="BT36" i="40" s="1"/>
  <c r="BT26" i="67" s="1"/>
  <c r="BU26" i="67" s="1"/>
  <c r="BS185" i="12" l="1"/>
  <c r="BS188" i="12" s="1"/>
  <c r="BS53" i="12" s="1"/>
  <c r="BS184" i="12"/>
  <c r="BS187" i="12" s="1"/>
  <c r="BS58" i="12"/>
  <c r="BU36" i="40"/>
  <c r="BU37" i="40" s="1"/>
  <c r="BS62" i="12"/>
  <c r="BS65" i="12"/>
  <c r="BS22" i="12"/>
  <c r="BT25" i="67" l="1"/>
  <c r="BU25" i="67" s="1"/>
  <c r="BS43" i="12"/>
  <c r="BS52" i="12"/>
  <c r="BT20" i="66"/>
  <c r="BU39" i="66"/>
  <c r="BZ12" i="13"/>
  <c r="CF37" i="13" s="1"/>
  <c r="BT45" i="66"/>
  <c r="CA49" i="66" s="1"/>
  <c r="BT49" i="66"/>
  <c r="BU49" i="66" s="1"/>
  <c r="BU20" i="66" l="1"/>
  <c r="BU40" i="66"/>
  <c r="CA40" i="66"/>
  <c r="BU45" i="66"/>
  <c r="BT9" i="66"/>
  <c r="BU9" i="66" s="1"/>
  <c r="BU11" i="66" l="1"/>
  <c r="BU15" i="66"/>
  <c r="BU17" i="66" s="1"/>
  <c r="BT9" i="67"/>
  <c r="BT15" i="66"/>
  <c r="BT83" i="66" s="1"/>
  <c r="BT11" i="66"/>
  <c r="BT46" i="66"/>
  <c r="BU18" i="66" l="1"/>
  <c r="BU21" i="66" s="1"/>
  <c r="BU22" i="66" s="1"/>
  <c r="CA18" i="66"/>
  <c r="BU83" i="66"/>
  <c r="BU46" i="66"/>
  <c r="BU47" i="66"/>
  <c r="BU50" i="66" s="1"/>
  <c r="BU15" i="13" s="1"/>
  <c r="BU85" i="66"/>
  <c r="BU87" i="66"/>
  <c r="BU89" i="66"/>
  <c r="BU91" i="66"/>
  <c r="BU93" i="66"/>
  <c r="BU84" i="66"/>
  <c r="BU86" i="66"/>
  <c r="BU88" i="66"/>
  <c r="BU90" i="66"/>
  <c r="BU92" i="66"/>
  <c r="BT85" i="66"/>
  <c r="BT87" i="66"/>
  <c r="BT89" i="66"/>
  <c r="BT91" i="66"/>
  <c r="BT93" i="66"/>
  <c r="BT17" i="66"/>
  <c r="BT84" i="66"/>
  <c r="BT86" i="66"/>
  <c r="BT88" i="66"/>
  <c r="BT90" i="66"/>
  <c r="BT92" i="66"/>
  <c r="BU9" i="67"/>
  <c r="BT11" i="67"/>
  <c r="BT149" i="67" s="1"/>
  <c r="BT47" i="66"/>
  <c r="BT50" i="66" s="1"/>
  <c r="BT15" i="13" s="1"/>
  <c r="BZ47" i="66"/>
  <c r="BZ50" i="66" s="1"/>
  <c r="BZ15" i="13" s="1"/>
  <c r="CA47" i="66"/>
  <c r="CA50" i="66" s="1"/>
  <c r="CA15" i="13" s="1"/>
  <c r="CA20" i="66" l="1"/>
  <c r="CA19" i="66"/>
  <c r="BZ16" i="13"/>
  <c r="CF41" i="13" s="1"/>
  <c r="BZ17" i="13"/>
  <c r="CF42" i="13" s="1"/>
  <c r="CG40" i="13"/>
  <c r="CA40" i="13"/>
  <c r="CA67" i="13"/>
  <c r="CF40" i="13"/>
  <c r="BZ40" i="13"/>
  <c r="BZ67" i="13"/>
  <c r="BT40" i="13"/>
  <c r="BT67" i="13"/>
  <c r="DU7" i="13"/>
  <c r="DU15" i="13" s="1"/>
  <c r="BT18" i="66"/>
  <c r="BT114" i="66"/>
  <c r="BZ18" i="66"/>
  <c r="BU114" i="66"/>
  <c r="BU40" i="13"/>
  <c r="BU67" i="13"/>
  <c r="BT11" i="12"/>
  <c r="BT13" i="12"/>
  <c r="BT98" i="12"/>
  <c r="BT139" i="12"/>
  <c r="BT159" i="12" s="1"/>
  <c r="BT67" i="67"/>
  <c r="BT13" i="67"/>
  <c r="BT12" i="67" s="1"/>
  <c r="BT15" i="67"/>
  <c r="BU11" i="67"/>
  <c r="BZ67" i="67"/>
  <c r="BT14" i="67"/>
  <c r="CA21" i="66" l="1"/>
  <c r="CA22" i="66" s="1"/>
  <c r="BT25" i="12"/>
  <c r="BT12" i="12"/>
  <c r="BT27" i="12"/>
  <c r="BU12" i="67"/>
  <c r="BU13" i="67" s="1"/>
  <c r="BT69" i="67"/>
  <c r="BZ69" i="67"/>
  <c r="BT55" i="67"/>
  <c r="BU11" i="12"/>
  <c r="BT145" i="12"/>
  <c r="BT20" i="11"/>
  <c r="BZ21" i="66"/>
  <c r="BZ81" i="13"/>
  <c r="CF81" i="13"/>
  <c r="CG81" i="13"/>
  <c r="CA81" i="13"/>
  <c r="BU14" i="67"/>
  <c r="BT70" i="67"/>
  <c r="BZ70" i="67"/>
  <c r="BT17" i="67"/>
  <c r="BT97" i="13"/>
  <c r="BT101" i="13" s="1"/>
  <c r="BZ97" i="13"/>
  <c r="BT71" i="67"/>
  <c r="BU15" i="67"/>
  <c r="BZ71" i="67"/>
  <c r="BT96" i="13"/>
  <c r="BT100" i="13" s="1"/>
  <c r="BZ96" i="13"/>
  <c r="BU112" i="66"/>
  <c r="BU106" i="66"/>
  <c r="BU108" i="66"/>
  <c r="BU110" i="66"/>
  <c r="BU105" i="66"/>
  <c r="BU107" i="66"/>
  <c r="BU109" i="66"/>
  <c r="BU111" i="66"/>
  <c r="BU113" i="66"/>
  <c r="BT106" i="66"/>
  <c r="BT108" i="66"/>
  <c r="BT110" i="66"/>
  <c r="BT112" i="66"/>
  <c r="BT105" i="66"/>
  <c r="BT107" i="66"/>
  <c r="BT109" i="66"/>
  <c r="BT111" i="66"/>
  <c r="BT113" i="66"/>
  <c r="BU69" i="12"/>
  <c r="BU139" i="12"/>
  <c r="BU159" i="12" s="1"/>
  <c r="BU67" i="67"/>
  <c r="CA67" i="67"/>
  <c r="BT18" i="67"/>
  <c r="BU149" i="67" s="1"/>
  <c r="BZ62" i="67"/>
  <c r="BT62" i="67"/>
  <c r="BU98" i="12"/>
  <c r="BT102" i="12"/>
  <c r="BT110" i="12" s="1"/>
  <c r="BT16" i="12" s="1"/>
  <c r="BT29" i="11"/>
  <c r="BU81" i="13"/>
  <c r="CA11" i="13"/>
  <c r="CA14" i="13"/>
  <c r="CG39" i="13" s="1"/>
  <c r="CA8" i="13"/>
  <c r="CA9" i="13"/>
  <c r="CA12" i="13"/>
  <c r="BT81" i="13"/>
  <c r="BU13" i="12"/>
  <c r="BT147" i="12"/>
  <c r="BT18" i="11"/>
  <c r="BU18" i="11" s="1"/>
  <c r="BT21" i="66"/>
  <c r="CG37" i="13" l="1"/>
  <c r="CA17" i="13"/>
  <c r="CG42" i="13" s="1"/>
  <c r="CA16" i="13"/>
  <c r="CG41" i="13" s="1"/>
  <c r="BU68" i="67"/>
  <c r="BU152" i="67"/>
  <c r="BU26" i="13"/>
  <c r="BU50" i="13" s="1"/>
  <c r="BU62" i="67"/>
  <c r="BU56" i="67"/>
  <c r="CA62" i="67"/>
  <c r="BU55" i="67"/>
  <c r="BU69" i="67"/>
  <c r="CA69" i="67"/>
  <c r="BT68" i="67"/>
  <c r="BT152" i="67"/>
  <c r="BT26" i="13"/>
  <c r="BT22" i="66"/>
  <c r="CG33" i="13"/>
  <c r="CA68" i="13"/>
  <c r="CA33" i="13"/>
  <c r="BU29" i="11"/>
  <c r="BT33" i="11"/>
  <c r="BT35" i="11" s="1"/>
  <c r="BU17" i="67"/>
  <c r="BU70" i="67"/>
  <c r="BU57" i="67"/>
  <c r="CA70" i="67"/>
  <c r="BU97" i="13"/>
  <c r="BU101" i="13" s="1"/>
  <c r="CA97" i="13"/>
  <c r="BZ68" i="67"/>
  <c r="BZ26" i="13"/>
  <c r="BZ22" i="66"/>
  <c r="BZ152" i="67"/>
  <c r="BU27" i="12"/>
  <c r="BT154" i="12"/>
  <c r="BT23" i="11"/>
  <c r="BU23" i="11" s="1"/>
  <c r="BU16" i="12"/>
  <c r="BT148" i="12"/>
  <c r="BZ101" i="13"/>
  <c r="CF101" i="13"/>
  <c r="BT72" i="67"/>
  <c r="BT92" i="67"/>
  <c r="BZ72" i="67"/>
  <c r="BW20" i="11"/>
  <c r="BU145" i="12"/>
  <c r="BU12" i="12"/>
  <c r="BU70" i="12" s="1"/>
  <c r="BT146" i="12"/>
  <c r="BT151" i="12" s="1"/>
  <c r="BT21" i="11"/>
  <c r="BU21" i="11" s="1"/>
  <c r="BU81" i="12"/>
  <c r="BW18" i="11"/>
  <c r="CA18" i="11" s="1"/>
  <c r="BU147" i="12"/>
  <c r="CA34" i="13"/>
  <c r="CA69" i="13"/>
  <c r="CG34" i="13"/>
  <c r="CG36" i="13"/>
  <c r="CA71" i="13"/>
  <c r="CA36" i="13"/>
  <c r="BU102" i="12"/>
  <c r="BU99" i="12"/>
  <c r="BT57" i="12"/>
  <c r="BT140" i="12"/>
  <c r="BT59" i="67"/>
  <c r="BT146" i="67" s="1"/>
  <c r="BT73" i="67"/>
  <c r="BU148" i="67"/>
  <c r="BZ63" i="67"/>
  <c r="BT30" i="67"/>
  <c r="BZ73" i="67"/>
  <c r="BT63" i="67"/>
  <c r="BT104" i="13"/>
  <c r="CF100" i="13"/>
  <c r="BZ100" i="13"/>
  <c r="BU71" i="67"/>
  <c r="BU58" i="67"/>
  <c r="CA71" i="67"/>
  <c r="CA96" i="13"/>
  <c r="BU96" i="13"/>
  <c r="BU100" i="13" s="1"/>
  <c r="CA68" i="67"/>
  <c r="CA26" i="13"/>
  <c r="CA152" i="67"/>
  <c r="BU20" i="11"/>
  <c r="BT29" i="12"/>
  <c r="BU25" i="12"/>
  <c r="BT153" i="12"/>
  <c r="BT22" i="11"/>
  <c r="BU22" i="11" s="1"/>
  <c r="BT156" i="12" l="1"/>
  <c r="BT158" i="12" s="1"/>
  <c r="CA29" i="13"/>
  <c r="CA28" i="13"/>
  <c r="CG51" i="13" s="1"/>
  <c r="BZ29" i="13"/>
  <c r="BZ28" i="13"/>
  <c r="CF51" i="13" s="1"/>
  <c r="BU19" i="11"/>
  <c r="BT19" i="11"/>
  <c r="BU29" i="12"/>
  <c r="BW22" i="11"/>
  <c r="CA22" i="11" s="1"/>
  <c r="BU153" i="12"/>
  <c r="BT33" i="12"/>
  <c r="CA27" i="13"/>
  <c r="BT142" i="12"/>
  <c r="BT143" i="12" s="1"/>
  <c r="BT144" i="12" s="1"/>
  <c r="BT138" i="12" s="1"/>
  <c r="BZ27" i="13"/>
  <c r="CA101" i="13"/>
  <c r="CG101" i="13"/>
  <c r="BU72" i="67"/>
  <c r="CA72" i="67"/>
  <c r="BU33" i="11"/>
  <c r="BU35" i="11" s="1"/>
  <c r="BQ71" i="40"/>
  <c r="BU18" i="67"/>
  <c r="BU27" i="13"/>
  <c r="BT105" i="13"/>
  <c r="BZ105" i="13"/>
  <c r="CA85" i="13"/>
  <c r="CG85" i="13"/>
  <c r="BU146" i="12"/>
  <c r="BW21" i="11"/>
  <c r="CA21" i="11" s="1"/>
  <c r="CA20" i="11"/>
  <c r="BT27" i="13"/>
  <c r="CG83" i="13"/>
  <c r="CA83" i="13"/>
  <c r="BT15" i="11"/>
  <c r="BT22" i="67"/>
  <c r="BU92" i="67"/>
  <c r="BU93" i="67" s="1"/>
  <c r="BW93" i="67" s="1"/>
  <c r="BU148" i="12"/>
  <c r="BU82" i="12"/>
  <c r="BU154" i="12"/>
  <c r="BW23" i="11"/>
  <c r="CA23" i="11" s="1"/>
  <c r="BZ50" i="13"/>
  <c r="CF50" i="13"/>
  <c r="BZ78" i="13"/>
  <c r="DU11" i="13"/>
  <c r="DU19" i="13" s="1"/>
  <c r="BT50" i="13"/>
  <c r="BT78" i="13"/>
  <c r="BT102" i="13"/>
  <c r="BU78" i="13"/>
  <c r="BU102" i="13"/>
  <c r="CA50" i="13"/>
  <c r="CG50" i="13"/>
  <c r="CA78" i="13"/>
  <c r="CA153" i="67"/>
  <c r="CG100" i="13"/>
  <c r="CA100" i="13"/>
  <c r="BT166" i="12"/>
  <c r="BT167" i="12" s="1"/>
  <c r="BT31" i="67"/>
  <c r="BT147" i="67"/>
  <c r="BZ147" i="67"/>
  <c r="BT150" i="67"/>
  <c r="BT153" i="67" s="1"/>
  <c r="BZ151" i="67"/>
  <c r="BW97" i="12"/>
  <c r="CA97" i="12"/>
  <c r="CA102" i="12" s="1"/>
  <c r="BU110" i="12"/>
  <c r="BZ153" i="67"/>
  <c r="CA82" i="13"/>
  <c r="CG82" i="13"/>
  <c r="BU71" i="12"/>
  <c r="BU72" i="12" s="1"/>
  <c r="CF52" i="13" l="1"/>
  <c r="CG52" i="13"/>
  <c r="BW19" i="11"/>
  <c r="BU151" i="12"/>
  <c r="BT154" i="67"/>
  <c r="BX93" i="67"/>
  <c r="BW92" i="67"/>
  <c r="BU156" i="12"/>
  <c r="BT151" i="67"/>
  <c r="BU31" i="67"/>
  <c r="BT92" i="13"/>
  <c r="CF102" i="13"/>
  <c r="BZ102" i="13"/>
  <c r="BU22" i="67"/>
  <c r="BU23" i="67" s="1"/>
  <c r="BU24" i="67" s="1"/>
  <c r="BT23" i="67"/>
  <c r="BT24" i="67" s="1"/>
  <c r="BT168" i="12"/>
  <c r="CG92" i="13"/>
  <c r="CA92" i="13"/>
  <c r="BW102" i="12"/>
  <c r="BW105" i="12"/>
  <c r="CA154" i="67"/>
  <c r="BU92" i="13"/>
  <c r="BZ92" i="13"/>
  <c r="CF92" i="13"/>
  <c r="BT37" i="12"/>
  <c r="BU15" i="11"/>
  <c r="CA19" i="11"/>
  <c r="BU57" i="12"/>
  <c r="BU140" i="12"/>
  <c r="BU65" i="40"/>
  <c r="BU63" i="67"/>
  <c r="BU59" i="67"/>
  <c r="BU73" i="67"/>
  <c r="CA63" i="67"/>
  <c r="BU30" i="67"/>
  <c r="CA73" i="67"/>
  <c r="BU104" i="13"/>
  <c r="BR71" i="40"/>
  <c r="BS71" i="40" s="1"/>
  <c r="BT71" i="40" s="1"/>
  <c r="BQ73" i="40"/>
  <c r="BU33" i="12"/>
  <c r="CC97" i="12"/>
  <c r="CG97" i="12"/>
  <c r="CG102" i="12" s="1"/>
  <c r="BZ154" i="67"/>
  <c r="BT32" i="67"/>
  <c r="CG102" i="13"/>
  <c r="CA102" i="13"/>
  <c r="BU158" i="12" l="1"/>
  <c r="BW159" i="12" s="1"/>
  <c r="BR68" i="40"/>
  <c r="BQ74" i="40"/>
  <c r="BQ76" i="40" s="1"/>
  <c r="BU146" i="67"/>
  <c r="BU64" i="67"/>
  <c r="BT40" i="67"/>
  <c r="BT105" i="67"/>
  <c r="BT114" i="67" s="1"/>
  <c r="BT36" i="67"/>
  <c r="BT41" i="67"/>
  <c r="BT42" i="67"/>
  <c r="BT94" i="67"/>
  <c r="BT65" i="67"/>
  <c r="BZ60" i="67"/>
  <c r="CC102" i="12"/>
  <c r="CC105" i="12"/>
  <c r="BU32" i="67"/>
  <c r="BT56" i="12"/>
  <c r="BT61" i="67"/>
  <c r="BT60" i="67"/>
  <c r="BU105" i="13"/>
  <c r="CA105" i="13"/>
  <c r="CA60" i="67"/>
  <c r="BW108" i="12"/>
  <c r="BX104" i="12" s="1"/>
  <c r="BW14" i="11"/>
  <c r="BW15" i="11"/>
  <c r="BW22" i="67"/>
  <c r="CI97" i="12"/>
  <c r="CM97" i="12"/>
  <c r="BU56" i="12"/>
  <c r="D100" i="69"/>
  <c r="D101" i="69" s="1"/>
  <c r="BU61" i="67"/>
  <c r="BU37" i="12"/>
  <c r="BT87" i="12"/>
  <c r="BX97" i="12"/>
  <c r="BX92" i="67"/>
  <c r="BY93" i="67"/>
  <c r="CA159" i="12" l="1"/>
  <c r="BW110" i="12"/>
  <c r="BW16" i="12" s="1"/>
  <c r="BW148" i="12" s="1"/>
  <c r="BW151" i="12" s="1"/>
  <c r="BW158" i="12" s="1"/>
  <c r="BX159" i="12" s="1"/>
  <c r="BX102" i="12"/>
  <c r="BX105" i="12"/>
  <c r="BX108" i="12" s="1"/>
  <c r="BY104" i="12" s="1"/>
  <c r="CI105" i="12"/>
  <c r="CC14" i="11"/>
  <c r="BY92" i="67"/>
  <c r="BZ93" i="67"/>
  <c r="BZ92" i="67" s="1"/>
  <c r="CD97" i="12"/>
  <c r="BT69" i="40"/>
  <c r="BT38" i="67"/>
  <c r="BU85" i="67"/>
  <c r="BR73" i="40"/>
  <c r="BS68" i="40" s="1"/>
  <c r="BW19" i="67"/>
  <c r="BU94" i="67"/>
  <c r="BU102" i="67" s="1"/>
  <c r="BT102" i="67"/>
  <c r="BX15" i="11"/>
  <c r="BX22" i="67"/>
  <c r="BW37" i="12"/>
  <c r="BU87" i="12"/>
  <c r="BU65" i="67"/>
  <c r="BU40" i="67"/>
  <c r="BU105" i="67"/>
  <c r="BU114" i="67" s="1"/>
  <c r="BU36" i="67"/>
  <c r="BU41" i="67"/>
  <c r="BU42" i="67"/>
  <c r="BT74" i="67"/>
  <c r="BU150" i="67"/>
  <c r="CA151" i="67"/>
  <c r="BU147" i="67"/>
  <c r="CA147" i="67"/>
  <c r="BW138" i="12"/>
  <c r="BU38" i="67" l="1"/>
  <c r="BT88" i="12"/>
  <c r="BT92" i="12" s="1"/>
  <c r="BT9" i="11"/>
  <c r="BT39" i="67"/>
  <c r="CC19" i="67"/>
  <c r="BX37" i="12"/>
  <c r="BW87" i="12"/>
  <c r="BR74" i="40"/>
  <c r="BR76" i="40" s="1"/>
  <c r="BZ15" i="11"/>
  <c r="BZ22" i="67"/>
  <c r="BX138" i="12"/>
  <c r="BW20" i="67"/>
  <c r="BS73" i="40"/>
  <c r="BT68" i="40" s="1"/>
  <c r="BY15" i="11"/>
  <c r="BY22" i="67"/>
  <c r="CI14" i="11"/>
  <c r="BX14" i="11"/>
  <c r="BU151" i="67"/>
  <c r="BU153" i="67"/>
  <c r="BU74" i="67"/>
  <c r="BU165" i="12"/>
  <c r="BU166" i="12" s="1"/>
  <c r="BU167" i="12" s="1"/>
  <c r="BU141" i="12"/>
  <c r="BU142" i="12" s="1"/>
  <c r="BU143" i="12" s="1"/>
  <c r="BU144" i="12" s="1"/>
  <c r="BU138" i="12" s="1"/>
  <c r="CD102" i="12"/>
  <c r="CD105" i="12"/>
  <c r="BY97" i="12"/>
  <c r="BX110" i="12"/>
  <c r="BX16" i="12" s="1"/>
  <c r="CA92" i="67"/>
  <c r="CA93" i="67" s="1"/>
  <c r="CC93" i="67" s="1"/>
  <c r="CA22" i="67" l="1"/>
  <c r="BU168" i="12"/>
  <c r="BT73" i="40"/>
  <c r="BT74" i="40" s="1"/>
  <c r="BT76" i="40" s="1"/>
  <c r="BY37" i="12"/>
  <c r="BX87" i="12"/>
  <c r="BX148" i="12"/>
  <c r="BX151" i="12" s="1"/>
  <c r="BX158" i="12" s="1"/>
  <c r="BY159" i="12" s="1"/>
  <c r="CD14" i="11"/>
  <c r="BU154" i="67"/>
  <c r="BW70" i="40"/>
  <c r="BW23" i="67"/>
  <c r="BW24" i="67" s="1"/>
  <c r="CC20" i="67"/>
  <c r="BU9" i="11"/>
  <c r="BU12" i="11" s="1"/>
  <c r="BT12" i="11"/>
  <c r="BU88" i="12"/>
  <c r="BU92" i="12" s="1"/>
  <c r="BU39" i="67"/>
  <c r="CC92" i="67"/>
  <c r="CD93" i="67"/>
  <c r="BY102" i="12"/>
  <c r="BY105" i="12"/>
  <c r="CE97" i="12"/>
  <c r="BX19" i="67"/>
  <c r="CA15" i="11"/>
  <c r="CI19" i="67"/>
  <c r="BS74" i="40"/>
  <c r="BS76" i="40" s="1"/>
  <c r="BU76" i="40" l="1"/>
  <c r="BY14" i="11"/>
  <c r="BY108" i="12"/>
  <c r="BZ104" i="12" s="1"/>
  <c r="BU24" i="11"/>
  <c r="BU26" i="11" s="1"/>
  <c r="CD19" i="67"/>
  <c r="BZ37" i="12"/>
  <c r="BY87" i="12"/>
  <c r="CI20" i="67"/>
  <c r="BX20" i="67"/>
  <c r="BZ97" i="12"/>
  <c r="CC70" i="40"/>
  <c r="BU60" i="67"/>
  <c r="CD92" i="67"/>
  <c r="CE93" i="67"/>
  <c r="BW86" i="12"/>
  <c r="CA86" i="12"/>
  <c r="BW56" i="12"/>
  <c r="BW61" i="67"/>
  <c r="BY138" i="12"/>
  <c r="CE102" i="12"/>
  <c r="CE105" i="12"/>
  <c r="CC15" i="11"/>
  <c r="CC22" i="67"/>
  <c r="CC23" i="67" s="1"/>
  <c r="CC24" i="67" s="1"/>
  <c r="BT38" i="12"/>
  <c r="BT24" i="11"/>
  <c r="BT26" i="11" s="1"/>
  <c r="BY110" i="12" l="1"/>
  <c r="BY16" i="12" s="1"/>
  <c r="BY148" i="12" s="1"/>
  <c r="BY151" i="12" s="1"/>
  <c r="BY158" i="12" s="1"/>
  <c r="BZ159" i="12" s="1"/>
  <c r="CC56" i="12"/>
  <c r="CC61" i="67"/>
  <c r="BZ102" i="12"/>
  <c r="BZ105" i="12"/>
  <c r="BZ108" i="12" s="1"/>
  <c r="CI70" i="40"/>
  <c r="BU76" i="12"/>
  <c r="BU60" i="11"/>
  <c r="BU65" i="11" s="1"/>
  <c r="BU53" i="11"/>
  <c r="BY19" i="67"/>
  <c r="CE14" i="11"/>
  <c r="CF97" i="12"/>
  <c r="CE92" i="67"/>
  <c r="CF93" i="67"/>
  <c r="CF92" i="67" s="1"/>
  <c r="BX70" i="40"/>
  <c r="BX23" i="67"/>
  <c r="BX24" i="67" s="1"/>
  <c r="CD15" i="11"/>
  <c r="CD22" i="67"/>
  <c r="BU38" i="12"/>
  <c r="BT40" i="12"/>
  <c r="BT76" i="12"/>
  <c r="BT60" i="11"/>
  <c r="BT65" i="11" s="1"/>
  <c r="BT53" i="11"/>
  <c r="CA37" i="12"/>
  <c r="BZ87" i="12"/>
  <c r="CD20" i="67"/>
  <c r="CE15" i="11" l="1"/>
  <c r="CE22" i="67"/>
  <c r="CG92" i="67"/>
  <c r="CG93" i="67" s="1"/>
  <c r="CI93" i="67" s="1"/>
  <c r="CE19" i="67"/>
  <c r="CD70" i="40"/>
  <c r="CD23" i="67"/>
  <c r="CD24" i="67" s="1"/>
  <c r="BT42" i="12"/>
  <c r="BT59" i="12"/>
  <c r="BT178" i="12"/>
  <c r="BT51" i="12"/>
  <c r="BT93" i="12"/>
  <c r="BX56" i="12"/>
  <c r="BX61" i="67"/>
  <c r="BZ14" i="11"/>
  <c r="CA105" i="12"/>
  <c r="BZ138" i="12"/>
  <c r="BU40" i="12"/>
  <c r="CF102" i="12"/>
  <c r="CF105" i="12"/>
  <c r="BY20" i="67"/>
  <c r="BZ110" i="12"/>
  <c r="BZ16" i="12" s="1"/>
  <c r="CC37" i="12"/>
  <c r="CA87" i="12"/>
  <c r="BT75" i="12"/>
  <c r="BT56" i="11"/>
  <c r="BT10" i="12" s="1"/>
  <c r="BT77" i="12"/>
  <c r="BT64" i="11"/>
  <c r="BT61" i="11"/>
  <c r="CF15" i="11"/>
  <c r="CF22" i="67"/>
  <c r="BU75" i="12"/>
  <c r="BU56" i="11"/>
  <c r="BU77" i="12"/>
  <c r="BU64" i="11"/>
  <c r="BU61" i="11"/>
  <c r="CG22" i="67" l="1"/>
  <c r="BT78" i="12"/>
  <c r="BT63" i="11"/>
  <c r="BT62" i="11"/>
  <c r="BT15" i="12"/>
  <c r="BT47" i="12"/>
  <c r="BT48" i="12"/>
  <c r="BT63" i="12"/>
  <c r="BT64" i="12"/>
  <c r="BT181" i="12"/>
  <c r="BT184" i="12" s="1"/>
  <c r="BT57" i="11"/>
  <c r="BW35" i="40"/>
  <c r="CD56" i="12"/>
  <c r="CD61" i="67"/>
  <c r="CE20" i="67"/>
  <c r="BU78" i="12"/>
  <c r="BU63" i="11"/>
  <c r="BU62" i="11"/>
  <c r="BU10" i="12"/>
  <c r="BW55" i="11"/>
  <c r="BY70" i="40"/>
  <c r="BY23" i="67"/>
  <c r="BY24" i="67" s="1"/>
  <c r="BU42" i="12"/>
  <c r="BU59" i="12"/>
  <c r="BU178" i="12"/>
  <c r="BU51" i="12"/>
  <c r="BU93" i="12"/>
  <c r="CA108" i="12"/>
  <c r="CA106" i="12"/>
  <c r="CJ93" i="67"/>
  <c r="CD37" i="12"/>
  <c r="CC87" i="12"/>
  <c r="BZ19" i="67"/>
  <c r="CA14" i="11"/>
  <c r="CA16" i="12"/>
  <c r="BZ148" i="12"/>
  <c r="BZ151" i="12" s="1"/>
  <c r="BZ158" i="12" s="1"/>
  <c r="CF14" i="11"/>
  <c r="CG105" i="12"/>
  <c r="CG106" i="12" s="1"/>
  <c r="CG15" i="11"/>
  <c r="BT185" i="12" l="1"/>
  <c r="BT188" i="12" s="1"/>
  <c r="BT53" i="12" s="1"/>
  <c r="CE37" i="12"/>
  <c r="CD87" i="12"/>
  <c r="CK93" i="67"/>
  <c r="CA55" i="11"/>
  <c r="CF19" i="67"/>
  <c r="CG14" i="11"/>
  <c r="CG19" i="67" s="1"/>
  <c r="CA148" i="12"/>
  <c r="CA151" i="12" s="1"/>
  <c r="CA158" i="12" s="1"/>
  <c r="CA19" i="67"/>
  <c r="BT187" i="12"/>
  <c r="BU187" i="12"/>
  <c r="BU48" i="12"/>
  <c r="BU15" i="12"/>
  <c r="BU47" i="12"/>
  <c r="BU63" i="12"/>
  <c r="BU64" i="12"/>
  <c r="BU57" i="11"/>
  <c r="BU181" i="12"/>
  <c r="BU185" i="12" s="1"/>
  <c r="BW68" i="40"/>
  <c r="D98" i="69"/>
  <c r="D99" i="69" s="1"/>
  <c r="D102" i="69" s="1"/>
  <c r="CE70" i="40"/>
  <c r="CE23" i="67"/>
  <c r="CE24" i="67" s="1"/>
  <c r="BT58" i="12"/>
  <c r="BZ20" i="67"/>
  <c r="CC104" i="12"/>
  <c r="CC108" i="12" s="1"/>
  <c r="CG104" i="12"/>
  <c r="CG108" i="12" s="1"/>
  <c r="CA110" i="12"/>
  <c r="BY56" i="12"/>
  <c r="BY61" i="67"/>
  <c r="BW36" i="40"/>
  <c r="BW26" i="67" s="1"/>
  <c r="CA35" i="40"/>
  <c r="BT62" i="12"/>
  <c r="BT65" i="12"/>
  <c r="BT22" i="12"/>
  <c r="BU188" i="12" l="1"/>
  <c r="BU53" i="12" s="1"/>
  <c r="BZ70" i="40"/>
  <c r="BZ23" i="67"/>
  <c r="BZ24" i="67" s="1"/>
  <c r="CA20" i="67"/>
  <c r="CE56" i="12"/>
  <c r="CE61" i="67"/>
  <c r="BU184" i="12"/>
  <c r="BT43" i="12"/>
  <c r="BT52" i="12"/>
  <c r="CI104" i="12"/>
  <c r="CI108" i="12" s="1"/>
  <c r="CM104" i="12"/>
  <c r="CG110" i="12"/>
  <c r="CF20" i="67"/>
  <c r="CL93" i="67"/>
  <c r="BU58" i="12"/>
  <c r="CC159" i="12"/>
  <c r="CG159" i="12"/>
  <c r="CD104" i="12"/>
  <c r="CD108" i="12" s="1"/>
  <c r="CC110" i="12"/>
  <c r="CC16" i="12" s="1"/>
  <c r="BU65" i="12"/>
  <c r="BU62" i="12"/>
  <c r="BU22" i="12"/>
  <c r="CF37" i="12"/>
  <c r="CE87" i="12"/>
  <c r="CC138" i="12" l="1"/>
  <c r="CF70" i="40"/>
  <c r="CF23" i="67"/>
  <c r="CF24" i="67" s="1"/>
  <c r="CG20" i="67"/>
  <c r="CJ104" i="12"/>
  <c r="CA23" i="67"/>
  <c r="CA24" i="67" s="1"/>
  <c r="CG37" i="12"/>
  <c r="CF87" i="12"/>
  <c r="CE104" i="12"/>
  <c r="CE108" i="12" s="1"/>
  <c r="CD110" i="12"/>
  <c r="CD16" i="12" s="1"/>
  <c r="BU43" i="12"/>
  <c r="BU52" i="12"/>
  <c r="BZ56" i="12"/>
  <c r="BZ61" i="67"/>
  <c r="CC148" i="12"/>
  <c r="CC151" i="12" s="1"/>
  <c r="CC158" i="12" s="1"/>
  <c r="CD159" i="12" s="1"/>
  <c r="BW25" i="67"/>
  <c r="BW30" i="67" l="1"/>
  <c r="CF104" i="12"/>
  <c r="CF108" i="12" s="1"/>
  <c r="CF110" i="12" s="1"/>
  <c r="CF16" i="12" s="1"/>
  <c r="CE110" i="12"/>
  <c r="CE16" i="12" s="1"/>
  <c r="CF56" i="12"/>
  <c r="CF61" i="67"/>
  <c r="CG23" i="67"/>
  <c r="CG24" i="67" s="1"/>
  <c r="CD138" i="12"/>
  <c r="CD148" i="12"/>
  <c r="CD151" i="12" s="1"/>
  <c r="CD158" i="12" s="1"/>
  <c r="CE159" i="12" s="1"/>
  <c r="CG87" i="12"/>
  <c r="CA56" i="12"/>
  <c r="CA61" i="67"/>
  <c r="E100" i="69"/>
  <c r="E101" i="69" s="1"/>
  <c r="CE148" i="12" l="1"/>
  <c r="CE151" i="12" s="1"/>
  <c r="CE158" i="12" s="1"/>
  <c r="CF159" i="12" s="1"/>
  <c r="CG56" i="12"/>
  <c r="CG61" i="67"/>
  <c r="CE138" i="12"/>
  <c r="CG16" i="12"/>
  <c r="CF148" i="12"/>
  <c r="CF151" i="12" s="1"/>
  <c r="CF158" i="12" s="1"/>
  <c r="BW31" i="67"/>
  <c r="BW32" i="67" s="1"/>
  <c r="BW42" i="67" l="1"/>
  <c r="BW94" i="67"/>
  <c r="BW65" i="67"/>
  <c r="BW40" i="67"/>
  <c r="BW105" i="67"/>
  <c r="BW114" i="67" s="1"/>
  <c r="BW36" i="67"/>
  <c r="BW41" i="67"/>
  <c r="CF138" i="12"/>
  <c r="CG148" i="12"/>
  <c r="CG151" i="12" s="1"/>
  <c r="CG158" i="12" s="1"/>
  <c r="BW69" i="40" l="1"/>
  <c r="BW73" i="40" s="1"/>
  <c r="BW38" i="67"/>
  <c r="BW102" i="67"/>
  <c r="BW74" i="67"/>
  <c r="BX68" i="40" l="1"/>
  <c r="BW74" i="40"/>
  <c r="BW76" i="40" s="1"/>
  <c r="BW88" i="12"/>
  <c r="BW92" i="12" s="1"/>
  <c r="BW9" i="11"/>
  <c r="BW39" i="67"/>
  <c r="BW12" i="11" l="1"/>
  <c r="BX86" i="12"/>
  <c r="BW24" i="11" l="1"/>
  <c r="BW26" i="11" s="1"/>
  <c r="BW38" i="12"/>
  <c r="BW40" i="12" l="1"/>
  <c r="BW76" i="12"/>
  <c r="BW53" i="11"/>
  <c r="BW60" i="11"/>
  <c r="BW65" i="11" s="1"/>
  <c r="BW75" i="12" l="1"/>
  <c r="BW56" i="11"/>
  <c r="BW42" i="12"/>
  <c r="BW59" i="12"/>
  <c r="BW178" i="12"/>
  <c r="BW51" i="12"/>
  <c r="BW93" i="12"/>
  <c r="BW77" i="12"/>
  <c r="BW61" i="11"/>
  <c r="BW64" i="11"/>
  <c r="BW78" i="12" l="1"/>
  <c r="BW62" i="11"/>
  <c r="BW63" i="11"/>
  <c r="BW10" i="12"/>
  <c r="BX55" i="11"/>
  <c r="BW15" i="12" l="1"/>
  <c r="BW47" i="12"/>
  <c r="BW48" i="12"/>
  <c r="BW64" i="12"/>
  <c r="BW63" i="12"/>
  <c r="BW181" i="12"/>
  <c r="BW57" i="11"/>
  <c r="BX35" i="40"/>
  <c r="BX36" i="40" s="1"/>
  <c r="BX26" i="67" s="1"/>
  <c r="BW185" i="12" l="1"/>
  <c r="BW188" i="12" s="1"/>
  <c r="BW53" i="12" s="1"/>
  <c r="BW184" i="12"/>
  <c r="BW187" i="12" s="1"/>
  <c r="BW58" i="12"/>
  <c r="BW65" i="12"/>
  <c r="BW62" i="12"/>
  <c r="BW22" i="12"/>
  <c r="BW43" i="12" l="1"/>
  <c r="BW52" i="12"/>
  <c r="BX25" i="67"/>
  <c r="BX30" i="67" l="1"/>
  <c r="BX31" i="67" l="1"/>
  <c r="BX32" i="67" l="1"/>
  <c r="BX36" i="67" l="1"/>
  <c r="BX41" i="67"/>
  <c r="BX42" i="67"/>
  <c r="BX94" i="67"/>
  <c r="BX65" i="67"/>
  <c r="BX40" i="67"/>
  <c r="BX105" i="67"/>
  <c r="BX114" i="67" s="1"/>
  <c r="BX74" i="67" l="1"/>
  <c r="BX69" i="40"/>
  <c r="BX73" i="40" s="1"/>
  <c r="BX38" i="67"/>
  <c r="BX102" i="67"/>
  <c r="BX88" i="12" l="1"/>
  <c r="BX92" i="12" s="1"/>
  <c r="BX9" i="11"/>
  <c r="BX39" i="67"/>
  <c r="BY68" i="40"/>
  <c r="BX74" i="40"/>
  <c r="BX76" i="40" s="1"/>
  <c r="BX12" i="11" l="1"/>
  <c r="BY86" i="12"/>
  <c r="BX24" i="11" l="1"/>
  <c r="BX26" i="11" s="1"/>
  <c r="BX38" i="12"/>
  <c r="BX76" i="12" l="1"/>
  <c r="BX53" i="11"/>
  <c r="BX60" i="11"/>
  <c r="BX65" i="11" s="1"/>
  <c r="BX40" i="12"/>
  <c r="BX42" i="12" l="1"/>
  <c r="BX59" i="12"/>
  <c r="BX178" i="12"/>
  <c r="BX51" i="12"/>
  <c r="BX93" i="12"/>
  <c r="BX77" i="12"/>
  <c r="BX61" i="11"/>
  <c r="BX64" i="11"/>
  <c r="BX75" i="12"/>
  <c r="BX56" i="11"/>
  <c r="BX10" i="12" l="1"/>
  <c r="BY55" i="11"/>
  <c r="BX78" i="12"/>
  <c r="BX62" i="11"/>
  <c r="BX63" i="11"/>
  <c r="BX15" i="12" l="1"/>
  <c r="BX47" i="12"/>
  <c r="BX48" i="12"/>
  <c r="BX63" i="12"/>
  <c r="BX64" i="12"/>
  <c r="BX181" i="12"/>
  <c r="BX57" i="11"/>
  <c r="BY35" i="40"/>
  <c r="BY36" i="40" s="1"/>
  <c r="BY26" i="67" s="1"/>
  <c r="BX184" i="12" l="1"/>
  <c r="BX187" i="12" s="1"/>
  <c r="BX185" i="12"/>
  <c r="BX188" i="12" s="1"/>
  <c r="BX53" i="12" s="1"/>
  <c r="BX58" i="12"/>
  <c r="BX65" i="12"/>
  <c r="BX62" i="12"/>
  <c r="BX22" i="12"/>
  <c r="BX43" i="12" l="1"/>
  <c r="BX52" i="12"/>
  <c r="BY25" i="67"/>
  <c r="BY30" i="67" l="1"/>
  <c r="BY31" i="67" l="1"/>
  <c r="BY32" i="67" s="1"/>
  <c r="BY40" i="67" l="1"/>
  <c r="BY105" i="67"/>
  <c r="BY114" i="67" s="1"/>
  <c r="BY36" i="67"/>
  <c r="BY41" i="67"/>
  <c r="BY42" i="67"/>
  <c r="BY94" i="67"/>
  <c r="BY65" i="67"/>
  <c r="BY69" i="40" l="1"/>
  <c r="BY73" i="40" s="1"/>
  <c r="BY38" i="67"/>
  <c r="BY102" i="67"/>
  <c r="BY74" i="67"/>
  <c r="BY88" i="12" l="1"/>
  <c r="BY92" i="12" s="1"/>
  <c r="BY9" i="11"/>
  <c r="BY39" i="67"/>
  <c r="BZ68" i="40"/>
  <c r="BY74" i="40"/>
  <c r="BY76" i="40" s="1"/>
  <c r="BY12" i="11" l="1"/>
  <c r="BZ86" i="12"/>
  <c r="BY24" i="11" l="1"/>
  <c r="BY26" i="11" s="1"/>
  <c r="BY38" i="12"/>
  <c r="BY76" i="12" l="1"/>
  <c r="BY60" i="11"/>
  <c r="BY65" i="11" s="1"/>
  <c r="BY53" i="11"/>
  <c r="BY40" i="12"/>
  <c r="BY42" i="12" l="1"/>
  <c r="BY59" i="12"/>
  <c r="BY178" i="12"/>
  <c r="BY51" i="12"/>
  <c r="BY93" i="12"/>
  <c r="BY75" i="12"/>
  <c r="BY56" i="11"/>
  <c r="BY77" i="12"/>
  <c r="BY64" i="11"/>
  <c r="BY61" i="11"/>
  <c r="BY78" i="12" l="1"/>
  <c r="BY63" i="11"/>
  <c r="BY62" i="11"/>
  <c r="BY10" i="12"/>
  <c r="BZ55" i="11"/>
  <c r="BY15" i="12" l="1"/>
  <c r="BY47" i="12"/>
  <c r="BY48" i="12"/>
  <c r="BY63" i="12"/>
  <c r="BY64" i="12"/>
  <c r="BY181" i="12"/>
  <c r="BY57" i="11"/>
  <c r="BZ35" i="40"/>
  <c r="BZ36" i="40" s="1"/>
  <c r="BZ26" i="67" s="1"/>
  <c r="CA26" i="67" s="1"/>
  <c r="CA36" i="40" l="1"/>
  <c r="CA37" i="40" s="1"/>
  <c r="BY184" i="12"/>
  <c r="BY187" i="12" s="1"/>
  <c r="BY185" i="12"/>
  <c r="BY188" i="12" s="1"/>
  <c r="BY53" i="12" s="1"/>
  <c r="BY58" i="12"/>
  <c r="BY62" i="12"/>
  <c r="BY65" i="12"/>
  <c r="BY22" i="12"/>
  <c r="BY43" i="12" l="1"/>
  <c r="BY52" i="12"/>
  <c r="BZ25" i="67"/>
  <c r="BZ30" i="67" l="1"/>
  <c r="CA25" i="67"/>
  <c r="BZ31" i="67" l="1"/>
  <c r="CA30" i="67"/>
  <c r="CA31" i="67" l="1"/>
  <c r="CA32" i="67" s="1"/>
  <c r="BZ32" i="67"/>
  <c r="CA42" i="67" l="1"/>
  <c r="CA65" i="67"/>
  <c r="CA40" i="67"/>
  <c r="CA105" i="67"/>
  <c r="CA114" i="67" s="1"/>
  <c r="CA36" i="67"/>
  <c r="CA41" i="67"/>
  <c r="BZ65" i="67"/>
  <c r="BZ40" i="67"/>
  <c r="BZ105" i="67"/>
  <c r="BZ114" i="67" s="1"/>
  <c r="BZ36" i="67"/>
  <c r="BZ41" i="67"/>
  <c r="BZ42" i="67"/>
  <c r="BZ94" i="67"/>
  <c r="CA64" i="67"/>
  <c r="CA85" i="67" l="1"/>
  <c r="CA74" i="67"/>
  <c r="BZ69" i="40"/>
  <c r="BZ73" i="40" s="1"/>
  <c r="BZ74" i="40" s="1"/>
  <c r="BZ76" i="40" s="1"/>
  <c r="CA76" i="40" s="1"/>
  <c r="BZ38" i="67"/>
  <c r="BZ102" i="67"/>
  <c r="CA94" i="67"/>
  <c r="CA102" i="67" s="1"/>
  <c r="BZ74" i="67"/>
  <c r="CA38" i="67"/>
  <c r="CA88" i="12" l="1"/>
  <c r="CA92" i="12" s="1"/>
  <c r="CA39" i="67"/>
  <c r="BZ88" i="12"/>
  <c r="BZ92" i="12" s="1"/>
  <c r="BZ9" i="11"/>
  <c r="BZ39" i="67"/>
  <c r="CA141" i="12"/>
  <c r="CA142" i="12" s="1"/>
  <c r="CA143" i="12" s="1"/>
  <c r="CA144" i="12" s="1"/>
  <c r="CA138" i="12" s="1"/>
  <c r="CA165" i="12"/>
  <c r="CA166" i="12" s="1"/>
  <c r="CA167" i="12" s="1"/>
  <c r="CA168" i="12" l="1"/>
  <c r="BZ12" i="11"/>
  <c r="CA9" i="11"/>
  <c r="CA12" i="11" s="1"/>
  <c r="CC86" i="12"/>
  <c r="CG86" i="12"/>
  <c r="CA24" i="11" l="1"/>
  <c r="CA26" i="11" s="1"/>
  <c r="BZ24" i="11"/>
  <c r="BZ26" i="11" s="1"/>
  <c r="BZ38" i="12"/>
  <c r="CA38" i="12" l="1"/>
  <c r="BZ40" i="12"/>
  <c r="CA76" i="12"/>
  <c r="CA53" i="11"/>
  <c r="CA60" i="11"/>
  <c r="CA65" i="11" s="1"/>
  <c r="BZ76" i="12"/>
  <c r="BZ60" i="11"/>
  <c r="BZ65" i="11" s="1"/>
  <c r="BZ53" i="11"/>
  <c r="CA75" i="12" l="1"/>
  <c r="CA56" i="11"/>
  <c r="BZ75" i="12"/>
  <c r="BZ56" i="11"/>
  <c r="BZ10" i="12" s="1"/>
  <c r="BZ42" i="12"/>
  <c r="BZ59" i="12"/>
  <c r="BZ178" i="12"/>
  <c r="BZ51" i="12"/>
  <c r="BZ93" i="12"/>
  <c r="BZ77" i="12"/>
  <c r="BZ64" i="11"/>
  <c r="BZ61" i="11"/>
  <c r="CA77" i="12"/>
  <c r="CA61" i="11"/>
  <c r="CA64" i="11"/>
  <c r="CA40" i="12"/>
  <c r="BZ78" i="12" l="1"/>
  <c r="BZ63" i="11"/>
  <c r="BZ62" i="11"/>
  <c r="CA42" i="12"/>
  <c r="CA59" i="12"/>
  <c r="CA178" i="12"/>
  <c r="CA51" i="12"/>
  <c r="CA93" i="12"/>
  <c r="BZ48" i="12"/>
  <c r="BZ15" i="12"/>
  <c r="BZ47" i="12"/>
  <c r="BZ63" i="12"/>
  <c r="BZ64" i="12"/>
  <c r="BZ181" i="12"/>
  <c r="BZ184" i="12" s="1"/>
  <c r="BZ57" i="11"/>
  <c r="CC35" i="40"/>
  <c r="CA78" i="12"/>
  <c r="CA62" i="11"/>
  <c r="CA63" i="11"/>
  <c r="CA10" i="12"/>
  <c r="CC55" i="11"/>
  <c r="BZ187" i="12" l="1"/>
  <c r="CA187" i="12"/>
  <c r="BZ185" i="12"/>
  <c r="CG55" i="11"/>
  <c r="CC36" i="40"/>
  <c r="CC26" i="67" s="1"/>
  <c r="CG35" i="40"/>
  <c r="CA15" i="12"/>
  <c r="CA47" i="12"/>
  <c r="CA48" i="12"/>
  <c r="CA64" i="12"/>
  <c r="CA63" i="12"/>
  <c r="CA181" i="12"/>
  <c r="CA184" i="12" s="1"/>
  <c r="CA57" i="11"/>
  <c r="CC68" i="40"/>
  <c r="E98" i="69"/>
  <c r="E99" i="69" s="1"/>
  <c r="E102" i="69" s="1"/>
  <c r="BZ58" i="12"/>
  <c r="BZ65" i="12"/>
  <c r="BZ62" i="12"/>
  <c r="BZ22" i="12"/>
  <c r="CA185" i="12" l="1"/>
  <c r="CA65" i="12"/>
  <c r="CA62" i="12"/>
  <c r="CA22" i="12"/>
  <c r="BZ188" i="12"/>
  <c r="BZ53" i="12" s="1"/>
  <c r="CA188" i="12"/>
  <c r="CA53" i="12" s="1"/>
  <c r="BZ43" i="12"/>
  <c r="BZ52" i="12"/>
  <c r="CA58" i="12"/>
  <c r="CA43" i="12" l="1"/>
  <c r="CA52" i="12"/>
  <c r="CC25" i="67"/>
  <c r="CC30" i="67" l="1"/>
  <c r="CC31" i="67" l="1"/>
  <c r="CC32" i="67" l="1"/>
  <c r="CC36" i="67" l="1"/>
  <c r="CC41" i="67"/>
  <c r="CC42" i="67"/>
  <c r="CC94" i="67"/>
  <c r="CC65" i="67"/>
  <c r="CC40" i="67"/>
  <c r="CC105" i="67"/>
  <c r="CC114" i="67" s="1"/>
  <c r="CC74" i="67" l="1"/>
  <c r="CC69" i="40"/>
  <c r="CC73" i="40" s="1"/>
  <c r="CC38" i="67"/>
  <c r="CC102" i="67"/>
  <c r="CD68" i="40" l="1"/>
  <c r="CC74" i="40"/>
  <c r="CC76" i="40" s="1"/>
  <c r="CC88" i="12"/>
  <c r="CC92" i="12" s="1"/>
  <c r="CC9" i="11"/>
  <c r="CC39" i="67"/>
  <c r="CD86" i="12" l="1"/>
  <c r="CC12" i="11"/>
  <c r="CC24" i="11" l="1"/>
  <c r="CC26" i="11" s="1"/>
  <c r="CC38" i="12"/>
  <c r="CC40" i="12" l="1"/>
  <c r="CC76" i="12"/>
  <c r="CC53" i="11"/>
  <c r="CC60" i="11"/>
  <c r="CC65" i="11" s="1"/>
  <c r="CC77" i="12" l="1"/>
  <c r="CC61" i="11"/>
  <c r="CC64" i="11"/>
  <c r="CC75" i="12"/>
  <c r="CC56" i="11"/>
  <c r="CC42" i="12"/>
  <c r="CC59" i="12"/>
  <c r="CC178" i="12"/>
  <c r="CC51" i="12"/>
  <c r="CC93" i="12"/>
  <c r="CC10" i="12" l="1"/>
  <c r="CD55" i="11"/>
  <c r="CC78" i="12"/>
  <c r="CC62" i="11"/>
  <c r="CC63" i="11"/>
  <c r="CC15" i="12" l="1"/>
  <c r="CC47" i="12"/>
  <c r="CC48" i="12"/>
  <c r="CC63" i="12"/>
  <c r="CC64" i="12"/>
  <c r="CC181" i="12"/>
  <c r="CC57" i="11"/>
  <c r="CD35" i="40"/>
  <c r="CD36" i="40" s="1"/>
  <c r="CD26" i="67" s="1"/>
  <c r="CC65" i="12" l="1"/>
  <c r="CC62" i="12"/>
  <c r="CC22" i="12"/>
  <c r="CC185" i="12"/>
  <c r="CC188" i="12" s="1"/>
  <c r="CC53" i="12" s="1"/>
  <c r="CC184" i="12"/>
  <c r="CC187" i="12" s="1"/>
  <c r="CC58" i="12"/>
  <c r="CC43" i="12" l="1"/>
  <c r="CC52" i="12"/>
  <c r="CD25" i="67"/>
  <c r="CD30" i="67" l="1"/>
  <c r="CD31" i="67" l="1"/>
  <c r="CD32" i="67" s="1"/>
  <c r="CD40" i="67" l="1"/>
  <c r="CD105" i="67"/>
  <c r="CD114" i="67" s="1"/>
  <c r="CD36" i="67"/>
  <c r="CD41" i="67"/>
  <c r="CD42" i="67"/>
  <c r="CD94" i="67"/>
  <c r="CD65" i="67"/>
  <c r="CD69" i="40" l="1"/>
  <c r="CD73" i="40" s="1"/>
  <c r="CD38" i="67"/>
  <c r="CD102" i="67"/>
  <c r="CD74" i="67"/>
  <c r="CD88" i="12" l="1"/>
  <c r="CD92" i="12" s="1"/>
  <c r="CD9" i="11"/>
  <c r="CD39" i="67"/>
  <c r="CE68" i="40"/>
  <c r="CD74" i="40"/>
  <c r="CD76" i="40" s="1"/>
  <c r="CE86" i="12" l="1"/>
  <c r="CD12" i="11"/>
  <c r="CD24" i="11" l="1"/>
  <c r="CD26" i="11" s="1"/>
  <c r="CD38" i="12"/>
  <c r="CD76" i="12" l="1"/>
  <c r="CD60" i="11"/>
  <c r="CD65" i="11" s="1"/>
  <c r="CD53" i="11"/>
  <c r="CD40" i="12"/>
  <c r="CD75" i="12" l="1"/>
  <c r="CD56" i="11"/>
  <c r="CD42" i="12"/>
  <c r="CD59" i="12"/>
  <c r="CD178" i="12"/>
  <c r="CD51" i="12"/>
  <c r="CD93" i="12"/>
  <c r="CD77" i="12"/>
  <c r="CD64" i="11"/>
  <c r="CD61" i="11"/>
  <c r="CD78" i="12" l="1"/>
  <c r="CD63" i="11"/>
  <c r="CD62" i="11"/>
  <c r="CD10" i="12"/>
  <c r="CE55" i="11"/>
  <c r="CD15" i="12" l="1"/>
  <c r="CD47" i="12"/>
  <c r="CD48" i="12"/>
  <c r="CD63" i="12"/>
  <c r="CD64" i="12"/>
  <c r="CD181" i="12"/>
  <c r="CD57" i="11"/>
  <c r="CE35" i="40"/>
  <c r="CE36" i="40" s="1"/>
  <c r="CE26" i="67" s="1"/>
  <c r="CD184" i="12" l="1"/>
  <c r="CD187" i="12" s="1"/>
  <c r="CD185" i="12"/>
  <c r="CD188" i="12" s="1"/>
  <c r="CD53" i="12" s="1"/>
  <c r="CD58" i="12"/>
  <c r="CD62" i="12"/>
  <c r="CD65" i="12"/>
  <c r="CD22" i="12"/>
  <c r="CD43" i="12" l="1"/>
  <c r="CD52" i="12"/>
  <c r="CE25" i="67"/>
  <c r="CE30" i="67" l="1"/>
  <c r="CE31" i="67" l="1"/>
  <c r="CE32" i="67" l="1"/>
  <c r="CE65" i="67" l="1"/>
  <c r="CE40" i="67"/>
  <c r="CE105" i="67"/>
  <c r="CE114" i="67" s="1"/>
  <c r="CE36" i="67"/>
  <c r="CE41" i="67"/>
  <c r="CE42" i="67"/>
  <c r="CE94" i="67"/>
  <c r="CE69" i="40" l="1"/>
  <c r="CE73" i="40" s="1"/>
  <c r="CE38" i="67"/>
  <c r="CE102" i="67"/>
  <c r="CE74" i="67"/>
  <c r="CE88" i="12" l="1"/>
  <c r="CE92" i="12" s="1"/>
  <c r="CE9" i="11"/>
  <c r="CE39" i="67"/>
  <c r="CF68" i="40"/>
  <c r="CE74" i="40"/>
  <c r="CE76" i="40" s="1"/>
  <c r="CE12" i="11" l="1"/>
  <c r="CF86" i="12"/>
  <c r="CE24" i="11" l="1"/>
  <c r="CE26" i="11" s="1"/>
  <c r="CE38" i="12"/>
  <c r="CE76" i="12" l="1"/>
  <c r="CE60" i="11"/>
  <c r="CE65" i="11" s="1"/>
  <c r="CE53" i="11"/>
  <c r="CE40" i="12"/>
  <c r="CE75" i="12" l="1"/>
  <c r="CE56" i="11"/>
  <c r="CE42" i="12"/>
  <c r="CE59" i="12"/>
  <c r="CE178" i="12"/>
  <c r="CE51" i="12"/>
  <c r="CE93" i="12"/>
  <c r="CE77" i="12"/>
  <c r="CE64" i="11"/>
  <c r="CE61" i="11"/>
  <c r="CE78" i="12" l="1"/>
  <c r="CE63" i="11"/>
  <c r="CE62" i="11"/>
  <c r="CE10" i="12"/>
  <c r="CF55" i="11"/>
  <c r="CE48" i="12" l="1"/>
  <c r="CE15" i="12"/>
  <c r="CE47" i="12"/>
  <c r="CE63" i="12"/>
  <c r="CE64" i="12"/>
  <c r="CE57" i="11"/>
  <c r="CE181" i="12"/>
  <c r="CF35" i="40"/>
  <c r="CF36" i="40" s="1"/>
  <c r="CF26" i="67" s="1"/>
  <c r="CG26" i="67" s="1"/>
  <c r="CE58" i="12" l="1"/>
  <c r="CG36" i="40"/>
  <c r="CG37" i="40" s="1"/>
  <c r="CE185" i="12"/>
  <c r="CE188" i="12" s="1"/>
  <c r="CE53" i="12" s="1"/>
  <c r="CE184" i="12"/>
  <c r="CE187" i="12" s="1"/>
  <c r="CE65" i="12"/>
  <c r="CE62" i="12"/>
  <c r="CE22" i="12"/>
  <c r="CF25" i="67" l="1"/>
  <c r="CE43" i="12"/>
  <c r="CE52" i="12"/>
  <c r="CF30" i="67" l="1"/>
  <c r="CG25" i="67"/>
  <c r="CG30" i="67" s="1"/>
  <c r="CF31" i="67" l="1"/>
  <c r="CG31" i="67" l="1"/>
  <c r="CF32" i="67"/>
  <c r="CF42" i="67" l="1"/>
  <c r="CF94" i="67"/>
  <c r="CF65" i="67"/>
  <c r="CF40" i="67"/>
  <c r="CF105" i="67"/>
  <c r="CF114" i="67" s="1"/>
  <c r="CF36" i="67"/>
  <c r="CF41" i="67"/>
  <c r="CG64" i="67"/>
  <c r="CG85" i="67" s="1"/>
  <c r="CG32" i="67"/>
  <c r="CG36" i="67" l="1"/>
  <c r="CG41" i="67"/>
  <c r="CG42" i="67"/>
  <c r="CG65" i="67"/>
  <c r="CG40" i="67"/>
  <c r="CG105" i="67"/>
  <c r="CG114" i="67" s="1"/>
  <c r="CF69" i="40"/>
  <c r="CF73" i="40" s="1"/>
  <c r="CF74" i="40" s="1"/>
  <c r="CF76" i="40" s="1"/>
  <c r="CG76" i="40" s="1"/>
  <c r="CF38" i="67"/>
  <c r="CF102" i="67"/>
  <c r="CG94" i="67"/>
  <c r="CG102" i="67" s="1"/>
  <c r="CF74" i="67"/>
  <c r="CG165" i="12"/>
  <c r="CG166" i="12" s="1"/>
  <c r="CG167" i="12" s="1"/>
  <c r="CG141" i="12"/>
  <c r="CG142" i="12" s="1"/>
  <c r="CG143" i="12" s="1"/>
  <c r="CG144" i="12" s="1"/>
  <c r="CG138" i="12" s="1"/>
  <c r="CG168" i="12" l="1"/>
  <c r="CG74" i="67"/>
  <c r="CG38" i="67"/>
  <c r="CF88" i="12"/>
  <c r="CF92" i="12" s="1"/>
  <c r="CF9" i="11"/>
  <c r="CF39" i="67"/>
  <c r="CF12" i="11" l="1"/>
  <c r="CG9" i="11"/>
  <c r="CG12" i="11" s="1"/>
  <c r="CG24" i="11" s="1"/>
  <c r="CG26" i="11" s="1"/>
  <c r="CG88" i="12"/>
  <c r="CG92" i="12" s="1"/>
  <c r="CG39" i="67"/>
  <c r="CI86" i="12" l="1"/>
  <c r="CM86" i="12"/>
  <c r="CG76" i="12"/>
  <c r="CG53" i="11"/>
  <c r="CG60" i="11"/>
  <c r="CG65" i="11" s="1"/>
  <c r="CF24" i="11"/>
  <c r="CF26" i="11" s="1"/>
  <c r="CF38" i="12"/>
  <c r="CG75" i="12" l="1"/>
  <c r="CG56" i="11"/>
  <c r="CG38" i="12"/>
  <c r="CF40" i="12"/>
  <c r="CG77" i="12"/>
  <c r="CG61" i="11"/>
  <c r="CG64" i="11"/>
  <c r="CF76" i="12"/>
  <c r="CF53" i="11"/>
  <c r="CF60" i="11"/>
  <c r="CF65" i="11" s="1"/>
  <c r="CG40" i="12" l="1"/>
  <c r="CG78" i="12"/>
  <c r="CG62" i="11"/>
  <c r="CG63" i="11"/>
  <c r="CF75" i="12"/>
  <c r="CF56" i="11"/>
  <c r="CF10" i="12" s="1"/>
  <c r="CF77" i="12"/>
  <c r="CF61" i="11"/>
  <c r="CF64" i="11"/>
  <c r="CG10" i="12"/>
  <c r="CI55" i="11"/>
  <c r="CF42" i="12"/>
  <c r="CF59" i="12"/>
  <c r="CF178" i="12"/>
  <c r="CF51" i="12"/>
  <c r="CF93" i="12"/>
  <c r="CM55" i="11" l="1"/>
  <c r="CF15" i="12"/>
  <c r="CF47" i="12"/>
  <c r="CF48" i="12"/>
  <c r="CF64" i="12"/>
  <c r="CF63" i="12"/>
  <c r="CF181" i="12"/>
  <c r="CF185" i="12" s="1"/>
  <c r="CF57" i="11"/>
  <c r="CI35" i="40"/>
  <c r="CG15" i="12"/>
  <c r="CG47" i="12"/>
  <c r="CG48" i="12"/>
  <c r="CG63" i="12"/>
  <c r="CG64" i="12"/>
  <c r="CG181" i="12"/>
  <c r="CG57" i="11"/>
  <c r="CI68" i="40"/>
  <c r="CF78" i="12"/>
  <c r="CF62" i="11"/>
  <c r="CF63" i="11"/>
  <c r="CG42" i="12"/>
  <c r="CG59" i="12"/>
  <c r="CG178" i="12"/>
  <c r="CG51" i="12"/>
  <c r="CG93" i="12"/>
  <c r="CF184" i="12" l="1"/>
  <c r="CF187" i="12" s="1"/>
  <c r="CF58" i="12"/>
  <c r="CG58" i="12"/>
  <c r="CF65" i="12"/>
  <c r="CF62" i="12"/>
  <c r="CF22" i="12"/>
  <c r="CG184" i="12"/>
  <c r="CG185" i="12"/>
  <c r="CG65" i="12"/>
  <c r="CG62" i="12"/>
  <c r="CG22" i="12"/>
  <c r="CI36" i="40"/>
  <c r="CI26" i="67" s="1"/>
  <c r="CM35" i="40"/>
  <c r="CF188" i="12"/>
  <c r="CF53" i="12" s="1"/>
  <c r="CG188" i="12"/>
  <c r="CG53" i="12" s="1"/>
  <c r="CG187" i="12" l="1"/>
  <c r="CG43" i="12"/>
  <c r="CG52" i="12"/>
  <c r="CF43" i="12"/>
  <c r="CF52" i="12"/>
  <c r="CI25" i="67" l="1"/>
  <c r="CK12" i="13" l="1"/>
  <c r="CK37" i="13" s="1"/>
  <c r="CJ12" i="13"/>
  <c r="CJ37" i="13" s="1"/>
  <c r="CI12" i="13"/>
  <c r="CI37" i="13" s="1"/>
  <c r="CL12" i="13"/>
  <c r="CL37" i="13" s="1"/>
  <c r="CJ45" i="66"/>
  <c r="CK45" i="66"/>
  <c r="CL45" i="66"/>
  <c r="CI45" i="66"/>
  <c r="CK9" i="66" l="1"/>
  <c r="CM48" i="66"/>
  <c r="CI9" i="66"/>
  <c r="CJ9" i="66"/>
  <c r="CL9" i="66"/>
  <c r="CM9" i="66" l="1"/>
  <c r="CJ46" i="66"/>
  <c r="CJ11" i="66"/>
  <c r="CJ47" i="66" s="1"/>
  <c r="CJ50" i="66" s="1"/>
  <c r="CJ15" i="13" s="1"/>
  <c r="CJ15" i="66"/>
  <c r="CJ83" i="66" s="1"/>
  <c r="CJ9" i="67"/>
  <c r="CJ11" i="67" s="1"/>
  <c r="CK46" i="66"/>
  <c r="CK15" i="66"/>
  <c r="CK83" i="66" s="1"/>
  <c r="CK11" i="66"/>
  <c r="CK47" i="66" s="1"/>
  <c r="CK50" i="66" s="1"/>
  <c r="CK15" i="13" s="1"/>
  <c r="CK9" i="67"/>
  <c r="CK11" i="67" s="1"/>
  <c r="CM45" i="66"/>
  <c r="CL15" i="66"/>
  <c r="CL46" i="66"/>
  <c r="CL11" i="66"/>
  <c r="CL47" i="66" s="1"/>
  <c r="CL50" i="66" s="1"/>
  <c r="CL15" i="13" s="1"/>
  <c r="CL9" i="67"/>
  <c r="CL11" i="67" s="1"/>
  <c r="CI46" i="66"/>
  <c r="CI11" i="66"/>
  <c r="CI47" i="66" s="1"/>
  <c r="CI50" i="66" s="1"/>
  <c r="CI15" i="13" s="1"/>
  <c r="CI15" i="66"/>
  <c r="CI83" i="66" s="1"/>
  <c r="CI9" i="67"/>
  <c r="CM15" i="66" l="1"/>
  <c r="CM11" i="66"/>
  <c r="CL16" i="13"/>
  <c r="CL41" i="13" s="1"/>
  <c r="CL17" i="13"/>
  <c r="CL42" i="13" s="1"/>
  <c r="CK16" i="13"/>
  <c r="CK41" i="13" s="1"/>
  <c r="CK17" i="13"/>
  <c r="CK42" i="13" s="1"/>
  <c r="CJ16" i="13"/>
  <c r="CJ41" i="13" s="1"/>
  <c r="CJ17" i="13"/>
  <c r="CJ42" i="13" s="1"/>
  <c r="CI17" i="13"/>
  <c r="CI42" i="13" s="1"/>
  <c r="CI16" i="13"/>
  <c r="CI41" i="13" s="1"/>
  <c r="CM9" i="67"/>
  <c r="CI11" i="67"/>
  <c r="CL85" i="66"/>
  <c r="CL87" i="66"/>
  <c r="CL84" i="66"/>
  <c r="CL89" i="66"/>
  <c r="CL91" i="66"/>
  <c r="CL93" i="66"/>
  <c r="CL92" i="66"/>
  <c r="CL86" i="66"/>
  <c r="CL90" i="66"/>
  <c r="CL88" i="66"/>
  <c r="CL17" i="66"/>
  <c r="CK67" i="13"/>
  <c r="CK40" i="13"/>
  <c r="CJ67" i="67"/>
  <c r="CJ15" i="67"/>
  <c r="CJ13" i="12"/>
  <c r="CJ14" i="67"/>
  <c r="CJ139" i="12"/>
  <c r="CJ13" i="67"/>
  <c r="CJ11" i="12"/>
  <c r="CJ98" i="12"/>
  <c r="CJ29" i="11" s="1"/>
  <c r="CI92" i="66"/>
  <c r="CI87" i="66"/>
  <c r="CI88" i="66"/>
  <c r="CI89" i="66"/>
  <c r="CI93" i="66"/>
  <c r="CI90" i="66"/>
  <c r="CI91" i="66"/>
  <c r="CI85" i="66"/>
  <c r="CI86" i="66"/>
  <c r="CI17" i="66"/>
  <c r="CI84" i="66"/>
  <c r="CL67" i="67"/>
  <c r="CL13" i="12"/>
  <c r="CL15" i="67"/>
  <c r="CL14" i="67"/>
  <c r="CL139" i="12"/>
  <c r="CL11" i="12"/>
  <c r="CL98" i="12"/>
  <c r="CL29" i="11" s="1"/>
  <c r="CL13" i="67"/>
  <c r="CL83" i="66"/>
  <c r="CK88" i="66"/>
  <c r="CK91" i="66"/>
  <c r="CK85" i="66"/>
  <c r="CK92" i="66"/>
  <c r="CK86" i="66"/>
  <c r="CK90" i="66"/>
  <c r="CK89" i="66"/>
  <c r="CK93" i="66"/>
  <c r="CK84" i="66"/>
  <c r="CK17" i="66"/>
  <c r="CK87" i="66"/>
  <c r="CJ93" i="66"/>
  <c r="CJ87" i="66"/>
  <c r="CJ89" i="66"/>
  <c r="CJ88" i="66"/>
  <c r="CJ90" i="66"/>
  <c r="CJ91" i="66"/>
  <c r="CJ85" i="66"/>
  <c r="CJ86" i="66"/>
  <c r="CJ92" i="66"/>
  <c r="CJ84" i="66"/>
  <c r="CJ17" i="66"/>
  <c r="CI67" i="13"/>
  <c r="CI40" i="13"/>
  <c r="CL67" i="13"/>
  <c r="CL40" i="13"/>
  <c r="CM12" i="13"/>
  <c r="CM37" i="13" s="1"/>
  <c r="CJ40" i="13"/>
  <c r="CJ67" i="13"/>
  <c r="CK13" i="12"/>
  <c r="CK15" i="67"/>
  <c r="CK67" i="67"/>
  <c r="CK14" i="67"/>
  <c r="CK98" i="12"/>
  <c r="CK29" i="11" s="1"/>
  <c r="CK139" i="12"/>
  <c r="CK11" i="12"/>
  <c r="CK13" i="67"/>
  <c r="CK12" i="67" s="1"/>
  <c r="CM17" i="66" l="1"/>
  <c r="CM18" i="66" s="1"/>
  <c r="CM21" i="66" s="1"/>
  <c r="CM22" i="66" s="1"/>
  <c r="CM46" i="66"/>
  <c r="CM47" i="66"/>
  <c r="CM50" i="66" s="1"/>
  <c r="CM15" i="13" s="1"/>
  <c r="CM83" i="66"/>
  <c r="CL81" i="13"/>
  <c r="CL62" i="67"/>
  <c r="CL12" i="67"/>
  <c r="CL71" i="67"/>
  <c r="CL96" i="13"/>
  <c r="CL100" i="13" s="1"/>
  <c r="CI114" i="66"/>
  <c r="CI18" i="66"/>
  <c r="CJ33" i="11"/>
  <c r="CJ35" i="11" s="1"/>
  <c r="CJ70" i="67"/>
  <c r="CJ97" i="13"/>
  <c r="CJ101" i="13" s="1"/>
  <c r="CJ17" i="67"/>
  <c r="CJ18" i="67" s="1"/>
  <c r="CK62" i="67"/>
  <c r="CK70" i="67"/>
  <c r="CK97" i="13"/>
  <c r="CK101" i="13" s="1"/>
  <c r="CK17" i="67"/>
  <c r="CK18" i="67" s="1"/>
  <c r="CK71" i="67"/>
  <c r="CK96" i="13"/>
  <c r="CK100" i="13" s="1"/>
  <c r="CJ114" i="66"/>
  <c r="CJ18" i="66"/>
  <c r="CL33" i="11"/>
  <c r="CL35" i="11" s="1"/>
  <c r="CL97" i="13"/>
  <c r="CL101" i="13" s="1"/>
  <c r="CL70" i="67"/>
  <c r="CL17" i="67"/>
  <c r="CL18" i="67" s="1"/>
  <c r="CM13" i="12"/>
  <c r="CL147" i="12"/>
  <c r="CJ145" i="12"/>
  <c r="CK20" i="11"/>
  <c r="CK18" i="11"/>
  <c r="CJ147" i="12"/>
  <c r="CK81" i="13"/>
  <c r="CK145" i="12"/>
  <c r="CL20" i="11"/>
  <c r="CK69" i="67"/>
  <c r="CK12" i="12"/>
  <c r="CK55" i="67"/>
  <c r="CK27" i="12"/>
  <c r="CK25" i="12"/>
  <c r="CJ81" i="13"/>
  <c r="CM11" i="12"/>
  <c r="CL145" i="12"/>
  <c r="CJ62" i="67"/>
  <c r="CJ71" i="67"/>
  <c r="CJ96" i="13"/>
  <c r="CJ100" i="13" s="1"/>
  <c r="CL114" i="66"/>
  <c r="CL18" i="66"/>
  <c r="CI81" i="13"/>
  <c r="CK18" i="66"/>
  <c r="CK114" i="66"/>
  <c r="CJ12" i="67"/>
  <c r="CI67" i="67"/>
  <c r="CI15" i="67"/>
  <c r="CI13" i="12"/>
  <c r="CI139" i="12"/>
  <c r="CI159" i="12" s="1"/>
  <c r="CI98" i="12"/>
  <c r="CM11" i="67"/>
  <c r="CI11" i="12"/>
  <c r="CI13" i="67"/>
  <c r="CI12" i="67" s="1"/>
  <c r="CI14" i="67"/>
  <c r="CK147" i="12"/>
  <c r="CL18" i="11"/>
  <c r="CK33" i="11"/>
  <c r="CK35" i="11" s="1"/>
  <c r="CM69" i="12" l="1"/>
  <c r="CM17" i="13"/>
  <c r="CM42" i="13" s="1"/>
  <c r="CM16" i="13"/>
  <c r="CM41" i="13" s="1"/>
  <c r="CL73" i="67"/>
  <c r="CL57" i="12"/>
  <c r="CL63" i="67"/>
  <c r="CL104" i="13"/>
  <c r="CL105" i="13" s="1"/>
  <c r="CL59" i="67"/>
  <c r="CL146" i="67" s="1"/>
  <c r="CL140" i="12"/>
  <c r="CM145" i="12"/>
  <c r="CM40" i="13"/>
  <c r="CM67" i="13"/>
  <c r="CK109" i="66"/>
  <c r="CK105" i="66"/>
  <c r="CK107" i="66"/>
  <c r="CK108" i="66"/>
  <c r="CK106" i="66"/>
  <c r="CK110" i="66"/>
  <c r="CK112" i="66"/>
  <c r="CK113" i="66"/>
  <c r="CK111" i="66"/>
  <c r="CK154" i="12"/>
  <c r="CJ108" i="66"/>
  <c r="CJ110" i="66"/>
  <c r="CJ105" i="66"/>
  <c r="CJ106" i="66"/>
  <c r="CJ107" i="66"/>
  <c r="CJ109" i="66"/>
  <c r="CJ111" i="66"/>
  <c r="CJ112" i="66"/>
  <c r="CJ113" i="66"/>
  <c r="CL69" i="67"/>
  <c r="CL12" i="12"/>
  <c r="CL21" i="11" s="1"/>
  <c r="CL55" i="67"/>
  <c r="CL25" i="12"/>
  <c r="CL27" i="12"/>
  <c r="CI20" i="11"/>
  <c r="CJ20" i="11"/>
  <c r="CI145" i="12"/>
  <c r="CJ73" i="67"/>
  <c r="CJ63" i="67"/>
  <c r="CJ57" i="12"/>
  <c r="CJ104" i="13"/>
  <c r="CJ105" i="13" s="1"/>
  <c r="CJ140" i="12"/>
  <c r="CJ59" i="67"/>
  <c r="CJ146" i="67" s="1"/>
  <c r="CK146" i="12"/>
  <c r="CM67" i="67"/>
  <c r="CM139" i="12"/>
  <c r="CM159" i="12" s="1"/>
  <c r="CI70" i="67"/>
  <c r="CI97" i="13"/>
  <c r="CI101" i="13" s="1"/>
  <c r="CM14" i="67"/>
  <c r="CI17" i="67"/>
  <c r="CI18" i="67" s="1"/>
  <c r="CM98" i="12"/>
  <c r="CI29" i="11"/>
  <c r="CI102" i="12"/>
  <c r="CI147" i="12"/>
  <c r="CJ18" i="11"/>
  <c r="CI18" i="11"/>
  <c r="CJ69" i="67"/>
  <c r="CJ55" i="67"/>
  <c r="CJ12" i="12"/>
  <c r="CJ27" i="12"/>
  <c r="CJ25" i="12"/>
  <c r="CK22" i="11" s="1"/>
  <c r="CK21" i="66"/>
  <c r="CL21" i="66"/>
  <c r="CM147" i="12"/>
  <c r="CM81" i="12"/>
  <c r="CK72" i="67"/>
  <c r="CK92" i="67"/>
  <c r="CJ72" i="67"/>
  <c r="CJ92" i="67"/>
  <c r="CI69" i="67"/>
  <c r="CI55" i="67"/>
  <c r="CM12" i="67"/>
  <c r="CI25" i="12"/>
  <c r="CI12" i="12"/>
  <c r="CI27" i="12"/>
  <c r="CK29" i="12"/>
  <c r="CK153" i="12"/>
  <c r="CJ21" i="66"/>
  <c r="CI110" i="66"/>
  <c r="CI107" i="66"/>
  <c r="CI106" i="66"/>
  <c r="CI109" i="66"/>
  <c r="CI111" i="66"/>
  <c r="CI113" i="66"/>
  <c r="CI108" i="66"/>
  <c r="CI105" i="66"/>
  <c r="CI112" i="66"/>
  <c r="CI62" i="67"/>
  <c r="CI71" i="67"/>
  <c r="CM15" i="67"/>
  <c r="CI96" i="13"/>
  <c r="CI100" i="13" s="1"/>
  <c r="CL112" i="66"/>
  <c r="CL108" i="66"/>
  <c r="CL111" i="66"/>
  <c r="CL107" i="66"/>
  <c r="CL110" i="66"/>
  <c r="CL106" i="66"/>
  <c r="CL105" i="66"/>
  <c r="CL113" i="66"/>
  <c r="CL109" i="66"/>
  <c r="CL72" i="67"/>
  <c r="CL92" i="67"/>
  <c r="CK73" i="67"/>
  <c r="CK63" i="67"/>
  <c r="CK57" i="12"/>
  <c r="CK104" i="13"/>
  <c r="CK105" i="13" s="1"/>
  <c r="CK59" i="67"/>
  <c r="CK146" i="67" s="1"/>
  <c r="CK140" i="12"/>
  <c r="CI21" i="66"/>
  <c r="CM90" i="66"/>
  <c r="CM89" i="66"/>
  <c r="CM86" i="66"/>
  <c r="CM84" i="66"/>
  <c r="CM87" i="66"/>
  <c r="CM88" i="66"/>
  <c r="CM92" i="66"/>
  <c r="CM91" i="66"/>
  <c r="CM93" i="66"/>
  <c r="CM85" i="66"/>
  <c r="CK156" i="12" l="1"/>
  <c r="CK142" i="12"/>
  <c r="CK143" i="12" s="1"/>
  <c r="CK144" i="12" s="1"/>
  <c r="CI154" i="12"/>
  <c r="CI23" i="11"/>
  <c r="CJ22" i="67"/>
  <c r="CJ15" i="11"/>
  <c r="CL68" i="67"/>
  <c r="CL22" i="66"/>
  <c r="CL152" i="67"/>
  <c r="CL26" i="13"/>
  <c r="CI68" i="67"/>
  <c r="CI152" i="67"/>
  <c r="CI26" i="13"/>
  <c r="CI22" i="66"/>
  <c r="CL22" i="67"/>
  <c r="CL15" i="11"/>
  <c r="CJ68" i="67"/>
  <c r="CJ22" i="66"/>
  <c r="CJ26" i="13"/>
  <c r="CJ152" i="67"/>
  <c r="CK33" i="12"/>
  <c r="CM55" i="67"/>
  <c r="CM69" i="67"/>
  <c r="CJ146" i="12"/>
  <c r="CK21" i="11"/>
  <c r="CM18" i="11"/>
  <c r="CI33" i="11"/>
  <c r="CI35" i="11" s="1"/>
  <c r="CM29" i="11"/>
  <c r="CM13" i="67"/>
  <c r="CJ142" i="12"/>
  <c r="CJ143" i="12" s="1"/>
  <c r="CJ144" i="12" s="1"/>
  <c r="CL146" i="12"/>
  <c r="CM12" i="12"/>
  <c r="CM70" i="12" s="1"/>
  <c r="CM81" i="13"/>
  <c r="CL166" i="12"/>
  <c r="CL167" i="12" s="1"/>
  <c r="CJ153" i="12"/>
  <c r="CJ29" i="12"/>
  <c r="CJ22" i="11"/>
  <c r="CM102" i="12"/>
  <c r="CM99" i="12"/>
  <c r="CL154" i="12"/>
  <c r="CL23" i="11"/>
  <c r="CM27" i="12"/>
  <c r="CM114" i="66"/>
  <c r="CK166" i="12"/>
  <c r="CK167" i="12" s="1"/>
  <c r="CM58" i="67"/>
  <c r="CM71" i="67"/>
  <c r="CM96" i="13"/>
  <c r="CM100" i="13" s="1"/>
  <c r="CI63" i="67"/>
  <c r="CI57" i="12"/>
  <c r="CM149" i="67"/>
  <c r="CI73" i="67"/>
  <c r="CI104" i="13"/>
  <c r="CI105" i="13" s="1"/>
  <c r="CI59" i="67"/>
  <c r="CI146" i="67" s="1"/>
  <c r="CI140" i="12"/>
  <c r="CI30" i="67"/>
  <c r="CM148" i="67"/>
  <c r="CJ21" i="11"/>
  <c r="CI146" i="12"/>
  <c r="CI21" i="11"/>
  <c r="CI72" i="67"/>
  <c r="CI92" i="67"/>
  <c r="CJ166" i="12"/>
  <c r="CJ167" i="12" s="1"/>
  <c r="CM20" i="11"/>
  <c r="CL22" i="11"/>
  <c r="CL153" i="12"/>
  <c r="CM25" i="12"/>
  <c r="CM71" i="12" s="1"/>
  <c r="CL29" i="12"/>
  <c r="CL142" i="12"/>
  <c r="CL143" i="12" s="1"/>
  <c r="CL144" i="12" s="1"/>
  <c r="CL147" i="67"/>
  <c r="CL150" i="67"/>
  <c r="CK147" i="67"/>
  <c r="CK150" i="67"/>
  <c r="CK22" i="67"/>
  <c r="CK15" i="11"/>
  <c r="CI22" i="11"/>
  <c r="CI29" i="12"/>
  <c r="CI153" i="12"/>
  <c r="CK68" i="67"/>
  <c r="CK22" i="66"/>
  <c r="CK152" i="67"/>
  <c r="CK26" i="13"/>
  <c r="CJ23" i="11"/>
  <c r="CJ154" i="12"/>
  <c r="CJ97" i="12"/>
  <c r="CI110" i="12"/>
  <c r="CI16" i="12" s="1"/>
  <c r="CM70" i="67"/>
  <c r="CM57" i="67"/>
  <c r="CM97" i="13"/>
  <c r="CM101" i="13" s="1"/>
  <c r="CM17" i="67"/>
  <c r="CJ150" i="67"/>
  <c r="CJ147" i="67"/>
  <c r="CK23" i="11"/>
  <c r="CI156" i="12" l="1"/>
  <c r="CM72" i="12"/>
  <c r="CK29" i="13"/>
  <c r="CK28" i="13"/>
  <c r="CK51" i="13" s="1"/>
  <c r="CI29" i="13"/>
  <c r="CI28" i="13"/>
  <c r="CI51" i="13" s="1"/>
  <c r="CL29" i="13"/>
  <c r="CL28" i="13"/>
  <c r="CL51" i="13" s="1"/>
  <c r="CJ28" i="13"/>
  <c r="CJ51" i="13" s="1"/>
  <c r="CJ29" i="13"/>
  <c r="CM21" i="11"/>
  <c r="CL168" i="12"/>
  <c r="CJ168" i="12"/>
  <c r="CM72" i="67"/>
  <c r="CK27" i="13"/>
  <c r="CL151" i="67"/>
  <c r="CL19" i="11"/>
  <c r="CI22" i="67"/>
  <c r="CM92" i="67"/>
  <c r="CM93" i="67" s="1"/>
  <c r="CI15" i="11"/>
  <c r="CI166" i="12"/>
  <c r="CI167" i="12" s="1"/>
  <c r="CK78" i="13"/>
  <c r="CK50" i="13"/>
  <c r="CK102" i="13"/>
  <c r="CM22" i="11"/>
  <c r="CM153" i="12"/>
  <c r="CM29" i="12"/>
  <c r="CI31" i="67"/>
  <c r="CI32" i="67" s="1"/>
  <c r="CI150" i="67"/>
  <c r="CI153" i="67" s="1"/>
  <c r="CI147" i="67"/>
  <c r="CK168" i="12"/>
  <c r="CM154" i="12"/>
  <c r="CM82" i="12"/>
  <c r="CJ19" i="11"/>
  <c r="CJ105" i="12"/>
  <c r="CJ102" i="12"/>
  <c r="CK153" i="67"/>
  <c r="CL156" i="12"/>
  <c r="CI142" i="12"/>
  <c r="CI143" i="12" s="1"/>
  <c r="CI144" i="12" s="1"/>
  <c r="CI138" i="12" s="1"/>
  <c r="CJ156" i="12"/>
  <c r="CK19" i="11"/>
  <c r="CJ153" i="67"/>
  <c r="CI50" i="13"/>
  <c r="CI78" i="13"/>
  <c r="CI102" i="13"/>
  <c r="CL50" i="13"/>
  <c r="CL78" i="13"/>
  <c r="CL102" i="13"/>
  <c r="CI19" i="11"/>
  <c r="CM62" i="67"/>
  <c r="CM56" i="67"/>
  <c r="CM18" i="67"/>
  <c r="CJ50" i="13"/>
  <c r="CJ102" i="13"/>
  <c r="CJ78" i="13"/>
  <c r="CL153" i="67"/>
  <c r="CI33" i="12"/>
  <c r="CL33" i="12"/>
  <c r="CM146" i="12"/>
  <c r="CI71" i="40"/>
  <c r="CJ71" i="40" s="1"/>
  <c r="CK71" i="40" s="1"/>
  <c r="CL71" i="40" s="1"/>
  <c r="CM33" i="11"/>
  <c r="CM35" i="11" s="1"/>
  <c r="CJ27" i="13"/>
  <c r="CM108" i="66"/>
  <c r="CM109" i="66"/>
  <c r="CM105" i="66"/>
  <c r="CM112" i="66"/>
  <c r="CM113" i="66"/>
  <c r="CM110" i="66"/>
  <c r="CM106" i="66"/>
  <c r="CM111" i="66"/>
  <c r="CM107" i="66"/>
  <c r="CJ151" i="67"/>
  <c r="CI148" i="12"/>
  <c r="CI151" i="12" s="1"/>
  <c r="CK151" i="67"/>
  <c r="CJ33" i="12"/>
  <c r="CI27" i="13"/>
  <c r="CL27" i="13"/>
  <c r="CM23" i="11"/>
  <c r="CJ52" i="13" l="1"/>
  <c r="CI52" i="13"/>
  <c r="CL52" i="13"/>
  <c r="CK52" i="13"/>
  <c r="CI158" i="12"/>
  <c r="CJ159" i="12" s="1"/>
  <c r="CJ138" i="12" s="1"/>
  <c r="CM19" i="11"/>
  <c r="CI168" i="12"/>
  <c r="CI65" i="67"/>
  <c r="CI42" i="67"/>
  <c r="CI40" i="67"/>
  <c r="CI105" i="67"/>
  <c r="CI114" i="67" s="1"/>
  <c r="CI41" i="67"/>
  <c r="CI36" i="67"/>
  <c r="CI94" i="67"/>
  <c r="CJ92" i="13"/>
  <c r="CI154" i="67"/>
  <c r="CK154" i="67"/>
  <c r="CI151" i="67"/>
  <c r="CM156" i="12"/>
  <c r="CM22" i="67"/>
  <c r="CI23" i="67"/>
  <c r="CI24" i="67" s="1"/>
  <c r="CL92" i="13"/>
  <c r="CI92" i="13"/>
  <c r="CM57" i="12"/>
  <c r="CM63" i="67"/>
  <c r="CM65" i="40"/>
  <c r="CM73" i="67"/>
  <c r="CM59" i="67"/>
  <c r="CM146" i="67" s="1"/>
  <c r="CM104" i="13"/>
  <c r="CM105" i="13" s="1"/>
  <c r="CM140" i="12"/>
  <c r="CK97" i="12"/>
  <c r="CK92" i="13"/>
  <c r="CM15" i="11"/>
  <c r="CI37" i="12"/>
  <c r="CM26" i="13"/>
  <c r="CM152" i="67"/>
  <c r="CM68" i="67"/>
  <c r="CL154" i="67"/>
  <c r="CJ154" i="67"/>
  <c r="CJ14" i="11"/>
  <c r="CJ108" i="12"/>
  <c r="CK104" i="12" s="1"/>
  <c r="CM33" i="12"/>
  <c r="CM29" i="13" l="1"/>
  <c r="CM28" i="13"/>
  <c r="CM51" i="13" s="1"/>
  <c r="CJ110" i="12"/>
  <c r="CJ16" i="12" s="1"/>
  <c r="CJ148" i="12" s="1"/>
  <c r="CJ151" i="12" s="1"/>
  <c r="CJ158" i="12" s="1"/>
  <c r="CK159" i="12" s="1"/>
  <c r="CL60" i="67"/>
  <c r="CI69" i="40"/>
  <c r="CI73" i="40" s="1"/>
  <c r="CI38" i="67"/>
  <c r="CK105" i="12"/>
  <c r="CK108" i="12" s="1"/>
  <c r="CL104" i="12" s="1"/>
  <c r="CK102" i="12"/>
  <c r="CK60" i="67"/>
  <c r="CJ19" i="67"/>
  <c r="CM78" i="13"/>
  <c r="CM102" i="13"/>
  <c r="CM50" i="13"/>
  <c r="CI74" i="67"/>
  <c r="CM27" i="13"/>
  <c r="CJ60" i="67"/>
  <c r="CI60" i="67"/>
  <c r="CJ37" i="12"/>
  <c r="CI87" i="12"/>
  <c r="CM150" i="67"/>
  <c r="CM147" i="67"/>
  <c r="CI61" i="67"/>
  <c r="CI56" i="12"/>
  <c r="CI102" i="67"/>
  <c r="CM52" i="13" l="1"/>
  <c r="CJ20" i="67"/>
  <c r="CI39" i="67"/>
  <c r="CI88" i="12"/>
  <c r="CI92" i="12" s="1"/>
  <c r="CI9" i="11"/>
  <c r="CJ87" i="12"/>
  <c r="CK37" i="12"/>
  <c r="CJ68" i="40"/>
  <c r="CI74" i="40"/>
  <c r="CI76" i="40" s="1"/>
  <c r="CM151" i="67"/>
  <c r="CL97" i="12"/>
  <c r="CK110" i="12"/>
  <c r="CK16" i="12" s="1"/>
  <c r="CK138" i="12"/>
  <c r="CM153" i="67"/>
  <c r="CM92" i="13"/>
  <c r="CK14" i="11"/>
  <c r="CJ86" i="12" l="1"/>
  <c r="CM154" i="67"/>
  <c r="CL105" i="12"/>
  <c r="CL102" i="12"/>
  <c r="CK148" i="12"/>
  <c r="CK151" i="12" s="1"/>
  <c r="CK158" i="12" s="1"/>
  <c r="CL159" i="12" s="1"/>
  <c r="CK19" i="67"/>
  <c r="CI12" i="11"/>
  <c r="CJ70" i="40"/>
  <c r="CJ23" i="67"/>
  <c r="CJ24" i="67" s="1"/>
  <c r="CK87" i="12"/>
  <c r="CL37" i="12"/>
  <c r="CK20" i="67" l="1"/>
  <c r="CI38" i="12"/>
  <c r="CI24" i="11"/>
  <c r="CI26" i="11" s="1"/>
  <c r="CM60" i="67"/>
  <c r="CM37" i="12"/>
  <c r="CL87" i="12"/>
  <c r="CJ56" i="12"/>
  <c r="CJ61" i="67"/>
  <c r="CL138" i="12"/>
  <c r="CL14" i="11"/>
  <c r="CL108" i="12"/>
  <c r="CL110" i="12" s="1"/>
  <c r="CL16" i="12" s="1"/>
  <c r="CM105" i="12"/>
  <c r="CL19" i="67" l="1"/>
  <c r="CM14" i="11"/>
  <c r="CM19" i="67" s="1"/>
  <c r="CI60" i="11"/>
  <c r="CI65" i="11" s="1"/>
  <c r="CI76" i="12"/>
  <c r="CI53" i="11"/>
  <c r="CL148" i="12"/>
  <c r="CL151" i="12" s="1"/>
  <c r="CL158" i="12" s="1"/>
  <c r="CM16" i="12"/>
  <c r="CM87" i="12"/>
  <c r="CI40" i="12"/>
  <c r="CM106" i="12"/>
  <c r="CM108" i="12"/>
  <c r="CM110" i="12" s="1"/>
  <c r="CK70" i="40"/>
  <c r="CK23" i="67"/>
  <c r="CK24" i="67" s="1"/>
  <c r="CI77" i="12" l="1"/>
  <c r="CI64" i="11"/>
  <c r="CI61" i="11"/>
  <c r="CL20" i="67"/>
  <c r="CK56" i="12"/>
  <c r="CK61" i="67"/>
  <c r="CI42" i="12"/>
  <c r="CI59" i="12"/>
  <c r="CI178" i="12"/>
  <c r="CI51" i="12"/>
  <c r="CI93" i="12"/>
  <c r="CI75" i="12"/>
  <c r="CI56" i="11"/>
  <c r="CM148" i="12"/>
  <c r="CM151" i="12" s="1"/>
  <c r="CM158" i="12" s="1"/>
  <c r="CL23" i="67" l="1"/>
  <c r="CL24" i="67" s="1"/>
  <c r="CL70" i="40"/>
  <c r="CM20" i="67"/>
  <c r="CJ55" i="11"/>
  <c r="CI10" i="12"/>
  <c r="CI63" i="11"/>
  <c r="CI78" i="12"/>
  <c r="CI62" i="11"/>
  <c r="CI181" i="12" l="1"/>
  <c r="CI57" i="11"/>
  <c r="CI63" i="12"/>
  <c r="CI64" i="12"/>
  <c r="CI47" i="12"/>
  <c r="CI15" i="12"/>
  <c r="CI48" i="12"/>
  <c r="CJ35" i="40"/>
  <c r="CJ36" i="40" s="1"/>
  <c r="CJ26" i="67" s="1"/>
  <c r="CL56" i="12"/>
  <c r="CL61" i="67"/>
  <c r="CM23" i="67"/>
  <c r="CM24" i="67" s="1"/>
  <c r="CM56" i="12" l="1"/>
  <c r="CM61" i="67"/>
  <c r="CI62" i="12"/>
  <c r="CI65" i="12"/>
  <c r="CI22" i="12"/>
  <c r="CI58" i="12"/>
  <c r="CI184" i="12"/>
  <c r="CI187" i="12" s="1"/>
  <c r="CI185" i="12"/>
  <c r="CI188" i="12" s="1"/>
  <c r="CI53" i="12" s="1"/>
  <c r="CJ25" i="67" l="1"/>
  <c r="CI52" i="12"/>
  <c r="CI43" i="12"/>
  <c r="CJ30" i="67" l="1"/>
  <c r="CJ31" i="67" l="1"/>
  <c r="CJ32" i="67" s="1"/>
  <c r="CJ41" i="67" l="1"/>
  <c r="CJ65" i="67"/>
  <c r="CJ42" i="67"/>
  <c r="CJ40" i="67"/>
  <c r="CJ94" i="67"/>
  <c r="CJ105" i="67"/>
  <c r="CJ114" i="67" s="1"/>
  <c r="CJ36" i="67"/>
  <c r="CJ102" i="67" l="1"/>
  <c r="CJ74" i="67"/>
  <c r="CJ69" i="40"/>
  <c r="CJ73" i="40" s="1"/>
  <c r="CJ38" i="67"/>
  <c r="CK68" i="40" l="1"/>
  <c r="CJ74" i="40"/>
  <c r="CJ76" i="40" s="1"/>
  <c r="CJ88" i="12"/>
  <c r="CJ92" i="12" s="1"/>
  <c r="CJ39" i="67"/>
  <c r="CJ9" i="11"/>
  <c r="CK86" i="12" l="1"/>
  <c r="CJ12" i="11"/>
  <c r="CJ24" i="11" l="1"/>
  <c r="CJ26" i="11" s="1"/>
  <c r="CJ38" i="12"/>
  <c r="CJ76" i="12" l="1"/>
  <c r="CJ60" i="11"/>
  <c r="CJ65" i="11" s="1"/>
  <c r="CJ53" i="11"/>
  <c r="CJ40" i="12"/>
  <c r="CJ75" i="12" l="1"/>
  <c r="CJ56" i="11"/>
  <c r="CJ42" i="12"/>
  <c r="CJ59" i="12"/>
  <c r="CJ178" i="12"/>
  <c r="CJ51" i="12"/>
  <c r="CJ93" i="12"/>
  <c r="CJ64" i="11"/>
  <c r="CJ77" i="12"/>
  <c r="CJ61" i="11"/>
  <c r="CK55" i="11" l="1"/>
  <c r="CJ10" i="12"/>
  <c r="CJ63" i="11"/>
  <c r="CJ78" i="12"/>
  <c r="CJ62" i="11"/>
  <c r="CJ64" i="12" l="1"/>
  <c r="CJ181" i="12"/>
  <c r="CJ57" i="11"/>
  <c r="CJ47" i="12"/>
  <c r="CK35" i="40"/>
  <c r="CK36" i="40" s="1"/>
  <c r="CK26" i="67" s="1"/>
  <c r="CJ63" i="12"/>
  <c r="CJ15" i="12"/>
  <c r="CJ48" i="12"/>
  <c r="CJ62" i="12" l="1"/>
  <c r="CJ65" i="12"/>
  <c r="CJ22" i="12"/>
  <c r="CJ58" i="12"/>
  <c r="CJ185" i="12"/>
  <c r="CJ188" i="12" s="1"/>
  <c r="CJ53" i="12" s="1"/>
  <c r="CJ184" i="12"/>
  <c r="CJ187" i="12" s="1"/>
  <c r="CK25" i="67" l="1"/>
  <c r="CJ43" i="12"/>
  <c r="CJ52" i="12"/>
  <c r="CK30" i="67" l="1"/>
  <c r="CK31" i="67" l="1"/>
  <c r="CK32" i="67" s="1"/>
  <c r="CK105" i="67" l="1"/>
  <c r="CK114" i="67" s="1"/>
  <c r="CK36" i="67"/>
  <c r="CK42" i="67"/>
  <c r="CK40" i="67"/>
  <c r="CK65" i="67"/>
  <c r="CK94" i="67"/>
  <c r="CK41" i="67"/>
  <c r="CK74" i="67" l="1"/>
  <c r="CK102" i="67"/>
  <c r="CK69" i="40"/>
  <c r="CK73" i="40" s="1"/>
  <c r="CK38" i="67"/>
  <c r="CL68" i="40" l="1"/>
  <c r="CK74" i="40"/>
  <c r="CK76" i="40" s="1"/>
  <c r="CK9" i="11"/>
  <c r="CK88" i="12"/>
  <c r="CK92" i="12" s="1"/>
  <c r="CK39" i="67"/>
  <c r="CL86" i="12" l="1"/>
  <c r="CK12" i="11"/>
  <c r="CK24" i="11" l="1"/>
  <c r="CK26" i="11" s="1"/>
  <c r="CK38" i="12"/>
  <c r="CK76" i="12" l="1"/>
  <c r="CK60" i="11"/>
  <c r="CK65" i="11" s="1"/>
  <c r="CK53" i="11"/>
  <c r="CK40" i="12"/>
  <c r="CK75" i="12" l="1"/>
  <c r="CK56" i="11"/>
  <c r="CK77" i="12"/>
  <c r="CK61" i="11"/>
  <c r="CK64" i="11"/>
  <c r="CK42" i="12"/>
  <c r="CK178" i="12"/>
  <c r="CK59" i="12"/>
  <c r="CK51" i="12"/>
  <c r="CK93" i="12"/>
  <c r="CK63" i="11" l="1"/>
  <c r="CK62" i="11"/>
  <c r="CK78" i="12"/>
  <c r="CL55" i="11"/>
  <c r="CK10" i="12"/>
  <c r="CK57" i="11" l="1"/>
  <c r="CK48" i="12"/>
  <c r="CK15" i="12"/>
  <c r="CK64" i="12"/>
  <c r="CK181" i="12"/>
  <c r="CK63" i="12"/>
  <c r="CK47" i="12"/>
  <c r="CL35" i="40"/>
  <c r="CL36" i="40" s="1"/>
  <c r="CL26" i="67" s="1"/>
  <c r="CM26" i="67" s="1"/>
  <c r="CM36" i="40" l="1"/>
  <c r="CM37" i="40" s="1"/>
  <c r="CK58" i="12"/>
  <c r="CK62" i="12"/>
  <c r="CK65" i="12"/>
  <c r="CK22" i="12"/>
  <c r="CK184" i="12"/>
  <c r="CK187" i="12" s="1"/>
  <c r="CK185" i="12"/>
  <c r="CK188" i="12" s="1"/>
  <c r="CK53" i="12" s="1"/>
  <c r="CL25" i="67" l="1"/>
  <c r="CK43" i="12"/>
  <c r="CK52" i="12"/>
  <c r="CL30" i="67" l="1"/>
  <c r="CM25" i="67"/>
  <c r="CM30" i="67" s="1"/>
  <c r="CL31" i="67" l="1"/>
  <c r="CM31" i="67" l="1"/>
  <c r="CL32" i="67"/>
  <c r="CL65" i="67" l="1"/>
  <c r="CL42" i="67"/>
  <c r="CL105" i="67"/>
  <c r="CL114" i="67" s="1"/>
  <c r="CL40" i="67"/>
  <c r="CL41" i="67"/>
  <c r="CL36" i="67"/>
  <c r="CL94" i="67"/>
  <c r="CM64" i="67"/>
  <c r="CM85" i="67" s="1"/>
  <c r="CM32" i="67"/>
  <c r="CL74" i="67" l="1"/>
  <c r="CL102" i="67"/>
  <c r="CM94" i="67"/>
  <c r="CM102" i="67" s="1"/>
  <c r="CM105" i="67"/>
  <c r="CM114" i="67" s="1"/>
  <c r="CM42" i="67"/>
  <c r="CM41" i="67"/>
  <c r="CM36" i="67"/>
  <c r="CM65" i="67"/>
  <c r="CM40" i="67"/>
  <c r="CL69" i="40"/>
  <c r="CL73" i="40" s="1"/>
  <c r="CL74" i="40" s="1"/>
  <c r="CL76" i="40" s="1"/>
  <c r="CM76" i="40" s="1"/>
  <c r="CL38" i="67"/>
  <c r="CM165" i="12"/>
  <c r="CM166" i="12" s="1"/>
  <c r="CM167" i="12" s="1"/>
  <c r="CM141" i="12"/>
  <c r="CM142" i="12" s="1"/>
  <c r="CM143" i="12" s="1"/>
  <c r="CM144" i="12" s="1"/>
  <c r="CM138" i="12" s="1"/>
  <c r="CM38" i="67" l="1"/>
  <c r="CM168" i="12"/>
  <c r="CL39" i="67"/>
  <c r="CL88" i="12"/>
  <c r="CL92" i="12" s="1"/>
  <c r="CL9" i="11"/>
  <c r="CM74" i="67"/>
  <c r="CM39" i="67" l="1"/>
  <c r="CM88" i="12"/>
  <c r="CM92" i="12" s="1"/>
  <c r="CL12" i="11"/>
  <c r="CM9" i="11"/>
  <c r="CM12" i="11" s="1"/>
  <c r="CM24" i="11" s="1"/>
  <c r="CM26" i="11" s="1"/>
  <c r="CL24" i="11" l="1"/>
  <c r="CL26" i="11" s="1"/>
  <c r="CL38" i="12"/>
  <c r="CM76" i="12"/>
  <c r="CM60" i="11"/>
  <c r="CM65" i="11" s="1"/>
  <c r="CM53" i="11"/>
  <c r="CM75" i="12" l="1"/>
  <c r="CM56" i="11"/>
  <c r="CM10" i="12" s="1"/>
  <c r="CL76" i="12"/>
  <c r="CL60" i="11"/>
  <c r="CL65" i="11" s="1"/>
  <c r="CL53" i="11"/>
  <c r="CM77" i="12"/>
  <c r="CM64" i="11"/>
  <c r="CM61" i="11"/>
  <c r="CM38" i="12"/>
  <c r="CM40" i="12" s="1"/>
  <c r="CL40" i="12"/>
  <c r="CL77" i="12" l="1"/>
  <c r="CL64" i="11"/>
  <c r="CL61" i="11"/>
  <c r="CM78" i="12"/>
  <c r="CM63" i="11"/>
  <c r="CM62" i="11"/>
  <c r="CL56" i="11"/>
  <c r="CL10" i="12" s="1"/>
  <c r="CL75" i="12"/>
  <c r="CL42" i="12"/>
  <c r="CL59" i="12"/>
  <c r="CL178" i="12"/>
  <c r="CL51" i="12"/>
  <c r="CL93" i="12"/>
  <c r="CM57" i="11"/>
  <c r="CM47" i="12"/>
  <c r="CM64" i="12"/>
  <c r="CM63" i="12"/>
  <c r="CM181" i="12"/>
  <c r="CM48" i="12"/>
  <c r="CM15" i="12"/>
  <c r="CM42" i="12"/>
  <c r="CM59" i="12"/>
  <c r="CM178" i="12"/>
  <c r="CM51" i="12"/>
  <c r="CM93" i="12"/>
  <c r="CM62" i="12" l="1"/>
  <c r="CM65" i="12"/>
  <c r="CM22" i="12"/>
  <c r="CL63" i="12"/>
  <c r="CL57" i="11"/>
  <c r="CL48" i="12"/>
  <c r="CL47" i="12"/>
  <c r="CL15" i="12"/>
  <c r="CL181" i="12"/>
  <c r="CL184" i="12" s="1"/>
  <c r="CL64" i="12"/>
  <c r="CL63" i="11"/>
  <c r="CL78" i="12"/>
  <c r="CL62" i="11"/>
  <c r="CM184" i="12"/>
  <c r="CM185" i="12"/>
  <c r="CM58" i="12"/>
  <c r="CL185" i="12" l="1"/>
  <c r="CL188" i="12" s="1"/>
  <c r="CL53" i="12" s="1"/>
  <c r="CL187" i="12"/>
  <c r="CM187" i="12"/>
  <c r="CL58" i="12"/>
  <c r="CM52" i="12"/>
  <c r="CM43" i="12"/>
  <c r="CL62" i="12"/>
  <c r="CL65" i="12"/>
  <c r="CL22" i="12"/>
  <c r="CM188" i="12" l="1"/>
  <c r="CM53" i="12" s="1"/>
  <c r="CL43" i="12"/>
  <c r="CL52" i="12"/>
</calcChain>
</file>

<file path=xl/sharedStrings.xml><?xml version="1.0" encoding="utf-8"?>
<sst xmlns="http://schemas.openxmlformats.org/spreadsheetml/2006/main" count="2078" uniqueCount="1092">
  <si>
    <t>AFFX.O,mscalc:targetPrice,,,,USD</t>
  </si>
  <si>
    <t>AFFX.O,mscalc:closePriceCurrencyCalc</t>
  </si>
  <si>
    <t>AFFX.O,mscalc:sedolCodeCalc</t>
  </si>
  <si>
    <t/>
  </si>
  <si>
    <t>accrued expenses (% of COGS)</t>
  </si>
  <si>
    <t>Revenues</t>
  </si>
  <si>
    <t>--</t>
  </si>
  <si>
    <t>,mscalc:targetPrice,,,,USD</t>
  </si>
  <si>
    <t>,mscalc:closePriceCurrencyCalc</t>
  </si>
  <si>
    <t>,mscalc:sedolCodeCalc</t>
  </si>
  <si>
    <t>PKI.N,mscalc:targetPrice</t>
  </si>
  <si>
    <t>Federal</t>
  </si>
  <si>
    <t>State</t>
  </si>
  <si>
    <t>Income Statement</t>
  </si>
  <si>
    <t>Non-GAAP to GAAP</t>
  </si>
  <si>
    <t>Basic Shares Outstanding</t>
  </si>
  <si>
    <t>Balance Sheet</t>
  </si>
  <si>
    <t>Shareholders Equity</t>
  </si>
  <si>
    <t>Net Cash Flow</t>
  </si>
  <si>
    <t>Free Cash Flow</t>
  </si>
  <si>
    <t>Revenue Components</t>
  </si>
  <si>
    <t>PerkinElmer Inc.</t>
  </si>
  <si>
    <t>Foreign</t>
  </si>
  <si>
    <t>PKI.N,mscalc:closePriceCurrencyCalc</t>
  </si>
  <si>
    <t>PKI.N,mscalc:targetPrice,,,,USD</t>
  </si>
  <si>
    <t>PKI.N,mscalc:sedolCodeCalc</t>
  </si>
  <si>
    <t>Laboratory Services</t>
  </si>
  <si>
    <t>Purchase Accounting Adjustments</t>
  </si>
  <si>
    <t>5% Sr. Notes Due 2021</t>
  </si>
  <si>
    <t>Corporate</t>
  </si>
  <si>
    <t>Adjusted EPS calculation (per share)</t>
  </si>
  <si>
    <t>Amortization of intangible, net of income tax</t>
  </si>
  <si>
    <t>Purchase accounting adjustments, net of income tax</t>
  </si>
  <si>
    <t>Gain on sale of building, net of income tax</t>
  </si>
  <si>
    <t>Adjusted Revenues</t>
  </si>
  <si>
    <t>Adjusted Revenues/ Margins</t>
  </si>
  <si>
    <t>Purchase accounting adjustments</t>
  </si>
  <si>
    <t>Operating Income</t>
  </si>
  <si>
    <t>Amortization of intangible assets</t>
  </si>
  <si>
    <t>Adjusted Operating Income</t>
  </si>
  <si>
    <t xml:space="preserve">     adjusted margin %</t>
  </si>
  <si>
    <t>Acquisition-related costs and others</t>
  </si>
  <si>
    <t>Acquisition-related costs &amp; others</t>
  </si>
  <si>
    <t>Total Revenues</t>
  </si>
  <si>
    <t>Organic Growth %</t>
  </si>
  <si>
    <t>Southeast Asia</t>
  </si>
  <si>
    <t>India</t>
  </si>
  <si>
    <t>GAAP Net Income From Continuing Operations</t>
  </si>
  <si>
    <t>Non Gaap Net Income From Continuing Operations</t>
  </si>
  <si>
    <t>Caliper</t>
  </si>
  <si>
    <t>One Time Charges, net of tax</t>
  </si>
  <si>
    <t>Acquisition-related costs, others, net of income tax</t>
  </si>
  <si>
    <t>Diluted EPS (GAAP), continuing Ops</t>
  </si>
  <si>
    <t>Diluted EPS (adjusted), MW</t>
  </si>
  <si>
    <t>Statutory Tax</t>
  </si>
  <si>
    <t>Total One Time Items, Gross of tax</t>
  </si>
  <si>
    <t>Growth</t>
  </si>
  <si>
    <t>3Q13</t>
  </si>
  <si>
    <t>2018-Q1</t>
  </si>
  <si>
    <t>2018-Q2</t>
  </si>
  <si>
    <t>2018-Q3</t>
  </si>
  <si>
    <t>2018-Q4</t>
  </si>
  <si>
    <t>2018-FY</t>
  </si>
  <si>
    <t>1Q13</t>
  </si>
  <si>
    <t>1Q14</t>
  </si>
  <si>
    <t>NM</t>
  </si>
  <si>
    <t>Adjustment for NonGAAP PBT</t>
  </si>
  <si>
    <t>Interest (Expense)/Income/Other Adj, net</t>
  </si>
  <si>
    <t>4Q13</t>
  </si>
  <si>
    <t>2Q13</t>
  </si>
  <si>
    <t>$MM</t>
  </si>
  <si>
    <t>4Q12</t>
  </si>
  <si>
    <t>3Q12</t>
  </si>
  <si>
    <t>Yr/Yr Organic Rev $</t>
  </si>
  <si>
    <t xml:space="preserve">Yr/Yr Organic Rev Stacked Growth </t>
  </si>
  <si>
    <t>Yr/Yr Spending and Profit Trend</t>
  </si>
  <si>
    <t>COGS Yield</t>
  </si>
  <si>
    <t xml:space="preserve">2-year stacked </t>
  </si>
  <si>
    <t>2Q12</t>
  </si>
  <si>
    <t xml:space="preserve"> </t>
  </si>
  <si>
    <t>Tax rate</t>
  </si>
  <si>
    <t>Total PKI</t>
  </si>
  <si>
    <t>Current Price</t>
  </si>
  <si>
    <t>Fiscal year ends Dec. 31</t>
  </si>
  <si>
    <t>2007-FY</t>
  </si>
  <si>
    <t>2008-FY</t>
  </si>
  <si>
    <t>2009-Q1</t>
  </si>
  <si>
    <t>2009-Q2</t>
  </si>
  <si>
    <t>2009-Q3</t>
  </si>
  <si>
    <t>2009-Q4</t>
  </si>
  <si>
    <t>2009-FY</t>
  </si>
  <si>
    <t>2010-Q1</t>
  </si>
  <si>
    <t>2010-Q2</t>
  </si>
  <si>
    <t>2010-Q3</t>
  </si>
  <si>
    <t>2010-Q4</t>
  </si>
  <si>
    <t>2010-FY</t>
  </si>
  <si>
    <t>2011-Q1</t>
  </si>
  <si>
    <t>2011-Q2</t>
  </si>
  <si>
    <t>2011-Q3</t>
  </si>
  <si>
    <t>2011-Q4</t>
  </si>
  <si>
    <t>2011-FY</t>
  </si>
  <si>
    <t>2012-Q1</t>
  </si>
  <si>
    <t>2012-Q2</t>
  </si>
  <si>
    <t>2012-Q3</t>
  </si>
  <si>
    <t>2012-Q4</t>
  </si>
  <si>
    <t>2012-FY</t>
  </si>
  <si>
    <t>2013-Q1</t>
  </si>
  <si>
    <t>2013-Q2</t>
  </si>
  <si>
    <t>2013-Q3</t>
  </si>
  <si>
    <t>2013-Q4</t>
  </si>
  <si>
    <t>2013-FY</t>
  </si>
  <si>
    <t>2014-Q1</t>
  </si>
  <si>
    <t>2014-Q2</t>
  </si>
  <si>
    <t>2014-Q3</t>
  </si>
  <si>
    <t>2014-Q4</t>
  </si>
  <si>
    <t>2014-FY</t>
  </si>
  <si>
    <t>Revenue</t>
  </si>
  <si>
    <t>Total Cost of Goods Sold</t>
  </si>
  <si>
    <t>Gross Profit</t>
  </si>
  <si>
    <t>R&amp;D</t>
  </si>
  <si>
    <t>SG&amp;A</t>
  </si>
  <si>
    <t>Amortization of Intangible Assets</t>
  </si>
  <si>
    <t>Gain on sale of building</t>
  </si>
  <si>
    <t>Restructuring and lease charges, net</t>
  </si>
  <si>
    <t>Total Operating Expenses</t>
  </si>
  <si>
    <t>D&amp;A</t>
  </si>
  <si>
    <t>Depreciation</t>
  </si>
  <si>
    <t>Amortization</t>
  </si>
  <si>
    <t>Non-cash Stock Compensation expense</t>
  </si>
  <si>
    <t>Total</t>
  </si>
  <si>
    <t>EBITDA</t>
  </si>
  <si>
    <t>Interest (Income)</t>
  </si>
  <si>
    <t>Interest Expense</t>
  </si>
  <si>
    <t>Other (Income) expense, net</t>
  </si>
  <si>
    <t>Pretax Income</t>
  </si>
  <si>
    <t>Income Tax Expense (benefit)</t>
  </si>
  <si>
    <t>Income Tax Rate</t>
  </si>
  <si>
    <t>2016-Q1</t>
  </si>
  <si>
    <t>2016-Q2</t>
  </si>
  <si>
    <t>2016-Q3</t>
  </si>
  <si>
    <t>2016-Q4</t>
  </si>
  <si>
    <t>2016-FY</t>
  </si>
  <si>
    <t>2017-Q1</t>
  </si>
  <si>
    <t>2017-Q2</t>
  </si>
  <si>
    <t>2017-Q3</t>
  </si>
  <si>
    <t>2017-Q4</t>
  </si>
  <si>
    <t>2017-FY</t>
  </si>
  <si>
    <t xml:space="preserve">Organic Revenue Growth </t>
  </si>
  <si>
    <t>Quarterly Debt</t>
  </si>
  <si>
    <t>(Dollars in millions, except per share data)</t>
  </si>
  <si>
    <t>Borrowings</t>
  </si>
  <si>
    <t>Maturity</t>
  </si>
  <si>
    <t>Short-term borrowings and current maturities of long-term debt</t>
  </si>
  <si>
    <t>Total Long-term debt less current portion</t>
  </si>
  <si>
    <t>Check: Total Debt</t>
  </si>
  <si>
    <t>Issuances/ (Repayments)</t>
  </si>
  <si>
    <t>Total Debt Issuance/(Repayment)</t>
  </si>
  <si>
    <t>Current portion of long-term debt</t>
  </si>
  <si>
    <t>Total Debt less current portion Issuance/(Repayment)</t>
  </si>
  <si>
    <t>Implied interest expense</t>
  </si>
  <si>
    <t>Reported interest expense</t>
  </si>
  <si>
    <t>Cash Balance (BOP)</t>
  </si>
  <si>
    <t>Total Revenues (GAAP)</t>
  </si>
  <si>
    <t>Acq / Divest + Purchase Accting Adj %</t>
  </si>
  <si>
    <t>Interest Income</t>
  </si>
  <si>
    <t>Implied Interest Rate</t>
  </si>
  <si>
    <t>Sr. Unsecured Revolving Credit Facility Maturing 2016</t>
  </si>
  <si>
    <t>6.0% Sr. Notes Maturing 2015</t>
  </si>
  <si>
    <t>5.0% Sr. Notes Maturing 2021</t>
  </si>
  <si>
    <t>Geography</t>
  </si>
  <si>
    <t>Purchase Accting Adj</t>
  </si>
  <si>
    <t>United Kingdom</t>
  </si>
  <si>
    <t>PerkinElmer</t>
  </si>
  <si>
    <t>Revenue Build</t>
  </si>
  <si>
    <t>Check</t>
  </si>
  <si>
    <t>Reported Growth %</t>
  </si>
  <si>
    <t>FX Impact %</t>
  </si>
  <si>
    <t>CHECK</t>
  </si>
  <si>
    <t>Cord Blood</t>
  </si>
  <si>
    <t>Environmental &amp; Safety</t>
  </si>
  <si>
    <t>OPEX</t>
  </si>
  <si>
    <t>Revenue by Geographic Region</t>
  </si>
  <si>
    <t>United States</t>
  </si>
  <si>
    <t>Relative Geographic Exposure</t>
  </si>
  <si>
    <t>Total International</t>
  </si>
  <si>
    <t>YES</t>
  </si>
  <si>
    <t>Pre-Tax Income</t>
  </si>
  <si>
    <t>Stock options</t>
  </si>
  <si>
    <t>Restricted stock awards</t>
  </si>
  <si>
    <t>Average Basic Shares</t>
  </si>
  <si>
    <t>Average Share Price in the quarter</t>
  </si>
  <si>
    <t>Dilution Ratio</t>
  </si>
  <si>
    <t>Diluted EPS (GAAP)</t>
  </si>
  <si>
    <t>Discontinued Operations, net of income taxes</t>
  </si>
  <si>
    <t>Diluted EPS (adjusted), including disc. Ops</t>
  </si>
  <si>
    <t>Diluted Shares Ouststanding</t>
  </si>
  <si>
    <t>Common Dividends</t>
  </si>
  <si>
    <t>PKI QTLY Div Est (per share):</t>
  </si>
  <si>
    <t>Stock Comp Expense</t>
  </si>
  <si>
    <t>% of operating expenses</t>
  </si>
  <si>
    <t>Tax Adjustment</t>
  </si>
  <si>
    <t>Gross Margin</t>
  </si>
  <si>
    <t>EBIT</t>
  </si>
  <si>
    <t>Incremental Gross Profit</t>
  </si>
  <si>
    <t>Incremental EBIT</t>
  </si>
  <si>
    <t>Net Income</t>
  </si>
  <si>
    <t>Total Revenue</t>
  </si>
  <si>
    <t>EPS</t>
  </si>
  <si>
    <t>Diagnostics</t>
  </si>
  <si>
    <t>Screening</t>
  </si>
  <si>
    <t>Emerging Markets</t>
  </si>
  <si>
    <t>Cord Blood Banking</t>
  </si>
  <si>
    <t>Medical Imaging</t>
  </si>
  <si>
    <t>Pharma</t>
  </si>
  <si>
    <t>Academic</t>
  </si>
  <si>
    <t>Environmental and Safety</t>
  </si>
  <si>
    <t>Industrial</t>
  </si>
  <si>
    <t>Perkin Elmer</t>
  </si>
  <si>
    <t>Momentum</t>
  </si>
  <si>
    <t>Assets</t>
  </si>
  <si>
    <t>Cash and cash equivalents</t>
  </si>
  <si>
    <t>Accounts receivable, net</t>
  </si>
  <si>
    <t>Inventories, net</t>
  </si>
  <si>
    <t>Other current assets</t>
  </si>
  <si>
    <t>Current assets of discontinued operations</t>
  </si>
  <si>
    <t>Total Current Assets</t>
  </si>
  <si>
    <t>PP&amp;E, net</t>
  </si>
  <si>
    <t>Marketable securities and investments</t>
  </si>
  <si>
    <t>Intangible assets</t>
  </si>
  <si>
    <t>Goodwill</t>
  </si>
  <si>
    <t>Other assets, net</t>
  </si>
  <si>
    <t>Long-term assets of discontinued operations</t>
  </si>
  <si>
    <t>Total Assets</t>
  </si>
  <si>
    <t>Liabilities</t>
  </si>
  <si>
    <t xml:space="preserve">Short-Term Debt </t>
  </si>
  <si>
    <t>Accounts payable</t>
  </si>
  <si>
    <t>Accrued restructuring and integration costs</t>
  </si>
  <si>
    <t>Accrued expenses</t>
  </si>
  <si>
    <t>Current liabilities of discontinued operations</t>
  </si>
  <si>
    <t>Total Current Liabilities</t>
  </si>
  <si>
    <t>Long-term debt</t>
  </si>
  <si>
    <t>Long-term liabilities</t>
  </si>
  <si>
    <t>Total Liabilities</t>
  </si>
  <si>
    <t>Stockholders' Equity</t>
  </si>
  <si>
    <t>APIC + Common Stock</t>
  </si>
  <si>
    <t>Common stock</t>
  </si>
  <si>
    <t>Capital in excess of par value</t>
  </si>
  <si>
    <t>Retained (deficit) earnings</t>
  </si>
  <si>
    <t>Accumulated other comprehensive loss</t>
  </si>
  <si>
    <t>Shareholders' Equity</t>
  </si>
  <si>
    <t>Total Liabilities &amp; Shareholders' Equity</t>
  </si>
  <si>
    <t>Balance Check (assets - liabilities)</t>
  </si>
  <si>
    <t>Financial Metrics</t>
  </si>
  <si>
    <t>Total Debt</t>
  </si>
  <si>
    <t>Net debt (debt-cash)</t>
  </si>
  <si>
    <t>Net cash per share</t>
  </si>
  <si>
    <t>Returns</t>
  </si>
  <si>
    <t>Return on Equity (ROE)</t>
  </si>
  <si>
    <t>Return on Assets (ROA)</t>
  </si>
  <si>
    <t>Return on Invested Capital (ROIC)</t>
  </si>
  <si>
    <t>Debt Coverage/Leverage</t>
  </si>
  <si>
    <t>EBITDA Coverage</t>
  </si>
  <si>
    <t>EBIT Coverage</t>
  </si>
  <si>
    <t>Net Debt / EBITDA</t>
  </si>
  <si>
    <t>Debt / Capital</t>
  </si>
  <si>
    <t>Liquidity</t>
  </si>
  <si>
    <t>Current Ratio (CA/CL)</t>
  </si>
  <si>
    <t>Quick Ratio ((Cash+Mkt Sec+AR)/CL)</t>
  </si>
  <si>
    <t>Cash Ratio</t>
  </si>
  <si>
    <t>Acid-Test Ratio</t>
  </si>
  <si>
    <t>Working Capital Metrics</t>
  </si>
  <si>
    <t>Days in period</t>
  </si>
  <si>
    <t>Days Sales Oustanding (DSO)</t>
  </si>
  <si>
    <t>Inventory Days (DIO)</t>
  </si>
  <si>
    <t>Days Payable Outstanding (DPO)</t>
  </si>
  <si>
    <t>Cash Conversion Cycle</t>
  </si>
  <si>
    <t>Additional balance Sheet Metrics</t>
  </si>
  <si>
    <t>Changes in Shareholders' Equity</t>
  </si>
  <si>
    <t>Opening Balance</t>
  </si>
  <si>
    <t>Issue of Shares (including premium)</t>
  </si>
  <si>
    <t>Dividend</t>
  </si>
  <si>
    <t>AOCI</t>
  </si>
  <si>
    <t>Other AOCI</t>
  </si>
  <si>
    <t>Closing Balance</t>
  </si>
  <si>
    <t>ASSET SCHEDULES</t>
  </si>
  <si>
    <t>PP&amp;E</t>
  </si>
  <si>
    <t>PP&amp;E, gross - BoP</t>
  </si>
  <si>
    <t>Capex</t>
  </si>
  <si>
    <t>% of sales</t>
  </si>
  <si>
    <t>Acquisitions</t>
  </si>
  <si>
    <t>Other</t>
  </si>
  <si>
    <t>PP&amp;E, gross - EoP</t>
  </si>
  <si>
    <t>Accumulated depreciation - BoP</t>
  </si>
  <si>
    <t>% of beg gross</t>
  </si>
  <si>
    <t>Accum Depreciation - EoP</t>
  </si>
  <si>
    <t>Assumed depreciable life</t>
  </si>
  <si>
    <t>Average Age of Assets</t>
  </si>
  <si>
    <t>Intangibles</t>
  </si>
  <si>
    <t>Intangibles - BoP</t>
  </si>
  <si>
    <t>% of beg bal</t>
  </si>
  <si>
    <t>Intangibles - EoP</t>
  </si>
  <si>
    <t>Beg Balance</t>
  </si>
  <si>
    <t>Acquisitions / write-offs</t>
  </si>
  <si>
    <t>Ending Balance</t>
  </si>
  <si>
    <t>M&amp;A Accounting</t>
  </si>
  <si>
    <t>Total Purchase Price</t>
  </si>
  <si>
    <t>Other Current Assets</t>
  </si>
  <si>
    <t>Sales</t>
  </si>
  <si>
    <t>Tax Rate</t>
  </si>
  <si>
    <t>Taxes</t>
  </si>
  <si>
    <t>NOPAT</t>
  </si>
  <si>
    <t>NOPAT Margin</t>
  </si>
  <si>
    <t>Accounts Receivables</t>
  </si>
  <si>
    <t>Inventory</t>
  </si>
  <si>
    <t>Net PP&amp;E</t>
  </si>
  <si>
    <t>Noncurrent Assets</t>
  </si>
  <si>
    <t>Goodwill &amp; Other Intangibles</t>
  </si>
  <si>
    <t>Operating Assets</t>
  </si>
  <si>
    <t>Accounts Payable</t>
  </si>
  <si>
    <t>Other Current Liabilities</t>
  </si>
  <si>
    <t>Other Long-term Liabilities</t>
  </si>
  <si>
    <t>Operating Liabilities</t>
  </si>
  <si>
    <t>Net Operating Assets</t>
  </si>
  <si>
    <t>Asset Turnover</t>
  </si>
  <si>
    <t>LT Debt</t>
  </si>
  <si>
    <t>ST Debt</t>
  </si>
  <si>
    <t>Average Debt</t>
  </si>
  <si>
    <t>Other Debt/Short Term</t>
  </si>
  <si>
    <t>6.0% Sr. Notes Due May 2015</t>
  </si>
  <si>
    <t>Rate</t>
  </si>
  <si>
    <t>Paydown, net</t>
  </si>
  <si>
    <t>Sr. Unsecured Revolving Credit Facility, Due 2012</t>
  </si>
  <si>
    <t>Total Interest Expense</t>
  </si>
  <si>
    <t>Net Debt</t>
  </si>
  <si>
    <t>Interest Coverage Ratio</t>
  </si>
  <si>
    <t>Cash Balance</t>
  </si>
  <si>
    <t>Cash Beginning</t>
  </si>
  <si>
    <t>Plus: Net Income</t>
  </si>
  <si>
    <t>Plus: Depreciation</t>
  </si>
  <si>
    <t>Minus: Capex</t>
  </si>
  <si>
    <t>Minus: Debt Paydown/Issuance</t>
  </si>
  <si>
    <t>End Cash</t>
  </si>
  <si>
    <t>Average Cash</t>
  </si>
  <si>
    <t>Interest Rate</t>
  </si>
  <si>
    <t>Interest Income/Quarter</t>
  </si>
  <si>
    <t xml:space="preserve">Cash Flow Statement </t>
  </si>
  <si>
    <t>Add: net income from discontinued operations and dispositions</t>
  </si>
  <si>
    <t>Net Income (loss) from continuing operations</t>
  </si>
  <si>
    <t>Depreciation and amortization</t>
  </si>
  <si>
    <t>Stock-based compensation</t>
  </si>
  <si>
    <t>Accrued expenses and other</t>
  </si>
  <si>
    <t>Net cash provided by operating activities of continuing operations</t>
  </si>
  <si>
    <t>Net cash (used in) provided by op activities of disc op</t>
  </si>
  <si>
    <t>Net cash provided by operating activities</t>
  </si>
  <si>
    <t>Investing Activities</t>
  </si>
  <si>
    <t>Payments for acquisitions and investments, net of cash and cash equivalents acquired</t>
  </si>
  <si>
    <t>Net cash used in investing activities of continuing operations</t>
  </si>
  <si>
    <t>Net cash used in investing activities of discontinued operations</t>
  </si>
  <si>
    <t>Net cash used in investing activities</t>
  </si>
  <si>
    <t>Financing Activities</t>
  </si>
  <si>
    <t>Proceeds from issuance of common stock under stock plans</t>
  </si>
  <si>
    <t>Purchases of common stock</t>
  </si>
  <si>
    <t>Dividends paid</t>
  </si>
  <si>
    <t>Net cash provided by (used in ) financing activities of continuing operations</t>
  </si>
  <si>
    <t>Net cash provided by (used in ) financing activities of discontinued operations</t>
  </si>
  <si>
    <t>Net cash provided by (used in) financing activities</t>
  </si>
  <si>
    <t>Effect of exchange rate changes on cash and cash equivalents</t>
  </si>
  <si>
    <t>Net increase (decrease) in cash and cash equivalents</t>
  </si>
  <si>
    <t>Free Cash Flow (FCF)</t>
  </si>
  <si>
    <t>FCF per share</t>
  </si>
  <si>
    <t>Free Cash Flow Yield</t>
  </si>
  <si>
    <t>Avg. Share Price</t>
  </si>
  <si>
    <t>STOCK REPURCHASES / ISSUANCES</t>
  </si>
  <si>
    <t>Options Oustanding BOP</t>
  </si>
  <si>
    <t>Options Granted</t>
  </si>
  <si>
    <t>Options Excercised</t>
  </si>
  <si>
    <t>Options Cancelled/Forfeited</t>
  </si>
  <si>
    <t>Options Oustanding EOP</t>
  </si>
  <si>
    <t>Wtd Avg Exercise Price (of excercised)</t>
  </si>
  <si>
    <t>Y/Y Growth</t>
  </si>
  <si>
    <t>Exercised shares as a % of outstanding</t>
  </si>
  <si>
    <t>Options lapsed as a % of outstanding</t>
  </si>
  <si>
    <t>Options granted - Y/Y Growth</t>
  </si>
  <si>
    <t>Proceeds from stock issuance ($mm)</t>
  </si>
  <si>
    <t>Repurchases</t>
  </si>
  <si>
    <t>Shares repurchased</t>
  </si>
  <si>
    <t>Cost of repurchases</t>
  </si>
  <si>
    <t>Avg cost</t>
  </si>
  <si>
    <t>% change</t>
  </si>
  <si>
    <t>Dollars in millions, except per share data</t>
  </si>
  <si>
    <t>China</t>
  </si>
  <si>
    <t>Japan</t>
  </si>
  <si>
    <t>Other International</t>
  </si>
  <si>
    <t>Comments</t>
  </si>
  <si>
    <t>PKI.N</t>
  </si>
  <si>
    <t>COGS</t>
  </si>
  <si>
    <t>Americas</t>
  </si>
  <si>
    <t>Europe</t>
  </si>
  <si>
    <t>Asia</t>
  </si>
  <si>
    <t>NA</t>
  </si>
  <si>
    <t>Germany</t>
  </si>
  <si>
    <t>France</t>
  </si>
  <si>
    <t>Italy</t>
  </si>
  <si>
    <t>2008-Q1</t>
  </si>
  <si>
    <t>2008-Q2</t>
  </si>
  <si>
    <t>2008-Q3</t>
  </si>
  <si>
    <t>2008-Q4</t>
  </si>
  <si>
    <t>Amortization of deferred debt issuance costs</t>
  </si>
  <si>
    <t>Amortization of acquired inventory revaluation</t>
  </si>
  <si>
    <t>Changes in operating assets and liabilities:</t>
  </si>
  <si>
    <t>Excess tax benefit from exercise of equity grants</t>
  </si>
  <si>
    <t>Capital expenditures</t>
  </si>
  <si>
    <t>Changes in restricted cash balances</t>
  </si>
  <si>
    <t>Payments on debt</t>
  </si>
  <si>
    <t>Proceeds from borrowings</t>
  </si>
  <si>
    <t>Payments of debt issuance costs</t>
  </si>
  <si>
    <t>Payments on other credit facilities</t>
  </si>
  <si>
    <t>Payments for acquisition-related contingent consideration</t>
  </si>
  <si>
    <t>Cash at Beginning of Period</t>
  </si>
  <si>
    <t>Cash and equivalents at End of Period</t>
  </si>
  <si>
    <t>Gain (loss) on disp of disc ops, net of inc taxes</t>
  </si>
  <si>
    <t>Income (loss) from disc ops, net of inc taxes</t>
  </si>
  <si>
    <t>2007-Q1</t>
  </si>
  <si>
    <t>2007-Q2</t>
  </si>
  <si>
    <t>2007-Q3</t>
  </si>
  <si>
    <t>2007-Q4</t>
  </si>
  <si>
    <t>Others</t>
  </si>
  <si>
    <t>Add: (gain) loss on disposition of discontinued operations, net of income taxes</t>
  </si>
  <si>
    <t>Other assets (% of Rev)</t>
  </si>
  <si>
    <t>Foreign currency translation</t>
  </si>
  <si>
    <t>USD</t>
  </si>
  <si>
    <t>Asset impairment, net of income taxes</t>
  </si>
  <si>
    <t>Non GAAP diluted EPS from continuing ops</t>
  </si>
  <si>
    <t>GAAP EPS from continuing ops</t>
  </si>
  <si>
    <t>Net Income,  Non -GAAP</t>
  </si>
  <si>
    <t>Net Income, GAAP</t>
  </si>
  <si>
    <t>Non GAAP Operating Profit (EBIT)</t>
  </si>
  <si>
    <t>Mark-to-market on retirement benefits, net of tax</t>
  </si>
  <si>
    <t>Significant tax charges (credits), net</t>
  </si>
  <si>
    <t>Asset impairments</t>
  </si>
  <si>
    <t>PKI.N,mscalc:returnOnNetOperatingAssets,2012FY,,FYR,,,WORK</t>
  </si>
  <si>
    <t>$V$2</t>
  </si>
  <si>
    <t>Recurring</t>
  </si>
  <si>
    <t>Instrument</t>
  </si>
  <si>
    <t>Allocations</t>
  </si>
  <si>
    <t>2015-Q1</t>
  </si>
  <si>
    <t>2015-Q2</t>
  </si>
  <si>
    <t>2015-Q3</t>
  </si>
  <si>
    <t>2015-Q4</t>
  </si>
  <si>
    <t>2015-FY</t>
  </si>
  <si>
    <t>Unrecorded Goodwill</t>
  </si>
  <si>
    <t>EBIT (Non-GAAP, ie EBITA)</t>
  </si>
  <si>
    <t>-</t>
  </si>
  <si>
    <t>Currency</t>
  </si>
  <si>
    <t>Current Stock Price</t>
  </si>
  <si>
    <t>Count</t>
  </si>
  <si>
    <t>EBIT 2-Year</t>
  </si>
  <si>
    <t>Non GAAP Net/Contd Ops</t>
  </si>
  <si>
    <t>$millions, except per share data</t>
  </si>
  <si>
    <t>Effective shares issued</t>
  </si>
  <si>
    <t>Org Growth YY</t>
  </si>
  <si>
    <t>1Q12</t>
  </si>
  <si>
    <t>2Q14</t>
  </si>
  <si>
    <t>3Q14</t>
  </si>
  <si>
    <t>4Q14</t>
  </si>
  <si>
    <t>2-Year Org Growth</t>
  </si>
  <si>
    <t>2305844</t>
  </si>
  <si>
    <t>4Q14E</t>
  </si>
  <si>
    <t>Product</t>
  </si>
  <si>
    <t>Service</t>
  </si>
  <si>
    <t>+HSD</t>
  </si>
  <si>
    <t>+MSD</t>
  </si>
  <si>
    <t>+LSD</t>
  </si>
  <si>
    <t>-LSD</t>
  </si>
  <si>
    <t>+Mid Teens</t>
  </si>
  <si>
    <t>Flat</t>
  </si>
  <si>
    <t>+LDD</t>
  </si>
  <si>
    <t>+DD</t>
  </si>
  <si>
    <t>+High Teens</t>
  </si>
  <si>
    <t>-HSD</t>
  </si>
  <si>
    <t>+  &gt;20%</t>
  </si>
  <si>
    <t>ND</t>
  </si>
  <si>
    <t>+Mid to Low SD</t>
  </si>
  <si>
    <t>BRIC / EM</t>
  </si>
  <si>
    <t>-LDD</t>
  </si>
  <si>
    <t>-MSD</t>
  </si>
  <si>
    <t>+  ~20%</t>
  </si>
  <si>
    <t>+25%</t>
  </si>
  <si>
    <t>+High Teens - High Twenties</t>
  </si>
  <si>
    <t>+Strong DD</t>
  </si>
  <si>
    <t>Strong</t>
  </si>
  <si>
    <t>+Very HSD</t>
  </si>
  <si>
    <t>1Q15</t>
  </si>
  <si>
    <t>2Q15</t>
  </si>
  <si>
    <t>Non GAAP Margins</t>
  </si>
  <si>
    <t xml:space="preserve">    China</t>
  </si>
  <si>
    <t>Org Growth by Region</t>
  </si>
  <si>
    <t>Summary Cash Flow</t>
  </si>
  <si>
    <t>Operating Cash Flow</t>
  </si>
  <si>
    <t>FCF/Share</t>
  </si>
  <si>
    <t>3Q15</t>
  </si>
  <si>
    <t>Reported EBIT margin</t>
  </si>
  <si>
    <t>FX impact on EBIT margin</t>
  </si>
  <si>
    <t>Organic Margins</t>
  </si>
  <si>
    <t>Organic EBIT</t>
  </si>
  <si>
    <t>Organic Incremental EBIT</t>
  </si>
  <si>
    <t>FX</t>
  </si>
  <si>
    <t xml:space="preserve">Organic EBIT margin </t>
  </si>
  <si>
    <t>Organic EBIT y/y</t>
  </si>
  <si>
    <t>EBIT margin y/y</t>
  </si>
  <si>
    <t>4Q15</t>
  </si>
  <si>
    <t>1Q16</t>
  </si>
  <si>
    <t>2Q16</t>
  </si>
  <si>
    <t>Organic % (adj days/items)</t>
  </si>
  <si>
    <t>Organic % (not adj days/items)</t>
  </si>
  <si>
    <t>Total % (adj days/items)</t>
  </si>
  <si>
    <t>3Q16</t>
  </si>
  <si>
    <t>Organic % (PKI Basis)</t>
  </si>
  <si>
    <t>2019-Q1</t>
  </si>
  <si>
    <t>2019-Q2</t>
  </si>
  <si>
    <t>2019-Q3</t>
  </si>
  <si>
    <t>2019-Q4</t>
  </si>
  <si>
    <t>2019-FY</t>
  </si>
  <si>
    <t>Diagnostics (Non GAAP)</t>
  </si>
  <si>
    <t>Diagnostics (GAAP)</t>
  </si>
  <si>
    <t>DAS (Non GAAP)</t>
  </si>
  <si>
    <t>DAS (GAAP)</t>
  </si>
  <si>
    <t>Discovery &amp; Analytical Solutions</t>
  </si>
  <si>
    <t>Total Discovery &amp; Analytical Solutions</t>
  </si>
  <si>
    <t>Total Diagnostics</t>
  </si>
  <si>
    <t>Discovery &amp; Analytical</t>
  </si>
  <si>
    <t>Total D&amp;AS</t>
  </si>
  <si>
    <t>Org Growth by Region - Stacked</t>
  </si>
  <si>
    <t>Oragnic Revenue</t>
  </si>
  <si>
    <t>1.875% Senior Unsecured Notes due 2026</t>
  </si>
  <si>
    <t>4Q16</t>
  </si>
  <si>
    <t>Acq/Div</t>
  </si>
  <si>
    <t>Reported Revenue Growth</t>
  </si>
  <si>
    <t>Organic Revenue Growth</t>
  </si>
  <si>
    <t>Reported EBIT Margin</t>
  </si>
  <si>
    <t>Adjusted EBIT Margin</t>
  </si>
  <si>
    <t>PKI-Estimated Pro Forma Growth</t>
  </si>
  <si>
    <t>PKI-Estimated Pro Forma Growth - Diagnostics</t>
  </si>
  <si>
    <t>PKI-Estimated Pro Forma Growth - DAS</t>
  </si>
  <si>
    <t>Other/M&amp;A</t>
  </si>
  <si>
    <t>PKI Adjusted Gross Margin</t>
  </si>
  <si>
    <t>EBIT Growth</t>
  </si>
  <si>
    <t>OPEX Growth</t>
  </si>
  <si>
    <t>Adjusted EPS Growth</t>
  </si>
  <si>
    <t>PKI Reported Gross Margin</t>
  </si>
  <si>
    <t>Pro Forma Margins and Growth</t>
  </si>
  <si>
    <t>FCF Growth per share</t>
  </si>
  <si>
    <t>1Q17</t>
  </si>
  <si>
    <t>Academic/Government</t>
  </si>
  <si>
    <t>&gt;20%</t>
  </si>
  <si>
    <t>+HDD</t>
  </si>
  <si>
    <t>Food</t>
  </si>
  <si>
    <t>Org Growth by DAS subsegments</t>
  </si>
  <si>
    <t>Low teens</t>
  </si>
  <si>
    <t>Healthy sales</t>
  </si>
  <si>
    <t>Weak</t>
  </si>
  <si>
    <t>Mid-teens</t>
  </si>
  <si>
    <t>-HSD to -LDD</t>
  </si>
  <si>
    <t>Strong demand</t>
  </si>
  <si>
    <t>Stable</t>
  </si>
  <si>
    <t>Stable spending</t>
  </si>
  <si>
    <t>+MSD to +HSD</t>
  </si>
  <si>
    <t>Stable but somewhat slower growth</t>
  </si>
  <si>
    <t>Increased demand</t>
  </si>
  <si>
    <t>Improving</t>
  </si>
  <si>
    <t>Moderate Improvement</t>
  </si>
  <si>
    <t>Down modestly</t>
  </si>
  <si>
    <t>Soft demand</t>
  </si>
  <si>
    <t>-Mid Teens</t>
  </si>
  <si>
    <t>+Low teens</t>
  </si>
  <si>
    <t>+Mid teens</t>
  </si>
  <si>
    <t>Better than market</t>
  </si>
  <si>
    <t>-DD</t>
  </si>
  <si>
    <t>-L-MSD</t>
  </si>
  <si>
    <t>Constant Curency Growth %</t>
  </si>
  <si>
    <t>Cost Synergies</t>
  </si>
  <si>
    <t>n/a</t>
  </si>
  <si>
    <t>PKI Debt</t>
  </si>
  <si>
    <t>PKI EBITDA</t>
  </si>
  <si>
    <t>PKI Cash</t>
  </si>
  <si>
    <t>Transaction Value</t>
  </si>
  <si>
    <t>Funding Calculations</t>
  </si>
  <si>
    <t>Amount</t>
  </si>
  <si>
    <t>% of Total</t>
  </si>
  <si>
    <t>Share Count Calculations</t>
  </si>
  <si>
    <t>Transaction Size</t>
  </si>
  <si>
    <t>% EBITDA margin</t>
  </si>
  <si>
    <t>Sources of Funding</t>
  </si>
  <si>
    <t>% EBIT margin</t>
  </si>
  <si>
    <t>Incremental Cash Used</t>
  </si>
  <si>
    <t>% of Cash Used</t>
  </si>
  <si>
    <t>Shares</t>
  </si>
  <si>
    <t>Current Equity Value</t>
  </si>
  <si>
    <t>Implied Equity Issuance</t>
  </si>
  <si>
    <t>Share Prices</t>
  </si>
  <si>
    <t>Current Enterprise Value</t>
  </si>
  <si>
    <t>Share Issue Price</t>
  </si>
  <si>
    <t>Implied # Share Issued</t>
  </si>
  <si>
    <t>Pro Forma Shares</t>
  </si>
  <si>
    <t>Equity Value @ Offer Price</t>
  </si>
  <si>
    <t>Pro forma % Dilution</t>
  </si>
  <si>
    <t xml:space="preserve">Closing Enterprise Value </t>
  </si>
  <si>
    <t>Implied Debt Issuance</t>
  </si>
  <si>
    <t>% Transaction Premium</t>
  </si>
  <si>
    <t>Implied Fees</t>
  </si>
  <si>
    <t>Estimated Purchase Price</t>
  </si>
  <si>
    <t>CY17</t>
  </si>
  <si>
    <t>CY18</t>
  </si>
  <si>
    <t>CY19</t>
  </si>
  <si>
    <t>Pre-Close</t>
  </si>
  <si>
    <t>Year 1</t>
  </si>
  <si>
    <t>Year 2</t>
  </si>
  <si>
    <t>Year 3</t>
  </si>
  <si>
    <t>Other Calculations</t>
  </si>
  <si>
    <t>% Total Growth</t>
  </si>
  <si>
    <t xml:space="preserve">% Organic Revenue Growth </t>
  </si>
  <si>
    <t>EBITDA (ex Cost-Synergies)</t>
  </si>
  <si>
    <t>% Sales</t>
  </si>
  <si>
    <t>Incremental EBITDA Margin</t>
  </si>
  <si>
    <t>EBITDA (Post-Synergies)</t>
  </si>
  <si>
    <t>Margin (% of Sales)</t>
  </si>
  <si>
    <t>Depreciation &amp; Amortization</t>
  </si>
  <si>
    <t>Incremental D&amp;A From Revaluation</t>
  </si>
  <si>
    <t>% Tax Rate</t>
  </si>
  <si>
    <t>Post-Tax Income</t>
  </si>
  <si>
    <t>Debt Balance</t>
  </si>
  <si>
    <t xml:space="preserve">Debt Paydown </t>
  </si>
  <si>
    <t>Net Cost of Financing (After-Tax)</t>
  </si>
  <si>
    <t>Blended Net After-Tax Interest Rate</t>
  </si>
  <si>
    <t>Net Income (Including D&amp;A)</t>
  </si>
  <si>
    <t>Pro forma Share Count</t>
  </si>
  <si>
    <t>EPS impact Per Share</t>
  </si>
  <si>
    <t xml:space="preserve">Amortization Adjustment </t>
  </si>
  <si>
    <t>Adjusted Net Income</t>
  </si>
  <si>
    <t>Adjusted EPS Per Share</t>
  </si>
  <si>
    <t xml:space="preserve">EPS Accretion </t>
  </si>
  <si>
    <t>Pro-Forma EPS</t>
  </si>
  <si>
    <t>% growth</t>
  </si>
  <si>
    <t>EBITDA Accretion</t>
  </si>
  <si>
    <t>EBITDA Per Share</t>
  </si>
  <si>
    <t>Cash on Cash Return Estimate</t>
  </si>
  <si>
    <t>Capital Deployment</t>
  </si>
  <si>
    <t>FCF Accretion</t>
  </si>
  <si>
    <t>FCF Per Share</t>
  </si>
  <si>
    <t>Cash on Cash Return</t>
  </si>
  <si>
    <t>Adjusted Net Debt</t>
  </si>
  <si>
    <t>Adjusted EBITDA</t>
  </si>
  <si>
    <t>CY20</t>
  </si>
  <si>
    <t>1Q17 Net Debt</t>
  </si>
  <si>
    <t>1Q18 Debt Estimate</t>
  </si>
  <si>
    <t xml:space="preserve">TV/ '17E EBITDA </t>
  </si>
  <si>
    <t xml:space="preserve">4Q17 Cash </t>
  </si>
  <si>
    <t>PKI 4Q17 Target Debt</t>
  </si>
  <si>
    <t>PKI EBITDA 2017</t>
  </si>
  <si>
    <t>Target $30mn in revenue synergies by "out years"</t>
  </si>
  <si>
    <t>No cost synergies targeted</t>
  </si>
  <si>
    <t>4Q17 Diluted Shares</t>
  </si>
  <si>
    <t>PKI Accretion Model - Base Case Scenario</t>
  </si>
  <si>
    <t>Adjusted EPS from EUROIMMUN</t>
  </si>
  <si>
    <t>Adjusted PKI EPS Stand-Alone</t>
  </si>
  <si>
    <t>Adjusted Debt / EBITDA</t>
  </si>
  <si>
    <t>Deal-close</t>
  </si>
  <si>
    <t>YE 2018</t>
  </si>
  <si>
    <t>YE 2019</t>
  </si>
  <si>
    <t>Gross Debt/EBITDA 2017</t>
  </si>
  <si>
    <t>EV/ '17E EBITDA Multiple</t>
  </si>
  <si>
    <t>End Market Growth YY</t>
  </si>
  <si>
    <t>2-Year End Market Growth</t>
  </si>
  <si>
    <t>2Q17</t>
  </si>
  <si>
    <t>+Low Teens</t>
  </si>
  <si>
    <t>Organic Incremental EBIT Margin</t>
  </si>
  <si>
    <t>2020-Q1</t>
  </si>
  <si>
    <t>2020-Q2</t>
  </si>
  <si>
    <t>2020-Q3</t>
  </si>
  <si>
    <t>2020-Q4</t>
  </si>
  <si>
    <t>2020-FY</t>
  </si>
  <si>
    <t>2021-Q1</t>
  </si>
  <si>
    <t>2021-Q2</t>
  </si>
  <si>
    <t>2021-Q3</t>
  </si>
  <si>
    <t>2021-Q4</t>
  </si>
  <si>
    <t>2021-FY</t>
  </si>
  <si>
    <t>Euroimmun</t>
  </si>
  <si>
    <t>Vanadis</t>
  </si>
  <si>
    <t xml:space="preserve">% of Sales From Revenue Synergies </t>
  </si>
  <si>
    <t>Revenue Synergies (Per year)</t>
  </si>
  <si>
    <t>PKI Genetics</t>
  </si>
  <si>
    <t>Organic Revenue</t>
  </si>
  <si>
    <t>3Q18E</t>
  </si>
  <si>
    <t>4Q18E</t>
  </si>
  <si>
    <t>3Q17</t>
  </si>
  <si>
    <t>+mid-teens</t>
  </si>
  <si>
    <t xml:space="preserve">Adjusted EBIT </t>
  </si>
  <si>
    <t>Cash Taxes</t>
  </si>
  <si>
    <t>NOPAT (adjusted)</t>
  </si>
  <si>
    <t>NOPAT margin</t>
  </si>
  <si>
    <t>Debt</t>
  </si>
  <si>
    <t>Net Deferred Tax Liabilities</t>
  </si>
  <si>
    <t>Other Long-Term Liabilities</t>
  </si>
  <si>
    <t>Off-balance sheet operating leases</t>
  </si>
  <si>
    <t>Equity</t>
  </si>
  <si>
    <t>Minority Interest</t>
  </si>
  <si>
    <t>Preferred Equity</t>
  </si>
  <si>
    <t>Accumulated Asset write-downs</t>
  </si>
  <si>
    <t>Non-performing Assets</t>
  </si>
  <si>
    <t>(Less cash)</t>
  </si>
  <si>
    <t>(Less unconsolidated investments)</t>
  </si>
  <si>
    <t>(Less Goodwill)</t>
  </si>
  <si>
    <t>Total Invested Capital (inc-Goodwill)</t>
  </si>
  <si>
    <t>Total Invested Capital (ex-Goodwill)</t>
  </si>
  <si>
    <t>ROIC (inc-Goodwill)</t>
  </si>
  <si>
    <t>ROIC (ex-Goodwill)</t>
  </si>
  <si>
    <t>Return on Invested Capital (ROIC)(ex-Goodwill)</t>
  </si>
  <si>
    <t>Return on Net Operating Assets (RNOA)</t>
  </si>
  <si>
    <t>RNOA</t>
  </si>
  <si>
    <t>1Q18E</t>
  </si>
  <si>
    <t>2Q18E</t>
  </si>
  <si>
    <t>4Q17</t>
  </si>
  <si>
    <t>+low-teens</t>
  </si>
  <si>
    <t>Total growth including synergies</t>
  </si>
  <si>
    <t>Business growing high-teens in '17, management conservatively guiding for 13-15% growth in '18</t>
  </si>
  <si>
    <t>Expect 100bps/year margin expansion as volume ramps</t>
  </si>
  <si>
    <t>Guide for $0.28-$0.30 in '18</t>
  </si>
  <si>
    <t>Dx ex-Euroimmun</t>
  </si>
  <si>
    <t>Dx ex-Euroimmun/Vanadis/Genetic Lab</t>
  </si>
  <si>
    <t>Total ex-Euroimmun</t>
  </si>
  <si>
    <t>Total ex-Euroimmun/Vanadis/Genetic Lab</t>
  </si>
  <si>
    <t>FCF GAAP Conversion</t>
  </si>
  <si>
    <t>FCF Non-GAAP Conversion</t>
  </si>
  <si>
    <t>89</t>
  </si>
  <si>
    <t>Dx ex-Euroimmun/Vanadis/Genetic</t>
  </si>
  <si>
    <t>0.6% Sr. Notes Maturing 2021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</si>
  <si>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</si>
  <si>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</si>
  <si>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</si>
  <si>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</si>
  <si>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</si>
  <si>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</si>
  <si>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</si>
  <si>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Steve Beuchaw, Jeremy Rosenberg</t>
  </si>
  <si>
    <t>Date: 11 Apr 2018</t>
  </si>
  <si>
    <t>Ticker: PKI.N</t>
  </si>
  <si>
    <t>Stock Rating: Overweight</t>
  </si>
  <si>
    <t>Industry: Life Science Tools &amp; Diagnostics</t>
  </si>
  <si>
    <t>Industry View: In-Line</t>
  </si>
  <si>
    <t>Price as of 11 Apr 2018: 75.43</t>
  </si>
  <si>
    <t>Target Price: 85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</si>
  <si>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</si>
  <si>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</si>
  <si>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</si>
  <si>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</si>
  <si>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PerkinElmer Inc..</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</si>
  <si>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</si>
  <si>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</si>
  <si>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</si>
  <si>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</si>
  <si>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</si>
  <si>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</si>
  <si>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</si>
  <si>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</si>
  <si>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</si>
  <si>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</si>
  <si>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</si>
  <si>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</si>
  <si>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</si>
  <si>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</si>
  <si>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</si>
  <si>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</si>
  <si>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</si>
  <si>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</si>
  <si>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</si>
  <si>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</si>
  <si>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</si>
  <si>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</si>
  <si>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</si>
  <si>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</si>
  <si>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</si>
  <si>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</si>
  <si>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</si>
  <si>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</si>
  <si>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</si>
  <si>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</si>
  <si>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</si>
  <si>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</si>
  <si>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</si>
  <si>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</si>
  <si>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</si>
  <si>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</si>
  <si>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</si>
  <si>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</si>
  <si>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</si>
  <si>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</si>
  <si>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</si>
  <si>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</si>
  <si>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</si>
  <si>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</si>
  <si>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</si>
  <si>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</si>
  <si>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</si>
  <si>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</si>
  <si>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</si>
  <si>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</si>
  <si>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</si>
  <si>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</si>
  <si>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</si>
  <si>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</si>
  <si>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</si>
  <si>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</si>
  <si>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</si>
  <si>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</si>
  <si>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</si>
  <si>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</si>
  <si>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</si>
  <si>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</si>
  <si>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</si>
  <si>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</si>
  <si>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</si>
  <si>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</si>
  <si>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</si>
  <si>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</si>
  <si>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</si>
  <si>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</si>
  <si>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</si>
  <si>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</si>
  <si>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</si>
  <si>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</si>
  <si>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</si>
  <si>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</si>
  <si>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</si>
  <si>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</si>
  <si>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</si>
  <si>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</si>
  <si>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</si>
  <si>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</si>
  <si>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</si>
  <si>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</si>
  <si>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</si>
  <si>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</si>
  <si>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</si>
  <si>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</si>
  <si>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</si>
  <si>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</si>
  <si>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</si>
  <si>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</si>
  <si>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</si>
  <si>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</si>
  <si>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</si>
  <si>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</si>
  <si>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</si>
  <si>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</si>
  <si>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</si>
  <si>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</si>
  <si>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</si>
  <si>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</si>
  <si>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</si>
  <si>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</si>
  <si>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</si>
  <si>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</si>
  <si>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</si>
  <si>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</si>
  <si>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</si>
  <si>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</si>
  <si>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</si>
  <si>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</si>
  <si>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</si>
  <si>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</si>
  <si>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</si>
  <si>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</si>
  <si>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</si>
  <si>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</si>
  <si>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</si>
  <si>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</si>
  <si>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</si>
  <si>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</si>
  <si>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</si>
  <si>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</si>
  <si>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</si>
  <si>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</si>
  <si>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</si>
  <si>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</si>
  <si>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</si>
  <si>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</si>
  <si>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</si>
  <si>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</si>
  <si>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</si>
  <si>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</si>
  <si>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</si>
  <si>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</si>
  <si>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</si>
  <si>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</si>
  <si>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</si>
  <si>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</si>
  <si>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</si>
  <si>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</si>
  <si>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</si>
  <si>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</si>
  <si>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</si>
  <si>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</si>
  <si>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</si>
  <si>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</si>
  <si>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</si>
  <si>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</si>
  <si>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</si>
  <si>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</si>
  <si>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</si>
  <si>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</si>
  <si>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</si>
  <si>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</si>
  <si>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</si>
  <si>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</si>
  <si>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</si>
  <si>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</si>
  <si>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</si>
  <si>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</si>
  <si>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</si>
  <si>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</si>
  <si>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</si>
  <si>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</si>
  <si>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</si>
  <si>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</si>
  <si>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</si>
  <si>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</si>
  <si>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</si>
  <si>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</si>
  <si>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</si>
  <si>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</si>
  <si>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</si>
  <si>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</si>
  <si>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</si>
  <si>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</si>
  <si>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</si>
  <si>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</si>
  <si>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</si>
  <si>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</si>
  <si>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</si>
  <si>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</si>
  <si>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</si>
  <si>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</si>
  <si>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</si>
  <si>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</si>
  <si>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</si>
  <si>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</si>
  <si>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</si>
  <si>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</si>
  <si>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</si>
  <si>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</si>
  <si>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</si>
  <si>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</si>
  <si>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</si>
  <si>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</si>
  <si>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</si>
  <si>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</si>
  <si>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</si>
  <si>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</si>
  <si>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</si>
  <si>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</si>
  <si>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</si>
  <si>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</si>
  <si>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</si>
  <si>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</si>
  <si>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</si>
  <si>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</si>
  <si>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</si>
  <si>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</si>
  <si>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</si>
  <si>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</si>
  <si>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</si>
  <si>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</si>
  <si>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</si>
  <si>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</si>
  <si>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</si>
  <si>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</si>
  <si>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</si>
  <si>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</si>
  <si>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</si>
  <si>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</si>
  <si>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</si>
  <si>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</si>
  <si>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</si>
  <si>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</si>
  <si>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</si>
  <si>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</si>
  <si>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</si>
  <si>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</si>
  <si>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</si>
  <si>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</si>
  <si>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</si>
  <si>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</si>
  <si>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</si>
  <si>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</si>
  <si>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</si>
  <si>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</si>
  <si>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</si>
  <si>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PerkinElmer Inc..</t>
  </si>
  <si>
    <t>In the next 3 months, Morgan Stanley expects to receive or intends to seek compensation for investment</t>
  </si>
  <si>
    <t>banking services from PerkinElmer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</si>
  <si>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</si>
  <si>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</si>
  <si>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</si>
  <si>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</si>
  <si>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</si>
  <si>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Steve Beuchaw.</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</si>
  <si>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</si>
  <si>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</si>
  <si>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</si>
  <si>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</si>
  <si>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</si>
  <si>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</si>
  <si>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</si>
  <si>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</si>
  <si>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</si>
  <si>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</si>
  <si>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</si>
  <si>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</si>
  <si>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</si>
  <si>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</si>
  <si>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</si>
  <si>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</si>
  <si>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</si>
  <si>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</si>
  <si>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</si>
  <si>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</si>
  <si>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</si>
  <si>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</si>
  <si>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</si>
  <si>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</si>
  <si>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</si>
  <si>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</si>
  <si>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</si>
  <si>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</si>
  <si>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</si>
  <si>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</si>
  <si>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</si>
  <si>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</si>
  <si>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</si>
  <si>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</si>
  <si>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</si>
  <si>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</si>
  <si>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</si>
  <si>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</si>
  <si>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</si>
  <si>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</si>
  <si>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</si>
  <si>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</si>
  <si>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</si>
  <si>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</si>
  <si>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</si>
  <si>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</si>
  <si>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</si>
  <si>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</si>
  <si>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</si>
  <si>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</si>
  <si>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</si>
  <si>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</si>
  <si>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</si>
  <si>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</si>
  <si>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</si>
  <si>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</si>
  <si>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</si>
  <si>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</si>
  <si>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</si>
  <si>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</si>
  <si>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</si>
  <si>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</si>
  <si>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</si>
  <si>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</si>
  <si>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</si>
  <si>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</si>
  <si>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</si>
  <si>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</si>
  <si>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</si>
  <si>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</si>
  <si>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jerrosen</t>
  </si>
  <si>
    <t>MSA12974, MSA74LKH</t>
  </si>
  <si>
    <t>L:\HEALTH\Tools\Models\Published models\PKI_Published.xlsm</t>
  </si>
  <si>
    <t>[BRO MSA]</t>
  </si>
  <si>
    <t>[PRODUCT MODEL]</t>
  </si>
  <si>
    <t>[EMAIL_ALERT YES]</t>
  </si>
  <si>
    <t>[DISCIPLINE Company]</t>
  </si>
  <si>
    <t>[SUPPRESSED NO]</t>
  </si>
  <si>
    <t>[DOCDAT 2018-04-11]</t>
  </si>
  <si>
    <t>[DOCTIME 09:24]</t>
  </si>
  <si>
    <t>[PSYM PKI.N(S&amp;P) (None)]</t>
  </si>
  <si>
    <t>[COU 1]</t>
  </si>
  <si>
    <t>[ANA MSA74LKH]</t>
  </si>
  <si>
    <t>[HL PKI.N Model]</t>
  </si>
  <si>
    <t>[IND HLTHCR]</t>
  </si>
  <si>
    <t>[PANA MSA12974]</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</si>
</sst>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
    <numFmt numFmtId="165" formatCode="0.0%"/>
    <numFmt numFmtId="166" formatCode="_(&quot;$&quot;* #,##0.0_);_(&quot;$&quot;* \(#,##0.0\);_(&quot;$&quot;* &quot;-&quot;??_);_(@_)"/>
    <numFmt numFmtId="167" formatCode="&quot;$&quot;#,##0.0_);\(&quot;$&quot;#,##0.0\)"/>
    <numFmt numFmtId="168" formatCode="_(* #,##0.0000_);_(* \(#,##0.0000\);_(* &quot;-&quot;??_);_(@_)"/>
    <numFmt numFmtId="169" formatCode="[$-409]mmm\-yy;@"/>
    <numFmt numFmtId="170" formatCode="_(* #,##0_);_(* \(#,##0\);_(* &quot;-&quot;??_);_(@_)"/>
    <numFmt numFmtId="171" formatCode="_(&quot;$&quot;* #,##0_);_(&quot;$&quot;* \(#,##0\);_(&quot;$&quot;* &quot;-&quot;??_);_(@_)"/>
    <numFmt numFmtId="172" formatCode="_(* #,##0.000_);_(* \(#,##0.000\);_(* &quot;-&quot;??_);_(@_)"/>
    <numFmt numFmtId="173" formatCode="_(* #,##0.0_);_(* \(#,##0.0\);_(* &quot;-&quot;??_);_(@_)"/>
    <numFmt numFmtId="174" formatCode="#,##0.0_);\(#,##0.0\)"/>
    <numFmt numFmtId="175" formatCode="#,##0.000"/>
    <numFmt numFmtId="176" formatCode="_(* #,##0.00_);_(* \(#,##0.00\);_(* &quot;-&quot;?_);_(@_)"/>
    <numFmt numFmtId="177" formatCode="0.0\x"/>
    <numFmt numFmtId="178" formatCode="0.0_);\(0.0\)"/>
    <numFmt numFmtId="180" formatCode="&quot;$&quot;#,##0.00"/>
    <numFmt numFmtId="185" formatCode="_(* #,##0.0_);_(* \(#,##0.0\);_(* &quot;-&quot;_);_(@_)"/>
    <numFmt numFmtId="186" formatCode="&quot;$&quot;#,##0.000_);\(&quot;$&quot;#,##0.000\)"/>
    <numFmt numFmtId="188" formatCode="0_);[Red]\(0\)"/>
    <numFmt numFmtId="194" formatCode="_(* #,##0.00_);_(* \(#,##0.00\);_(* &quot;-&quot;_);_(@_)"/>
    <numFmt numFmtId="195" formatCode="0&quot;A&quot;"/>
    <numFmt numFmtId="196" formatCode="0&quot;E&quot;"/>
    <numFmt numFmtId="197" formatCode="#,##0.00000000000_);\(#,##0.00000000000\)"/>
    <numFmt numFmtId="199" formatCode="#,##0.0%_);\(#,##0.0%\)"/>
    <numFmt numFmtId="200" formatCode="#,##0.000_);\(#,##0.000\)"/>
    <numFmt numFmtId="201" formatCode="0.000%"/>
    <numFmt numFmtId="204" formatCode="_(* #,##0.00000_);_(* \(#,##0.00000\);_(* &quot;-&quot;??_);_(@_)"/>
    <numFmt numFmtId="205" formatCode="#,##0.0_);\(#,##0.0\);&quot;-&quot;"/>
    <numFmt numFmtId="206" formatCode="0.0000"/>
    <numFmt numFmtId="209" formatCode="_(* #,##0.0_);_(* \(#,##0.0\);_(* &quot;-&quot;?_);_(@_)"/>
    <numFmt numFmtId="210" formatCode="_(* #,##0.0000_);_(* \(#,##0.0000\);_(* &quot;-&quot;?_);_(@_)"/>
    <numFmt numFmtId="211" formatCode="#,##0.0"/>
    <numFmt numFmtId="213" formatCode="_(* #,##0.000_);_(* \(#,##0.000\);_(* &quot;-&quot;_);_(@_)"/>
    <numFmt numFmtId="214" formatCode="#,##0_);\(#,##0\);&quot;-&quot;"/>
    <numFmt numFmtId="215" formatCode="_ * #,##0_ ;_ * \-#,##0_ ;_ * &quot;-&quot;_ ;_ @_ "/>
    <numFmt numFmtId="216" formatCode="&quot;$&quot;#,##0"/>
    <numFmt numFmtId="220" formatCode="0_)"/>
    <numFmt numFmtId="228" formatCode="mm/dd/yy\ hh:mm"/>
  </numFmts>
  <fonts count="114">
    <font>
      <sz val="10"/>
      <name val="Arial"/>
    </font>
    <font>
      <sz val="10"/>
      <name val="Arial"/>
      <family val="2"/>
    </font>
    <font>
      <sz val="8"/>
      <name val="Arial"/>
      <family val="2"/>
    </font>
    <font>
      <sz val="8"/>
      <name val="Arial"/>
      <family val="2"/>
    </font>
    <font>
      <b/>
      <sz val="8"/>
      <color indexed="8"/>
      <name val="Arial"/>
      <family val="2"/>
    </font>
    <font>
      <sz val="8"/>
      <name val="Times"/>
      <family val="1"/>
    </font>
    <font>
      <b/>
      <sz val="8"/>
      <name val="Arial"/>
      <family val="2"/>
    </font>
    <font>
      <sz val="8"/>
      <color indexed="8"/>
      <name val="Arial"/>
      <family val="2"/>
    </font>
    <font>
      <i/>
      <sz val="8"/>
      <color indexed="8"/>
      <name val="Arial"/>
      <family val="2"/>
    </font>
    <font>
      <i/>
      <sz val="8"/>
      <name val="Arial"/>
      <family val="2"/>
    </font>
    <font>
      <sz val="10"/>
      <name val="Arial"/>
      <family val="2"/>
    </font>
    <font>
      <b/>
      <sz val="8"/>
      <color indexed="9"/>
      <name val="Arial"/>
      <family val="2"/>
    </font>
    <font>
      <b/>
      <sz val="8"/>
      <color indexed="12"/>
      <name val="Arial"/>
      <family val="2"/>
    </font>
    <font>
      <sz val="11"/>
      <color indexed="62"/>
      <name val="Calibri"/>
      <family val="2"/>
    </font>
    <font>
      <sz val="8"/>
      <color indexed="12"/>
      <name val="Arial"/>
      <family val="2"/>
    </font>
    <font>
      <i/>
      <sz val="8"/>
      <color indexed="12"/>
      <name val="Arial"/>
      <family val="2"/>
    </font>
    <font>
      <sz val="8"/>
      <color indexed="9"/>
      <name val="Arial"/>
      <family val="2"/>
    </font>
    <font>
      <b/>
      <u/>
      <sz val="8"/>
      <color indexed="9"/>
      <name val="Arial"/>
      <family val="2"/>
    </font>
    <font>
      <b/>
      <u/>
      <sz val="8"/>
      <name val="Arial"/>
      <family val="2"/>
    </font>
    <font>
      <b/>
      <u/>
      <sz val="8"/>
      <color indexed="8"/>
      <name val="Arial"/>
      <family val="2"/>
    </font>
    <font>
      <b/>
      <i/>
      <sz val="8"/>
      <name val="Arial"/>
      <family val="2"/>
    </font>
    <font>
      <b/>
      <sz val="10"/>
      <name val="Arial"/>
      <family val="2"/>
    </font>
    <font>
      <sz val="8"/>
      <name val="Times New Roman"/>
      <family val="1"/>
    </font>
    <font>
      <b/>
      <sz val="8"/>
      <color indexed="10"/>
      <name val="Arial"/>
      <family val="2"/>
    </font>
    <font>
      <sz val="8"/>
      <color indexed="12"/>
      <name val="Arial"/>
      <family val="2"/>
    </font>
    <font>
      <sz val="8"/>
      <name val="Times New Roman"/>
      <family val="1"/>
    </font>
    <font>
      <sz val="8"/>
      <name val="Tms Rmn"/>
    </font>
    <font>
      <sz val="8"/>
      <color indexed="17"/>
      <name val="Arial"/>
      <family val="2"/>
    </font>
    <font>
      <b/>
      <sz val="10"/>
      <color indexed="9"/>
      <name val="Arial"/>
      <family val="2"/>
    </font>
    <font>
      <sz val="11"/>
      <name val="Arial"/>
      <family val="2"/>
    </font>
    <font>
      <sz val="8"/>
      <color indexed="10"/>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0"/>
      <color indexed="9"/>
      <name val="Arial"/>
      <family val="2"/>
    </font>
    <font>
      <sz val="8"/>
      <color indexed="22"/>
      <name val="Arial"/>
      <family val="2"/>
    </font>
    <font>
      <i/>
      <sz val="10"/>
      <name val="Arial"/>
      <family val="2"/>
    </font>
    <font>
      <b/>
      <sz val="10"/>
      <color indexed="12"/>
      <name val="Arial"/>
      <family val="2"/>
    </font>
    <font>
      <sz val="8"/>
      <color indexed="57"/>
      <name val="Arial"/>
      <family val="2"/>
    </font>
    <font>
      <sz val="8"/>
      <color indexed="10"/>
      <name val="Arial"/>
      <family val="2"/>
    </font>
    <font>
      <sz val="8"/>
      <name val="Times"/>
      <family val="1"/>
    </font>
    <font>
      <b/>
      <sz val="8"/>
      <name val="Arial"/>
      <family val="2"/>
    </font>
    <font>
      <sz val="8"/>
      <color indexed="8"/>
      <name val="Arial"/>
      <family val="2"/>
    </font>
    <font>
      <b/>
      <sz val="8"/>
      <color indexed="12"/>
      <name val="Arial"/>
      <family val="2"/>
    </font>
    <font>
      <b/>
      <sz val="8"/>
      <color indexed="8"/>
      <name val="Arial"/>
      <family val="2"/>
    </font>
    <font>
      <sz val="8"/>
      <color indexed="17"/>
      <name val="Arial"/>
      <family val="2"/>
    </font>
    <font>
      <sz val="10"/>
      <color indexed="8"/>
      <name val="Arial"/>
      <family val="2"/>
    </font>
    <font>
      <b/>
      <sz val="8"/>
      <color indexed="9"/>
      <name val="Arial"/>
      <family val="2"/>
    </font>
    <font>
      <sz val="10"/>
      <name val="Helv"/>
    </font>
    <font>
      <sz val="10"/>
      <name val="Helvetica"/>
      <family val="2"/>
    </font>
    <font>
      <i/>
      <sz val="8"/>
      <color indexed="17"/>
      <name val="Arial"/>
      <family val="2"/>
    </font>
    <font>
      <i/>
      <sz val="8"/>
      <color indexed="10"/>
      <name val="Arial"/>
      <family val="2"/>
    </font>
    <font>
      <b/>
      <sz val="10"/>
      <name val="Arial"/>
      <family val="2"/>
    </font>
    <font>
      <b/>
      <sz val="10"/>
      <color indexed="8"/>
      <name val="Arial"/>
      <family val="2"/>
    </font>
    <font>
      <i/>
      <sz val="8"/>
      <color indexed="8"/>
      <name val="Arial"/>
      <family val="2"/>
    </font>
    <font>
      <i/>
      <sz val="8"/>
      <color indexed="10"/>
      <name val="Arial"/>
      <family val="2"/>
    </font>
    <font>
      <sz val="8"/>
      <color indexed="18"/>
      <name val="Arial"/>
      <family val="2"/>
    </font>
    <font>
      <sz val="8"/>
      <color indexed="9"/>
      <name val="Arial"/>
      <family val="2"/>
    </font>
    <font>
      <b/>
      <sz val="8"/>
      <color indexed="17"/>
      <name val="Arial"/>
      <family val="2"/>
    </font>
    <font>
      <sz val="8"/>
      <color indexed="18"/>
      <name val="Arial"/>
      <family val="2"/>
    </font>
    <font>
      <i/>
      <sz val="8"/>
      <color indexed="1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i/>
      <sz val="8"/>
      <name val="Arial"/>
      <family val="2"/>
    </font>
    <font>
      <b/>
      <sz val="8"/>
      <color indexed="17"/>
      <name val="Arial"/>
      <family val="2"/>
    </font>
    <font>
      <sz val="8"/>
      <color indexed="44"/>
      <name val="Arial"/>
      <family val="2"/>
    </font>
    <font>
      <sz val="8"/>
      <color indexed="22"/>
      <name val="Arial"/>
      <family val="2"/>
    </font>
    <font>
      <b/>
      <u/>
      <sz val="8"/>
      <color indexed="9"/>
      <name val="Arial"/>
      <family val="2"/>
    </font>
    <font>
      <b/>
      <u/>
      <sz val="8"/>
      <name val="Arial"/>
      <family val="2"/>
    </font>
    <font>
      <b/>
      <i/>
      <sz val="10"/>
      <name val="Arial"/>
      <family val="2"/>
    </font>
    <font>
      <b/>
      <sz val="8"/>
      <color theme="0"/>
      <name val="Arial"/>
      <family val="2"/>
    </font>
    <font>
      <sz val="8"/>
      <color rgb="FF0070C0"/>
      <name val="Arial"/>
      <family val="2"/>
    </font>
    <font>
      <b/>
      <sz val="8"/>
      <color rgb="FF0070C0"/>
      <name val="Arial"/>
      <family val="2"/>
    </font>
    <font>
      <sz val="8"/>
      <color theme="0"/>
      <name val="Arial"/>
      <family val="2"/>
    </font>
    <font>
      <sz val="10"/>
      <color theme="0"/>
      <name val="Arial"/>
      <family val="2"/>
    </font>
    <font>
      <sz val="8"/>
      <color theme="4" tint="-0.249977111117893"/>
      <name val="Arial"/>
      <family val="2"/>
    </font>
    <font>
      <b/>
      <sz val="8"/>
      <color rgb="FFFF0000"/>
      <name val="Arial"/>
      <family val="2"/>
    </font>
    <font>
      <sz val="8"/>
      <color rgb="FFFF0000"/>
      <name val="Arial"/>
      <family val="2"/>
    </font>
    <font>
      <sz val="8"/>
      <color theme="0" tint="-0.249977111117893"/>
      <name val="Arial"/>
      <family val="2"/>
    </font>
    <font>
      <sz val="8"/>
      <color rgb="FF008000"/>
      <name val="Arial"/>
      <family val="2"/>
    </font>
    <font>
      <i/>
      <sz val="8"/>
      <color rgb="FF0070C0"/>
      <name val="Arial"/>
      <family val="2"/>
    </font>
    <font>
      <sz val="8"/>
      <color rgb="FF00B050"/>
      <name val="Arial"/>
      <family val="2"/>
    </font>
    <font>
      <sz val="8"/>
      <color rgb="FF2270AB"/>
      <name val="Arial"/>
      <family val="2"/>
    </font>
    <font>
      <sz val="8"/>
      <color rgb="FF238B45"/>
      <name val="Arial"/>
      <family val="2"/>
    </font>
    <font>
      <b/>
      <sz val="8"/>
      <color rgb="FF238B45"/>
      <name val="Arial"/>
      <family val="2"/>
    </font>
    <font>
      <sz val="12"/>
      <name val="바탕체"/>
      <family val="1"/>
      <charset val="129"/>
    </font>
    <font>
      <sz val="10"/>
      <color rgb="FF0070C0"/>
      <name val="Arial"/>
      <family val="2"/>
    </font>
    <font>
      <sz val="10"/>
      <color rgb="FF7030A0"/>
      <name val="Arial"/>
      <family val="2"/>
    </font>
    <font>
      <b/>
      <sz val="10"/>
      <color rgb="FF7030A0"/>
      <name val="Arial"/>
      <family val="2"/>
    </font>
    <font>
      <b/>
      <sz val="10"/>
      <color rgb="FF0070C0"/>
      <name val="Arial"/>
      <family val="2"/>
    </font>
    <font>
      <i/>
      <sz val="10"/>
      <color rgb="FF0070C0"/>
      <name val="Arial"/>
      <family val="2"/>
    </font>
    <font>
      <b/>
      <i/>
      <sz val="10"/>
      <color rgb="FF0070C0"/>
      <name val="Arial"/>
      <family val="2"/>
    </font>
    <font>
      <i/>
      <sz val="10"/>
      <color rgb="FF7030A0"/>
      <name val="Arial"/>
      <family val="2"/>
    </font>
    <font>
      <b/>
      <sz val="8"/>
      <color theme="1"/>
      <name val="Arial"/>
      <family val="2"/>
    </font>
    <font>
      <sz val="8"/>
      <color rgb="FF7030A0"/>
      <name val="Arial"/>
      <family val="2"/>
    </font>
    <font>
      <sz val="10"/>
      <name val="Courier"/>
      <family val="3"/>
    </font>
    <font>
      <sz val="10"/>
      <color rgb="FF000000"/>
      <name val="Arial"/>
      <family val="2"/>
    </font>
    <font>
      <b/>
      <sz val="12"/>
      <color rgb="FF000080"/>
      <name val="Arial"/>
      <family val="2"/>
    </font>
  </fonts>
  <fills count="32">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9"/>
        <bgColor indexed="64"/>
      </patternFill>
    </fill>
    <fill>
      <patternFill patternType="solid">
        <fgColor indexed="8"/>
        <bgColor indexed="64"/>
      </patternFill>
    </fill>
    <fill>
      <patternFill patternType="solid">
        <fgColor indexed="22"/>
        <bgColor indexed="64"/>
      </patternFill>
    </fill>
    <fill>
      <patternFill patternType="solid">
        <fgColor indexed="51"/>
        <bgColor indexed="64"/>
      </patternFill>
    </fill>
    <fill>
      <patternFill patternType="solid">
        <fgColor theme="1"/>
        <bgColor indexed="64"/>
      </patternFill>
    </fill>
    <fill>
      <patternFill patternType="solid">
        <fgColor theme="4" tint="-0.249977111117893"/>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D9D9D9"/>
        <bgColor indexed="64"/>
      </patternFill>
    </fill>
    <fill>
      <patternFill patternType="solid">
        <fgColor indexed="65"/>
        <bgColor indexed="64"/>
      </patternFill>
    </fill>
  </fills>
  <borders count="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style="thin">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thin">
        <color indexed="64"/>
      </top>
      <bottom style="thin">
        <color indexed="64"/>
      </bottom>
      <diagonal/>
    </border>
    <border>
      <left/>
      <right/>
      <top/>
      <bottom style="medium">
        <color indexed="8"/>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top style="thin">
        <color indexed="8"/>
      </top>
      <bottom/>
      <diagonal/>
    </border>
    <border>
      <left style="thin">
        <color indexed="64"/>
      </left>
      <right/>
      <top/>
      <bottom style="medium">
        <color indexed="8"/>
      </bottom>
      <diagonal/>
    </border>
    <border>
      <left style="thin">
        <color indexed="8"/>
      </left>
      <right style="thin">
        <color indexed="8"/>
      </right>
      <top/>
      <bottom style="medium">
        <color indexed="8"/>
      </bottom>
      <diagonal/>
    </border>
    <border>
      <left style="thin">
        <color indexed="64"/>
      </left>
      <right style="thin">
        <color indexed="8"/>
      </right>
      <top/>
      <bottom/>
      <diagonal/>
    </border>
    <border>
      <left style="thin">
        <color indexed="8"/>
      </left>
      <right style="thin">
        <color indexed="8"/>
      </right>
      <top/>
      <bottom/>
      <diagonal/>
    </border>
    <border>
      <left style="thin">
        <color indexed="63"/>
      </left>
      <right/>
      <top/>
      <bottom/>
      <diagonal/>
    </border>
    <border>
      <left style="thin">
        <color indexed="63"/>
      </left>
      <right/>
      <top style="thin">
        <color indexed="63"/>
      </top>
      <bottom style="thin">
        <color indexed="63"/>
      </bottom>
      <diagonal/>
    </border>
    <border>
      <left/>
      <right/>
      <top style="thin">
        <color indexed="63"/>
      </top>
      <bottom style="thin">
        <color indexed="63"/>
      </bottom>
      <diagonal/>
    </border>
    <border>
      <left style="thin">
        <color indexed="64"/>
      </left>
      <right/>
      <top style="thin">
        <color indexed="63"/>
      </top>
      <bottom style="thin">
        <color indexed="63"/>
      </bottom>
      <diagonal/>
    </border>
    <border>
      <left style="thin">
        <color indexed="8"/>
      </left>
      <right style="thin">
        <color indexed="8"/>
      </right>
      <top style="thin">
        <color indexed="63"/>
      </top>
      <bottom style="thin">
        <color indexed="63"/>
      </bottom>
      <diagonal/>
    </border>
    <border>
      <left style="thin">
        <color indexed="63"/>
      </left>
      <right style="thin">
        <color indexed="63"/>
      </right>
      <top style="thin">
        <color indexed="63"/>
      </top>
      <bottom/>
      <diagonal/>
    </border>
    <border>
      <left style="thin">
        <color indexed="63"/>
      </left>
      <right/>
      <top style="thin">
        <color indexed="63"/>
      </top>
      <bottom/>
      <diagonal/>
    </border>
    <border>
      <left style="thin">
        <color indexed="8"/>
      </left>
      <right style="thin">
        <color indexed="8"/>
      </right>
      <top style="thin">
        <color indexed="64"/>
      </top>
      <bottom style="thin">
        <color indexed="64"/>
      </bottom>
      <diagonal/>
    </border>
    <border>
      <left style="thin">
        <color indexed="64"/>
      </left>
      <right style="thin">
        <color indexed="8"/>
      </right>
      <top/>
      <bottom style="medium">
        <color indexed="8"/>
      </bottom>
      <diagonal/>
    </border>
    <border>
      <left style="thin">
        <color indexed="64"/>
      </left>
      <right style="thin">
        <color indexed="8"/>
      </right>
      <top style="thin">
        <color indexed="63"/>
      </top>
      <bottom style="thin">
        <color indexed="63"/>
      </bottom>
      <diagonal/>
    </border>
    <border>
      <left style="thin">
        <color indexed="64"/>
      </left>
      <right style="thin">
        <color indexed="63"/>
      </right>
      <top style="thin">
        <color indexed="63"/>
      </top>
      <bottom/>
      <diagonal/>
    </border>
    <border>
      <left style="thin">
        <color indexed="64"/>
      </left>
      <right style="thin">
        <color indexed="8"/>
      </right>
      <top style="thin">
        <color indexed="64"/>
      </top>
      <bottom style="thin">
        <color indexed="64"/>
      </bottom>
      <diagonal/>
    </border>
    <border>
      <left style="thin">
        <color indexed="63"/>
      </left>
      <right/>
      <top/>
      <bottom style="thin">
        <color indexed="63"/>
      </bottom>
      <diagonal/>
    </border>
    <border>
      <left/>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style="thin">
        <color indexed="64"/>
      </right>
      <top style="thin">
        <color indexed="64"/>
      </top>
      <bottom style="thin">
        <color indexed="8"/>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top/>
      <bottom style="thin">
        <color indexed="63"/>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8"/>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4">
    <xf numFmtId="0" fontId="0" fillId="0" borderId="0"/>
    <xf numFmtId="0" fontId="1" fillId="15" borderId="0" applyNumberFormat="0" applyFont="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0" fillId="0" borderId="0" applyNumberFormat="0" applyFill="0" applyBorder="0" applyAlignment="0" applyProtection="0"/>
    <xf numFmtId="0" fontId="1" fillId="0" borderId="0"/>
    <xf numFmtId="0" fontId="31" fillId="0" borderId="0"/>
    <xf numFmtId="0" fontId="31" fillId="0" borderId="0"/>
    <xf numFmtId="0" fontId="63" fillId="2" borderId="0" applyNumberFormat="0" applyBorder="0" applyAlignment="0" applyProtection="0"/>
    <xf numFmtId="0" fontId="63" fillId="3" borderId="0" applyNumberFormat="0" applyBorder="0" applyAlignment="0" applyProtection="0"/>
    <xf numFmtId="0" fontId="63" fillId="4" borderId="0" applyNumberFormat="0" applyBorder="0" applyAlignment="0" applyProtection="0"/>
    <xf numFmtId="0" fontId="63" fillId="2" borderId="0" applyNumberFormat="0" applyBorder="0" applyAlignment="0" applyProtection="0"/>
    <xf numFmtId="0" fontId="63" fillId="5" borderId="0" applyNumberFormat="0" applyBorder="0" applyAlignment="0" applyProtection="0"/>
    <xf numFmtId="0" fontId="63" fillId="4" borderId="0" applyNumberFormat="0" applyBorder="0" applyAlignment="0" applyProtection="0"/>
    <xf numFmtId="0" fontId="63" fillId="6" borderId="0" applyNumberFormat="0" applyBorder="0" applyAlignment="0" applyProtection="0"/>
    <xf numFmtId="0" fontId="63" fillId="3" borderId="0" applyNumberFormat="0" applyBorder="0" applyAlignment="0" applyProtection="0"/>
    <xf numFmtId="0" fontId="63" fillId="4" borderId="0" applyNumberFormat="0" applyBorder="0" applyAlignment="0" applyProtection="0"/>
    <xf numFmtId="0" fontId="63" fillId="6" borderId="0" applyNumberFormat="0" applyBorder="0" applyAlignment="0" applyProtection="0"/>
    <xf numFmtId="0" fontId="63" fillId="7" borderId="0" applyNumberFormat="0" applyBorder="0" applyAlignment="0" applyProtection="0"/>
    <xf numFmtId="0" fontId="63" fillId="4" borderId="0" applyNumberFormat="0" applyBorder="0" applyAlignment="0" applyProtection="0"/>
    <xf numFmtId="0" fontId="64" fillId="8" borderId="0" applyNumberFormat="0" applyBorder="0" applyAlignment="0" applyProtection="0"/>
    <xf numFmtId="0" fontId="64" fillId="3" borderId="0" applyNumberFormat="0" applyBorder="0" applyAlignment="0" applyProtection="0"/>
    <xf numFmtId="0" fontId="64" fillId="9" borderId="0" applyNumberFormat="0" applyBorder="0" applyAlignment="0" applyProtection="0"/>
    <xf numFmtId="0" fontId="64" fillId="6" borderId="0" applyNumberFormat="0" applyBorder="0" applyAlignment="0" applyProtection="0"/>
    <xf numFmtId="0" fontId="64" fillId="8" borderId="0" applyNumberFormat="0" applyBorder="0" applyAlignment="0" applyProtection="0"/>
    <xf numFmtId="0" fontId="64" fillId="4" borderId="0" applyNumberFormat="0" applyBorder="0" applyAlignment="0" applyProtection="0"/>
    <xf numFmtId="0" fontId="64" fillId="8" borderId="0" applyNumberFormat="0" applyBorder="0" applyAlignment="0" applyProtection="0"/>
    <xf numFmtId="0" fontId="64" fillId="3" borderId="0" applyNumberFormat="0" applyBorder="0" applyAlignment="0" applyProtection="0"/>
    <xf numFmtId="0" fontId="64" fillId="9" borderId="0" applyNumberFormat="0" applyBorder="0" applyAlignment="0" applyProtection="0"/>
    <xf numFmtId="0" fontId="64" fillId="10" borderId="0" applyNumberFormat="0" applyBorder="0" applyAlignment="0" applyProtection="0"/>
    <xf numFmtId="0" fontId="64" fillId="8" borderId="0" applyNumberFormat="0" applyBorder="0" applyAlignment="0" applyProtection="0"/>
    <xf numFmtId="0" fontId="64" fillId="3" borderId="0" applyNumberFormat="0" applyBorder="0" applyAlignment="0" applyProtection="0"/>
    <xf numFmtId="0" fontId="65" fillId="11" borderId="0" applyNumberFormat="0" applyBorder="0" applyAlignment="0" applyProtection="0"/>
    <xf numFmtId="0" fontId="32" fillId="0" borderId="0"/>
    <xf numFmtId="0" fontId="66" fillId="12" borderId="1" applyNumberFormat="0" applyAlignment="0" applyProtection="0"/>
    <xf numFmtId="0" fontId="67" fillId="13" borderId="2" applyNumberFormat="0" applyAlignment="0" applyProtection="0"/>
    <xf numFmtId="43" fontId="1" fillId="0" borderId="0" applyFont="0" applyFill="0" applyBorder="0" applyAlignment="0" applyProtection="0"/>
    <xf numFmtId="43" fontId="10" fillId="0" borderId="0" applyFont="0" applyFill="0" applyBorder="0" applyAlignment="0" applyProtection="0"/>
    <xf numFmtId="44" fontId="1" fillId="0" borderId="0" applyFont="0" applyFill="0" applyBorder="0" applyAlignment="0" applyProtection="0"/>
    <xf numFmtId="0" fontId="68" fillId="0" borderId="0" applyNumberFormat="0" applyFill="0" applyBorder="0" applyAlignment="0" applyProtection="0"/>
    <xf numFmtId="0" fontId="69" fillId="14" borderId="0" applyNumberFormat="0" applyBorder="0" applyAlignment="0" applyProtection="0"/>
    <xf numFmtId="0" fontId="70" fillId="0" borderId="3" applyNumberFormat="0" applyFill="0" applyAlignment="0" applyProtection="0"/>
    <xf numFmtId="0" fontId="71" fillId="0" borderId="4" applyNumberFormat="0" applyFill="0" applyAlignment="0" applyProtection="0"/>
    <xf numFmtId="0" fontId="72" fillId="0" borderId="5" applyNumberFormat="0" applyFill="0" applyAlignment="0" applyProtection="0"/>
    <xf numFmtId="0" fontId="72" fillId="0" borderId="0" applyNumberFormat="0" applyFill="0" applyBorder="0" applyAlignment="0" applyProtection="0"/>
    <xf numFmtId="0" fontId="13" fillId="4" borderId="1" applyNumberFormat="0" applyAlignment="0" applyProtection="0"/>
    <xf numFmtId="0" fontId="73" fillId="0" borderId="6" applyNumberFormat="0" applyFill="0" applyAlignment="0" applyProtection="0"/>
    <xf numFmtId="0" fontId="74" fillId="4" borderId="0" applyNumberFormat="0" applyBorder="0" applyAlignment="0" applyProtection="0"/>
    <xf numFmtId="0" fontId="1" fillId="0" borderId="0"/>
    <xf numFmtId="0" fontId="10" fillId="0" borderId="0"/>
    <xf numFmtId="0" fontId="5" fillId="0" borderId="0"/>
    <xf numFmtId="0" fontId="26" fillId="0" borderId="0"/>
    <xf numFmtId="0" fontId="42" fillId="0" borderId="0"/>
    <xf numFmtId="0" fontId="26" fillId="0" borderId="0"/>
    <xf numFmtId="0" fontId="26" fillId="0" borderId="0"/>
    <xf numFmtId="0" fontId="5" fillId="0" borderId="0"/>
    <xf numFmtId="0" fontId="10" fillId="0" borderId="0" applyNumberFormat="0" applyFill="0" applyBorder="0" applyAlignment="0" applyProtection="0"/>
    <xf numFmtId="0" fontId="25" fillId="0" borderId="0"/>
    <xf numFmtId="0" fontId="1" fillId="0" borderId="0"/>
    <xf numFmtId="0" fontId="10" fillId="0" borderId="0"/>
    <xf numFmtId="0" fontId="10" fillId="0" borderId="0"/>
    <xf numFmtId="0" fontId="10" fillId="0" borderId="0" applyNumberFormat="0" applyFill="0" applyBorder="0" applyAlignment="0" applyProtection="0"/>
    <xf numFmtId="0" fontId="50" fillId="0" borderId="0"/>
    <xf numFmtId="0" fontId="51" fillId="0" borderId="0"/>
    <xf numFmtId="0" fontId="22" fillId="0" borderId="0"/>
    <xf numFmtId="0" fontId="25" fillId="0" borderId="0"/>
    <xf numFmtId="0" fontId="1" fillId="4" borderId="7" applyNumberFormat="0" applyFont="0" applyAlignment="0" applyProtection="0"/>
    <xf numFmtId="0" fontId="75" fillId="12" borderId="8" applyNumberFormat="0" applyAlignment="0" applyProtection="0"/>
    <xf numFmtId="0" fontId="33" fillId="0" borderId="0">
      <alignment vertical="center"/>
    </xf>
    <xf numFmtId="9" fontId="1" fillId="0" borderId="0" applyFont="0" applyFill="0" applyBorder="0" applyAlignment="0" applyProtection="0"/>
    <xf numFmtId="0" fontId="10" fillId="15" borderId="0" applyNumberFormat="0" applyFont="0" applyBorder="0" applyAlignment="0" applyProtection="0"/>
    <xf numFmtId="0" fontId="34" fillId="0" borderId="0"/>
    <xf numFmtId="0" fontId="34" fillId="0" borderId="9">
      <alignment horizontal="centerContinuous"/>
    </xf>
    <xf numFmtId="0" fontId="35" fillId="0" borderId="9"/>
    <xf numFmtId="0" fontId="10" fillId="0" borderId="0" applyFill="0" applyAlignment="0">
      <protection locked="0"/>
    </xf>
    <xf numFmtId="0" fontId="76" fillId="0" borderId="0" applyNumberFormat="0" applyFill="0" applyBorder="0" applyAlignment="0" applyProtection="0"/>
    <xf numFmtId="0" fontId="77" fillId="0" borderId="10" applyNumberFormat="0" applyFill="0" applyAlignment="0" applyProtection="0"/>
    <xf numFmtId="0" fontId="78" fillId="0" borderId="0" applyNumberFormat="0" applyFill="0" applyBorder="0" applyAlignment="0" applyProtection="0"/>
    <xf numFmtId="0" fontId="1" fillId="0" borderId="0" applyNumberFormat="0" applyFill="0" applyBorder="0" applyAlignment="0" applyProtection="0"/>
    <xf numFmtId="0" fontId="50" fillId="0" borderId="0"/>
    <xf numFmtId="0" fontId="31" fillId="0" borderId="0"/>
    <xf numFmtId="9" fontId="1" fillId="0" borderId="0" applyFont="0" applyFill="0" applyBorder="0" applyAlignment="0" applyProtection="0"/>
    <xf numFmtId="215" fontId="101" fillId="0" borderId="0" applyFont="0" applyFill="0" applyBorder="0" applyAlignment="0" applyProtection="0"/>
    <xf numFmtId="0" fontId="10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220" fontId="31" fillId="0" borderId="0"/>
    <xf numFmtId="0" fontId="31" fillId="0" borderId="0"/>
    <xf numFmtId="220" fontId="31" fillId="0" borderId="0"/>
    <xf numFmtId="0" fontId="1" fillId="0" borderId="0"/>
    <xf numFmtId="0" fontId="1" fillId="0" borderId="0"/>
    <xf numFmtId="0" fontId="1" fillId="0" borderId="0"/>
    <xf numFmtId="0" fontId="111" fillId="0" borderId="0"/>
  </cellStyleXfs>
  <cellXfs count="2403">
    <xf numFmtId="0" fontId="0" fillId="0" borderId="0" xfId="0"/>
    <xf numFmtId="174" fontId="3" fillId="0" borderId="0" xfId="0" applyNumberFormat="1" applyFont="1" applyFill="1" applyBorder="1" applyAlignment="1">
      <alignment horizontal="left" indent="2"/>
    </xf>
    <xf numFmtId="174" fontId="7" fillId="0" borderId="0" xfId="0" applyNumberFormat="1" applyFont="1" applyFill="1" applyBorder="1"/>
    <xf numFmtId="174" fontId="3" fillId="0" borderId="11" xfId="36" applyNumberFormat="1" applyFont="1" applyFill="1" applyBorder="1"/>
    <xf numFmtId="174" fontId="3" fillId="0" borderId="0" xfId="36" applyNumberFormat="1" applyFont="1" applyFill="1" applyBorder="1"/>
    <xf numFmtId="174" fontId="14" fillId="0" borderId="0" xfId="0" applyNumberFormat="1" applyFont="1" applyFill="1" applyBorder="1"/>
    <xf numFmtId="174" fontId="14" fillId="16" borderId="0" xfId="0" applyNumberFormat="1" applyFont="1" applyFill="1" applyBorder="1"/>
    <xf numFmtId="174" fontId="3" fillId="0" borderId="0" xfId="0" applyNumberFormat="1" applyFont="1" applyFill="1" applyBorder="1" applyAlignment="1"/>
    <xf numFmtId="174" fontId="7" fillId="0" borderId="12" xfId="0" applyNumberFormat="1" applyFont="1" applyFill="1" applyBorder="1"/>
    <xf numFmtId="174" fontId="3" fillId="0" borderId="12" xfId="0" applyNumberFormat="1" applyFont="1" applyFill="1" applyBorder="1"/>
    <xf numFmtId="174" fontId="3" fillId="0" borderId="13" xfId="0" applyNumberFormat="1" applyFont="1" applyFill="1" applyBorder="1"/>
    <xf numFmtId="174" fontId="14" fillId="0" borderId="12" xfId="0" applyNumberFormat="1" applyFont="1" applyFill="1" applyBorder="1"/>
    <xf numFmtId="174" fontId="3" fillId="0" borderId="14" xfId="36" applyNumberFormat="1" applyFont="1" applyFill="1" applyBorder="1"/>
    <xf numFmtId="174" fontId="7" fillId="0" borderId="15" xfId="36" applyNumberFormat="1" applyFont="1" applyFill="1" applyBorder="1"/>
    <xf numFmtId="174" fontId="3" fillId="0" borderId="16" xfId="36" applyNumberFormat="1" applyFont="1" applyFill="1" applyBorder="1"/>
    <xf numFmtId="174" fontId="3" fillId="0" borderId="17" xfId="36" applyNumberFormat="1" applyFont="1" applyFill="1" applyBorder="1"/>
    <xf numFmtId="174" fontId="3" fillId="0" borderId="15" xfId="36" applyNumberFormat="1" applyFont="1" applyFill="1" applyBorder="1"/>
    <xf numFmtId="174" fontId="14" fillId="0" borderId="15" xfId="36" applyNumberFormat="1" applyFont="1" applyFill="1" applyBorder="1"/>
    <xf numFmtId="174" fontId="8" fillId="0" borderId="0" xfId="0" applyNumberFormat="1" applyFont="1" applyFill="1" applyBorder="1"/>
    <xf numFmtId="174" fontId="9" fillId="0" borderId="18" xfId="36" applyNumberFormat="1" applyFont="1" applyFill="1" applyBorder="1"/>
    <xf numFmtId="174" fontId="9" fillId="0" borderId="19" xfId="36" applyNumberFormat="1" applyFont="1" applyFill="1" applyBorder="1"/>
    <xf numFmtId="174" fontId="9" fillId="0" borderId="0" xfId="36" applyNumberFormat="1" applyFont="1" applyFill="1" applyBorder="1"/>
    <xf numFmtId="174" fontId="15" fillId="0" borderId="0" xfId="36" applyNumberFormat="1" applyFont="1" applyFill="1" applyBorder="1"/>
    <xf numFmtId="174" fontId="15" fillId="0" borderId="18" xfId="36" applyNumberFormat="1" applyFont="1" applyFill="1" applyBorder="1"/>
    <xf numFmtId="174" fontId="15" fillId="0" borderId="0" xfId="0" applyNumberFormat="1" applyFont="1" applyFill="1" applyBorder="1"/>
    <xf numFmtId="174" fontId="15" fillId="0" borderId="19" xfId="36" applyNumberFormat="1" applyFont="1" applyFill="1" applyBorder="1"/>
    <xf numFmtId="174" fontId="3" fillId="0" borderId="18" xfId="36" applyNumberFormat="1" applyFont="1" applyFill="1" applyBorder="1"/>
    <xf numFmtId="174" fontId="3" fillId="0" borderId="19" xfId="36" applyNumberFormat="1" applyFont="1" applyFill="1" applyBorder="1"/>
    <xf numFmtId="174" fontId="14" fillId="0" borderId="18" xfId="36" applyNumberFormat="1" applyFont="1" applyFill="1" applyBorder="1"/>
    <xf numFmtId="174" fontId="14" fillId="0" borderId="19" xfId="36" applyNumberFormat="1" applyFont="1" applyFill="1" applyBorder="1"/>
    <xf numFmtId="174" fontId="7" fillId="0" borderId="19" xfId="0" applyNumberFormat="1" applyFont="1" applyFill="1" applyBorder="1"/>
    <xf numFmtId="174" fontId="14" fillId="0" borderId="0" xfId="36" applyNumberFormat="1" applyFont="1" applyFill="1" applyBorder="1"/>
    <xf numFmtId="0" fontId="3" fillId="0" borderId="0" xfId="0" applyFont="1" applyFill="1" applyBorder="1"/>
    <xf numFmtId="0" fontId="4" fillId="0" borderId="0" xfId="50" applyFont="1" applyFill="1" applyBorder="1" applyAlignment="1" applyProtection="1">
      <alignment horizontal="left"/>
    </xf>
    <xf numFmtId="43" fontId="3" fillId="0" borderId="0" xfId="0" applyNumberFormat="1" applyFont="1" applyFill="1" applyBorder="1"/>
    <xf numFmtId="9" fontId="3" fillId="0" borderId="0" xfId="69" applyFont="1" applyFill="1" applyBorder="1"/>
    <xf numFmtId="0" fontId="7" fillId="0" borderId="0" xfId="0" applyFont="1" applyFill="1" applyBorder="1"/>
    <xf numFmtId="0" fontId="6" fillId="0" borderId="0" xfId="50" applyFont="1" applyFill="1" applyBorder="1" applyAlignment="1" applyProtection="1">
      <alignment horizontal="left"/>
    </xf>
    <xf numFmtId="9" fontId="3" fillId="0" borderId="0" xfId="0" applyNumberFormat="1" applyFont="1" applyFill="1" applyBorder="1"/>
    <xf numFmtId="44" fontId="3" fillId="0" borderId="0" xfId="38" applyFont="1" applyFill="1" applyBorder="1"/>
    <xf numFmtId="0" fontId="4" fillId="0" borderId="20" xfId="50" applyFont="1" applyFill="1" applyBorder="1" applyAlignment="1" applyProtection="1">
      <alignment horizontal="left"/>
    </xf>
    <xf numFmtId="9" fontId="3" fillId="0" borderId="20" xfId="0" applyNumberFormat="1" applyFont="1" applyFill="1" applyBorder="1"/>
    <xf numFmtId="0" fontId="3" fillId="0" borderId="20" xfId="0" applyFont="1" applyFill="1" applyBorder="1"/>
    <xf numFmtId="0" fontId="8" fillId="0" borderId="0" xfId="50" applyFont="1" applyFill="1" applyBorder="1" applyAlignment="1" applyProtection="1">
      <alignment horizontal="left"/>
    </xf>
    <xf numFmtId="165" fontId="9" fillId="0" borderId="0" xfId="0" applyNumberFormat="1" applyFont="1" applyFill="1" applyBorder="1"/>
    <xf numFmtId="165" fontId="3" fillId="0" borderId="0" xfId="0" applyNumberFormat="1" applyFont="1" applyFill="1" applyBorder="1"/>
    <xf numFmtId="44" fontId="3" fillId="0" borderId="0" xfId="0" applyNumberFormat="1" applyFont="1" applyFill="1" applyBorder="1"/>
    <xf numFmtId="10" fontId="3" fillId="0" borderId="0" xfId="0" applyNumberFormat="1" applyFont="1" applyFill="1" applyBorder="1"/>
    <xf numFmtId="0" fontId="3" fillId="0" borderId="0" xfId="50" applyFont="1" applyFill="1" applyBorder="1" applyAlignment="1">
      <alignment horizontal="left"/>
    </xf>
    <xf numFmtId="166" fontId="3" fillId="0" borderId="0" xfId="0" applyNumberFormat="1" applyFont="1" applyFill="1" applyBorder="1"/>
    <xf numFmtId="167" fontId="3" fillId="0" borderId="0" xfId="0" applyNumberFormat="1" applyFont="1" applyFill="1" applyBorder="1"/>
    <xf numFmtId="168" fontId="3" fillId="0" borderId="0" xfId="0" applyNumberFormat="1" applyFont="1" applyFill="1" applyBorder="1"/>
    <xf numFmtId="41" fontId="3" fillId="0" borderId="0" xfId="0" applyNumberFormat="1" applyFont="1" applyFill="1" applyBorder="1"/>
    <xf numFmtId="0" fontId="6" fillId="0" borderId="0" xfId="0" applyFont="1" applyFill="1" applyBorder="1" applyAlignment="1"/>
    <xf numFmtId="0" fontId="4" fillId="0" borderId="0" xfId="0" applyFont="1" applyFill="1" applyBorder="1"/>
    <xf numFmtId="170" fontId="6" fillId="0" borderId="0" xfId="36" applyNumberFormat="1" applyFont="1" applyFill="1" applyBorder="1"/>
    <xf numFmtId="170" fontId="6" fillId="0" borderId="20" xfId="36" applyNumberFormat="1" applyFont="1" applyFill="1" applyBorder="1"/>
    <xf numFmtId="170" fontId="6" fillId="0" borderId="21" xfId="36" applyNumberFormat="1" applyFont="1" applyFill="1" applyBorder="1"/>
    <xf numFmtId="0" fontId="6" fillId="0" borderId="0" xfId="0" applyFont="1" applyFill="1" applyBorder="1"/>
    <xf numFmtId="170" fontId="3" fillId="0" borderId="0" xfId="36" applyNumberFormat="1" applyFont="1" applyFill="1" applyBorder="1"/>
    <xf numFmtId="170" fontId="3" fillId="0" borderId="11" xfId="36" applyNumberFormat="1" applyFont="1" applyFill="1" applyBorder="1"/>
    <xf numFmtId="170" fontId="3" fillId="0" borderId="0" xfId="0" applyNumberFormat="1" applyFont="1" applyFill="1" applyBorder="1"/>
    <xf numFmtId="0" fontId="7" fillId="0" borderId="0" xfId="0" applyFont="1" applyBorder="1"/>
    <xf numFmtId="41" fontId="3" fillId="0" borderId="0" xfId="0" applyNumberFormat="1" applyFont="1" applyFill="1" applyBorder="1" applyAlignment="1">
      <alignment horizontal="left" indent="2"/>
    </xf>
    <xf numFmtId="170" fontId="14" fillId="0" borderId="0" xfId="36" applyNumberFormat="1" applyFont="1" applyFill="1" applyBorder="1"/>
    <xf numFmtId="165" fontId="3" fillId="0" borderId="0" xfId="0" applyNumberFormat="1" applyFont="1" applyFill="1" applyBorder="1" applyAlignment="1">
      <alignment horizontal="left" indent="1"/>
    </xf>
    <xf numFmtId="43" fontId="3" fillId="0" borderId="0" xfId="36" applyFont="1" applyFill="1" applyBorder="1"/>
    <xf numFmtId="43" fontId="3" fillId="0" borderId="18" xfId="36" applyFont="1" applyFill="1" applyBorder="1"/>
    <xf numFmtId="165" fontId="9" fillId="0" borderId="20" xfId="69" applyNumberFormat="1" applyFont="1" applyFill="1" applyBorder="1"/>
    <xf numFmtId="43" fontId="9" fillId="0" borderId="0" xfId="36" applyFont="1" applyFill="1" applyBorder="1"/>
    <xf numFmtId="43" fontId="14" fillId="0" borderId="0" xfId="36" applyFont="1" applyFill="1" applyBorder="1"/>
    <xf numFmtId="165" fontId="3" fillId="0" borderId="13" xfId="0" applyNumberFormat="1" applyFont="1" applyFill="1" applyBorder="1"/>
    <xf numFmtId="170" fontId="14" fillId="0" borderId="0" xfId="0" applyNumberFormat="1" applyFont="1" applyFill="1" applyBorder="1"/>
    <xf numFmtId="165" fontId="14" fillId="0" borderId="0" xfId="69" applyNumberFormat="1" applyFont="1" applyFill="1" applyBorder="1"/>
    <xf numFmtId="173" fontId="6" fillId="0" borderId="20" xfId="36" applyNumberFormat="1" applyFont="1" applyFill="1" applyBorder="1"/>
    <xf numFmtId="43" fontId="17" fillId="17" borderId="22" xfId="36" applyFont="1" applyFill="1" applyBorder="1"/>
    <xf numFmtId="43" fontId="11" fillId="17" borderId="22" xfId="36" applyFont="1" applyFill="1" applyBorder="1"/>
    <xf numFmtId="43" fontId="16" fillId="17" borderId="23" xfId="36" applyFont="1" applyFill="1" applyBorder="1"/>
    <xf numFmtId="43" fontId="15" fillId="0" borderId="0" xfId="36" applyFont="1" applyFill="1" applyBorder="1"/>
    <xf numFmtId="165" fontId="9" fillId="0" borderId="0" xfId="69" applyNumberFormat="1" applyFont="1" applyFill="1" applyBorder="1"/>
    <xf numFmtId="165" fontId="9" fillId="0" borderId="23" xfId="69" applyNumberFormat="1" applyFont="1" applyFill="1" applyBorder="1"/>
    <xf numFmtId="43" fontId="15" fillId="0" borderId="23" xfId="36" applyFont="1" applyFill="1" applyBorder="1"/>
    <xf numFmtId="165" fontId="15" fillId="0" borderId="0" xfId="69" applyNumberFormat="1" applyFont="1" applyFill="1" applyBorder="1"/>
    <xf numFmtId="43" fontId="7" fillId="0" borderId="0" xfId="0" applyNumberFormat="1" applyFont="1" applyFill="1" applyBorder="1"/>
    <xf numFmtId="43" fontId="3" fillId="0" borderId="18" xfId="36" applyFont="1" applyFill="1" applyBorder="1" applyAlignment="1">
      <alignment horizontal="left" indent="1"/>
    </xf>
    <xf numFmtId="165" fontId="9" fillId="0" borderId="11" xfId="69" applyNumberFormat="1" applyFont="1" applyFill="1" applyBorder="1"/>
    <xf numFmtId="43" fontId="9" fillId="0" borderId="18" xfId="36" applyFont="1" applyFill="1" applyBorder="1" applyAlignment="1">
      <alignment horizontal="left" indent="2"/>
    </xf>
    <xf numFmtId="43" fontId="9" fillId="0" borderId="11" xfId="36" applyFont="1" applyFill="1" applyBorder="1"/>
    <xf numFmtId="43" fontId="3" fillId="0" borderId="24" xfId="36" applyFont="1" applyFill="1" applyBorder="1"/>
    <xf numFmtId="43" fontId="15" fillId="0" borderId="20" xfId="36" applyFont="1" applyFill="1" applyBorder="1"/>
    <xf numFmtId="43" fontId="3" fillId="0" borderId="20" xfId="36" applyFont="1" applyFill="1" applyBorder="1"/>
    <xf numFmtId="43" fontId="9" fillId="0" borderId="20" xfId="36" applyFont="1" applyFill="1" applyBorder="1"/>
    <xf numFmtId="165" fontId="9" fillId="0" borderId="0" xfId="69" applyNumberFormat="1" applyFont="1" applyFill="1" applyBorder="1" applyAlignment="1">
      <alignment horizontal="right"/>
    </xf>
    <xf numFmtId="0" fontId="7" fillId="16" borderId="0" xfId="0" applyFont="1" applyFill="1"/>
    <xf numFmtId="0" fontId="7" fillId="0" borderId="0" xfId="0" applyFont="1"/>
    <xf numFmtId="0" fontId="7" fillId="16" borderId="0" xfId="0" applyFont="1" applyFill="1" applyBorder="1"/>
    <xf numFmtId="0" fontId="4" fillId="0" borderId="0" xfId="0" applyFont="1" applyFill="1"/>
    <xf numFmtId="0" fontId="3" fillId="0" borderId="0" xfId="0" applyFont="1" applyBorder="1"/>
    <xf numFmtId="0" fontId="7" fillId="0" borderId="0" xfId="0" applyFont="1" applyFill="1"/>
    <xf numFmtId="43" fontId="17" fillId="17" borderId="23" xfId="36" applyFont="1" applyFill="1" applyBorder="1"/>
    <xf numFmtId="43" fontId="3" fillId="0" borderId="18" xfId="36" applyFont="1" applyFill="1" applyBorder="1" applyAlignment="1">
      <alignment horizontal="left" indent="2"/>
    </xf>
    <xf numFmtId="43" fontId="3" fillId="0" borderId="0" xfId="36" applyFont="1" applyFill="1" applyBorder="1" applyAlignment="1">
      <alignment horizontal="left" indent="2"/>
    </xf>
    <xf numFmtId="43" fontId="3" fillId="0" borderId="22" xfId="36" applyFont="1" applyFill="1" applyBorder="1"/>
    <xf numFmtId="43" fontId="3" fillId="0" borderId="23" xfId="36" applyFont="1" applyFill="1" applyBorder="1"/>
    <xf numFmtId="170" fontId="7" fillId="0" borderId="0" xfId="0" applyNumberFormat="1" applyFont="1"/>
    <xf numFmtId="0" fontId="6" fillId="0" borderId="0" xfId="0" applyFont="1" applyFill="1" applyAlignment="1" applyProtection="1">
      <alignment horizontal="left"/>
    </xf>
    <xf numFmtId="0" fontId="14" fillId="0" borderId="0" xfId="0" applyFont="1"/>
    <xf numFmtId="0" fontId="3" fillId="16" borderId="0" xfId="74" applyFont="1" applyFill="1" applyBorder="1">
      <protection locked="0"/>
    </xf>
    <xf numFmtId="0" fontId="3" fillId="0" borderId="0" xfId="0" applyFont="1" applyFill="1"/>
    <xf numFmtId="9" fontId="3" fillId="16" borderId="0" xfId="69" applyFont="1" applyFill="1" applyBorder="1"/>
    <xf numFmtId="0" fontId="3" fillId="0" borderId="0" xfId="74" applyFont="1" applyFill="1" applyBorder="1">
      <protection locked="0"/>
    </xf>
    <xf numFmtId="0" fontId="6" fillId="0" borderId="0" xfId="74" applyFont="1" applyFill="1" applyBorder="1">
      <protection locked="0"/>
    </xf>
    <xf numFmtId="9" fontId="6" fillId="0" borderId="0" xfId="0" applyNumberFormat="1" applyFont="1" applyFill="1" applyBorder="1"/>
    <xf numFmtId="0" fontId="9" fillId="0" borderId="0" xfId="74" applyFont="1" applyFill="1" applyBorder="1">
      <protection locked="0"/>
    </xf>
    <xf numFmtId="170" fontId="9" fillId="0" borderId="0" xfId="0" applyNumberFormat="1" applyFont="1" applyFill="1" applyBorder="1"/>
    <xf numFmtId="43" fontId="9" fillId="0" borderId="0" xfId="36" applyFont="1" applyFill="1" applyBorder="1" applyAlignment="1">
      <alignment horizontal="left" indent="2"/>
    </xf>
    <xf numFmtId="173" fontId="3" fillId="0" borderId="0" xfId="36" applyNumberFormat="1" applyFont="1" applyFill="1" applyBorder="1"/>
    <xf numFmtId="10" fontId="15" fillId="0" borderId="0" xfId="69" applyNumberFormat="1" applyFont="1" applyFill="1" applyBorder="1"/>
    <xf numFmtId="10" fontId="9" fillId="0" borderId="0" xfId="69" applyNumberFormat="1" applyFont="1" applyFill="1" applyBorder="1"/>
    <xf numFmtId="43" fontId="6" fillId="0" borderId="24" xfId="36" applyFont="1" applyFill="1" applyBorder="1"/>
    <xf numFmtId="43" fontId="6" fillId="0" borderId="20" xfId="36" applyFont="1" applyFill="1" applyBorder="1"/>
    <xf numFmtId="43" fontId="9" fillId="0" borderId="0" xfId="36" applyFont="1" applyFill="1" applyBorder="1" applyAlignment="1">
      <alignment horizontal="left" indent="3"/>
    </xf>
    <xf numFmtId="43" fontId="9" fillId="0" borderId="23" xfId="36" applyFont="1" applyFill="1" applyBorder="1"/>
    <xf numFmtId="170" fontId="3" fillId="0" borderId="23" xfId="36" applyNumberFormat="1" applyFont="1" applyFill="1" applyBorder="1"/>
    <xf numFmtId="43" fontId="15" fillId="0" borderId="18" xfId="36" applyFont="1" applyFill="1" applyBorder="1" applyAlignment="1">
      <alignment horizontal="left" indent="2"/>
    </xf>
    <xf numFmtId="43" fontId="15" fillId="0" borderId="0" xfId="36" applyFont="1" applyFill="1" applyBorder="1" applyAlignment="1">
      <alignment horizontal="left" indent="2"/>
    </xf>
    <xf numFmtId="0" fontId="4" fillId="0" borderId="0" xfId="0" applyFont="1" applyFill="1" applyAlignment="1">
      <alignment wrapText="1"/>
    </xf>
    <xf numFmtId="0" fontId="4" fillId="0" borderId="20" xfId="0" applyFont="1" applyFill="1" applyBorder="1" applyAlignment="1">
      <alignment wrapText="1"/>
    </xf>
    <xf numFmtId="0" fontId="14" fillId="0" borderId="0" xfId="0" applyFont="1" applyFill="1"/>
    <xf numFmtId="170" fontId="14" fillId="0" borderId="0" xfId="0" applyNumberFormat="1" applyFont="1" applyFill="1"/>
    <xf numFmtId="0" fontId="3" fillId="0" borderId="0" xfId="0" applyFont="1"/>
    <xf numFmtId="41" fontId="3" fillId="0" borderId="12" xfId="0" applyNumberFormat="1" applyFont="1" applyFill="1" applyBorder="1"/>
    <xf numFmtId="43" fontId="14" fillId="0" borderId="0" xfId="0" applyNumberFormat="1" applyFont="1" applyFill="1" applyBorder="1"/>
    <xf numFmtId="41" fontId="3" fillId="16" borderId="19" xfId="0" applyNumberFormat="1" applyFont="1" applyFill="1" applyBorder="1"/>
    <xf numFmtId="41" fontId="14" fillId="16" borderId="19" xfId="0" applyNumberFormat="1" applyFont="1" applyFill="1" applyBorder="1"/>
    <xf numFmtId="0" fontId="3" fillId="18" borderId="0" xfId="0" applyFont="1" applyFill="1" applyBorder="1"/>
    <xf numFmtId="41" fontId="14" fillId="0" borderId="19" xfId="0" applyNumberFormat="1" applyFont="1" applyFill="1" applyBorder="1"/>
    <xf numFmtId="41" fontId="14" fillId="0" borderId="0" xfId="36" applyNumberFormat="1" applyFont="1" applyFill="1" applyBorder="1"/>
    <xf numFmtId="41" fontId="3" fillId="0" borderId="0" xfId="36" applyNumberFormat="1" applyFont="1" applyFill="1" applyBorder="1"/>
    <xf numFmtId="41" fontId="7" fillId="0" borderId="0" xfId="0" applyNumberFormat="1" applyFont="1" applyFill="1" applyBorder="1"/>
    <xf numFmtId="41" fontId="14" fillId="0" borderId="0" xfId="0" applyNumberFormat="1" applyFont="1" applyFill="1" applyBorder="1"/>
    <xf numFmtId="41" fontId="3" fillId="16" borderId="0" xfId="0" applyNumberFormat="1" applyFont="1" applyFill="1" applyBorder="1"/>
    <xf numFmtId="41" fontId="3" fillId="0" borderId="0" xfId="0" applyNumberFormat="1" applyFont="1" applyFill="1" applyAlignment="1" applyProtection="1">
      <alignment horizontal="left"/>
    </xf>
    <xf numFmtId="0" fontId="7" fillId="0" borderId="25" xfId="0" applyFont="1" applyFill="1" applyBorder="1"/>
    <xf numFmtId="0" fontId="7" fillId="0" borderId="20" xfId="0" applyFont="1" applyFill="1" applyBorder="1"/>
    <xf numFmtId="0" fontId="7" fillId="0" borderId="19" xfId="0" applyFont="1" applyFill="1" applyBorder="1"/>
    <xf numFmtId="0" fontId="7" fillId="17" borderId="23" xfId="0" applyFont="1" applyFill="1" applyBorder="1"/>
    <xf numFmtId="0" fontId="7" fillId="17" borderId="26" xfId="0" applyFont="1" applyFill="1" applyBorder="1"/>
    <xf numFmtId="0" fontId="18" fillId="17" borderId="23" xfId="74" applyFont="1" applyFill="1" applyBorder="1">
      <protection locked="0"/>
    </xf>
    <xf numFmtId="0" fontId="17" fillId="17" borderId="22" xfId="74" applyFont="1" applyFill="1" applyBorder="1">
      <protection locked="0"/>
    </xf>
    <xf numFmtId="0" fontId="6" fillId="17" borderId="23" xfId="74" applyFont="1" applyFill="1" applyBorder="1">
      <protection locked="0"/>
    </xf>
    <xf numFmtId="170" fontId="14" fillId="17" borderId="23" xfId="0" applyNumberFormat="1" applyFont="1" applyFill="1" applyBorder="1"/>
    <xf numFmtId="176" fontId="3" fillId="17" borderId="27" xfId="0" applyNumberFormat="1" applyFont="1" applyFill="1" applyBorder="1"/>
    <xf numFmtId="176" fontId="3" fillId="17" borderId="26" xfId="0" applyNumberFormat="1" applyFont="1" applyFill="1" applyBorder="1"/>
    <xf numFmtId="0" fontId="14" fillId="17" borderId="26" xfId="0" applyFont="1" applyFill="1" applyBorder="1"/>
    <xf numFmtId="170" fontId="14" fillId="17" borderId="26" xfId="0" applyNumberFormat="1" applyFont="1" applyFill="1" applyBorder="1"/>
    <xf numFmtId="0" fontId="11" fillId="17" borderId="22" xfId="74" applyFont="1" applyFill="1" applyBorder="1">
      <protection locked="0"/>
    </xf>
    <xf numFmtId="164" fontId="18" fillId="17" borderId="23" xfId="74" applyNumberFormat="1" applyFont="1" applyFill="1" applyBorder="1">
      <protection locked="0"/>
    </xf>
    <xf numFmtId="164" fontId="17" fillId="17" borderId="22" xfId="74" applyNumberFormat="1" applyFont="1" applyFill="1" applyBorder="1">
      <protection locked="0"/>
    </xf>
    <xf numFmtId="164" fontId="2" fillId="0" borderId="18" xfId="55" applyNumberFormat="1" applyFont="1" applyFill="1" applyBorder="1"/>
    <xf numFmtId="165" fontId="2" fillId="0" borderId="0" xfId="74" applyNumberFormat="1" applyFont="1" applyFill="1" applyBorder="1">
      <protection locked="0"/>
    </xf>
    <xf numFmtId="165" fontId="3" fillId="0" borderId="0" xfId="74" applyNumberFormat="1" applyFont="1" applyFill="1" applyBorder="1">
      <protection locked="0"/>
    </xf>
    <xf numFmtId="176" fontId="3" fillId="0" borderId="0" xfId="0" applyNumberFormat="1" applyFont="1" applyFill="1"/>
    <xf numFmtId="177" fontId="3" fillId="0" borderId="0" xfId="74" applyNumberFormat="1" applyFont="1" applyFill="1" applyBorder="1">
      <protection locked="0"/>
    </xf>
    <xf numFmtId="0" fontId="14" fillId="0" borderId="19" xfId="0" applyFont="1" applyFill="1" applyBorder="1"/>
    <xf numFmtId="176" fontId="3" fillId="0" borderId="19" xfId="0" applyNumberFormat="1" applyFont="1" applyFill="1" applyBorder="1"/>
    <xf numFmtId="41" fontId="14" fillId="0" borderId="0" xfId="0" applyNumberFormat="1" applyFont="1" applyBorder="1"/>
    <xf numFmtId="0" fontId="7" fillId="0" borderId="0" xfId="0" applyFont="1" applyFill="1" applyBorder="1" applyAlignment="1">
      <alignment horizontal="right"/>
    </xf>
    <xf numFmtId="0" fontId="0" fillId="0" borderId="0" xfId="0" applyFill="1" applyBorder="1"/>
    <xf numFmtId="49" fontId="0" fillId="0" borderId="0" xfId="0" applyNumberFormat="1"/>
    <xf numFmtId="0" fontId="4" fillId="16" borderId="0" xfId="0" applyFont="1" applyFill="1" applyBorder="1" applyAlignment="1">
      <alignment horizontal="center"/>
    </xf>
    <xf numFmtId="41" fontId="7" fillId="0" borderId="0" xfId="36" applyNumberFormat="1" applyFont="1" applyFill="1" applyBorder="1"/>
    <xf numFmtId="9" fontId="7" fillId="0" borderId="19" xfId="69" applyFont="1" applyFill="1" applyBorder="1"/>
    <xf numFmtId="9" fontId="7" fillId="0" borderId="0" xfId="69" applyFont="1" applyFill="1" applyBorder="1"/>
    <xf numFmtId="9" fontId="3" fillId="0" borderId="20" xfId="69" applyFont="1" applyFill="1" applyBorder="1"/>
    <xf numFmtId="9" fontId="3" fillId="0" borderId="25" xfId="69" applyFont="1" applyFill="1" applyBorder="1"/>
    <xf numFmtId="9" fontId="3" fillId="0" borderId="20" xfId="69" applyFont="1" applyFill="1" applyBorder="1" applyProtection="1">
      <protection locked="0"/>
    </xf>
    <xf numFmtId="177" fontId="3" fillId="0" borderId="19" xfId="0" applyNumberFormat="1" applyFont="1" applyFill="1" applyBorder="1"/>
    <xf numFmtId="177" fontId="3" fillId="0" borderId="0" xfId="0" applyNumberFormat="1" applyFont="1" applyFill="1" applyBorder="1"/>
    <xf numFmtId="177" fontId="3" fillId="0" borderId="0" xfId="55" applyNumberFormat="1" applyFont="1" applyFill="1" applyBorder="1"/>
    <xf numFmtId="177" fontId="3" fillId="0" borderId="25" xfId="0" applyNumberFormat="1" applyFont="1" applyFill="1" applyBorder="1"/>
    <xf numFmtId="177" fontId="3" fillId="0" borderId="20" xfId="0" applyNumberFormat="1" applyFont="1" applyFill="1" applyBorder="1"/>
    <xf numFmtId="177" fontId="3" fillId="0" borderId="20" xfId="55" applyNumberFormat="1" applyFont="1" applyFill="1" applyBorder="1"/>
    <xf numFmtId="185" fontId="3" fillId="0" borderId="0" xfId="0" applyNumberFormat="1" applyFont="1" applyFill="1" applyBorder="1"/>
    <xf numFmtId="185" fontId="3" fillId="0" borderId="0" xfId="0" applyNumberFormat="1" applyFont="1" applyFill="1" applyBorder="1" applyAlignment="1">
      <alignment horizontal="right"/>
    </xf>
    <xf numFmtId="185" fontId="3" fillId="0" borderId="20" xfId="0" applyNumberFormat="1" applyFont="1" applyFill="1" applyBorder="1"/>
    <xf numFmtId="185" fontId="7" fillId="0" borderId="0" xfId="0" applyNumberFormat="1" applyFont="1" applyFill="1" applyBorder="1"/>
    <xf numFmtId="9" fontId="3" fillId="0" borderId="0" xfId="69" applyFont="1" applyFill="1" applyBorder="1" applyProtection="1">
      <protection locked="0"/>
    </xf>
    <xf numFmtId="9" fontId="9" fillId="0" borderId="0" xfId="69" applyFont="1" applyFill="1" applyBorder="1"/>
    <xf numFmtId="9" fontId="9" fillId="0" borderId="19" xfId="69" applyFont="1" applyFill="1" applyBorder="1"/>
    <xf numFmtId="170" fontId="3" fillId="0" borderId="19" xfId="0" applyNumberFormat="1" applyFont="1" applyFill="1" applyBorder="1"/>
    <xf numFmtId="9" fontId="6" fillId="0" borderId="19" xfId="0" applyNumberFormat="1" applyFont="1" applyFill="1" applyBorder="1"/>
    <xf numFmtId="170" fontId="9" fillId="0" borderId="19" xfId="0" applyNumberFormat="1" applyFont="1" applyFill="1" applyBorder="1"/>
    <xf numFmtId="0" fontId="3" fillId="0" borderId="19" xfId="0" applyFont="1" applyFill="1" applyBorder="1"/>
    <xf numFmtId="0" fontId="3" fillId="0" borderId="18" xfId="74" applyFont="1" applyFill="1" applyBorder="1">
      <protection locked="0"/>
    </xf>
    <xf numFmtId="9" fontId="3" fillId="0" borderId="18" xfId="69" applyFont="1" applyFill="1" applyBorder="1" applyProtection="1">
      <protection locked="0"/>
    </xf>
    <xf numFmtId="0" fontId="6" fillId="0" borderId="18" xfId="74" applyFont="1" applyFill="1" applyBorder="1">
      <protection locked="0"/>
    </xf>
    <xf numFmtId="0" fontId="9" fillId="0" borderId="18" xfId="74" applyFont="1" applyFill="1" applyBorder="1">
      <protection locked="0"/>
    </xf>
    <xf numFmtId="0" fontId="6" fillId="0" borderId="24" xfId="74" applyFont="1" applyFill="1" applyBorder="1">
      <protection locked="0"/>
    </xf>
    <xf numFmtId="43" fontId="15" fillId="0" borderId="0" xfId="36" applyFont="1" applyFill="1" applyBorder="1" applyAlignment="1">
      <alignment horizontal="center"/>
    </xf>
    <xf numFmtId="165" fontId="9" fillId="0" borderId="0" xfId="69" applyNumberFormat="1" applyFont="1" applyFill="1" applyBorder="1" applyAlignment="1">
      <alignment horizontal="center"/>
    </xf>
    <xf numFmtId="43" fontId="8" fillId="0" borderId="0" xfId="36" applyFont="1" applyFill="1" applyBorder="1" applyAlignment="1">
      <alignment horizontal="center"/>
    </xf>
    <xf numFmtId="0" fontId="37" fillId="0" borderId="0" xfId="0" applyFont="1" applyFill="1" applyBorder="1" applyAlignment="1">
      <alignment horizontal="center"/>
    </xf>
    <xf numFmtId="43" fontId="15" fillId="0" borderId="11" xfId="36" applyFont="1" applyFill="1" applyBorder="1"/>
    <xf numFmtId="173" fontId="3" fillId="0" borderId="11" xfId="36" applyNumberFormat="1" applyFont="1" applyFill="1" applyBorder="1"/>
    <xf numFmtId="43" fontId="7" fillId="0" borderId="18" xfId="0" applyNumberFormat="1" applyFont="1" applyFill="1" applyBorder="1"/>
    <xf numFmtId="0" fontId="11" fillId="17" borderId="0" xfId="0" applyFont="1" applyFill="1" applyBorder="1" applyAlignment="1"/>
    <xf numFmtId="0" fontId="11" fillId="17" borderId="18" xfId="0" applyFont="1" applyFill="1" applyBorder="1" applyAlignment="1"/>
    <xf numFmtId="43" fontId="6" fillId="0" borderId="18" xfId="36" applyFont="1" applyFill="1" applyBorder="1"/>
    <xf numFmtId="165" fontId="2" fillId="0" borderId="0" xfId="69" applyNumberFormat="1" applyFont="1"/>
    <xf numFmtId="173" fontId="6" fillId="0" borderId="21" xfId="36" applyNumberFormat="1" applyFont="1" applyFill="1" applyBorder="1"/>
    <xf numFmtId="0" fontId="0" fillId="0" borderId="0" xfId="0" applyFill="1"/>
    <xf numFmtId="167" fontId="3" fillId="0" borderId="0" xfId="0" applyNumberFormat="1" applyFont="1"/>
    <xf numFmtId="9" fontId="3" fillId="0" borderId="0" xfId="0" applyNumberFormat="1" applyFont="1"/>
    <xf numFmtId="174" fontId="3" fillId="0" borderId="0" xfId="0" applyNumberFormat="1" applyFont="1" applyFill="1"/>
    <xf numFmtId="9" fontId="9" fillId="0" borderId="0" xfId="0" applyNumberFormat="1" applyFont="1" applyFill="1" applyBorder="1"/>
    <xf numFmtId="0" fontId="1" fillId="0" borderId="0" xfId="0" applyFont="1" applyFill="1" applyBorder="1"/>
    <xf numFmtId="9" fontId="14" fillId="0" borderId="0" xfId="69" applyFont="1" applyFill="1" applyBorder="1"/>
    <xf numFmtId="44" fontId="12" fillId="0" borderId="19" xfId="0" applyNumberFormat="1" applyFont="1" applyFill="1" applyBorder="1"/>
    <xf numFmtId="41" fontId="12" fillId="16" borderId="25" xfId="0" applyNumberFormat="1" applyFont="1" applyFill="1" applyBorder="1"/>
    <xf numFmtId="41" fontId="7" fillId="0" borderId="19" xfId="0" applyNumberFormat="1" applyFont="1" applyFill="1" applyBorder="1"/>
    <xf numFmtId="41" fontId="12" fillId="16" borderId="19" xfId="0" applyNumberFormat="1" applyFont="1" applyFill="1" applyBorder="1"/>
    <xf numFmtId="44" fontId="4" fillId="0" borderId="0" xfId="0" applyNumberFormat="1" applyFont="1" applyFill="1" applyBorder="1"/>
    <xf numFmtId="2" fontId="7" fillId="16" borderId="0" xfId="0" applyNumberFormat="1" applyFont="1" applyFill="1" applyBorder="1"/>
    <xf numFmtId="174" fontId="3" fillId="0" borderId="0" xfId="0" applyNumberFormat="1" applyFont="1" applyFill="1" applyBorder="1"/>
    <xf numFmtId="9" fontId="3" fillId="0" borderId="0" xfId="69" applyFont="1" applyBorder="1"/>
    <xf numFmtId="0" fontId="2" fillId="0" borderId="0" xfId="0" applyFont="1"/>
    <xf numFmtId="0" fontId="2" fillId="0" borderId="0" xfId="0" applyFont="1" applyBorder="1"/>
    <xf numFmtId="0" fontId="2" fillId="0" borderId="0" xfId="0" applyFont="1" applyFill="1"/>
    <xf numFmtId="0" fontId="48" fillId="0" borderId="0" xfId="0" applyFont="1"/>
    <xf numFmtId="41" fontId="14" fillId="16" borderId="0" xfId="0" applyNumberFormat="1" applyFont="1" applyFill="1" applyBorder="1"/>
    <xf numFmtId="0" fontId="11" fillId="17" borderId="0" xfId="0" applyFont="1" applyFill="1" applyBorder="1" applyAlignment="1">
      <alignment horizontal="center"/>
    </xf>
    <xf numFmtId="9" fontId="3" fillId="0" borderId="0" xfId="69" applyFont="1" applyFill="1" applyBorder="1" applyAlignment="1">
      <alignment horizontal="left" indent="2"/>
    </xf>
    <xf numFmtId="0" fontId="11" fillId="17" borderId="11" xfId="0" applyFont="1" applyFill="1" applyBorder="1" applyAlignment="1"/>
    <xf numFmtId="0" fontId="11" fillId="17" borderId="19" xfId="0" applyFont="1" applyFill="1" applyBorder="1" applyAlignment="1"/>
    <xf numFmtId="0" fontId="11" fillId="17" borderId="19" xfId="0" applyFont="1" applyFill="1" applyBorder="1" applyAlignment="1">
      <alignment horizontal="center"/>
    </xf>
    <xf numFmtId="165" fontId="11" fillId="17" borderId="13" xfId="0" applyNumberFormat="1" applyFont="1" applyFill="1" applyBorder="1"/>
    <xf numFmtId="0" fontId="16" fillId="17" borderId="12" xfId="0" applyFont="1" applyFill="1" applyBorder="1"/>
    <xf numFmtId="0" fontId="16" fillId="17" borderId="13" xfId="0" applyFont="1" applyFill="1" applyBorder="1"/>
    <xf numFmtId="165" fontId="11" fillId="17" borderId="12" xfId="0" applyNumberFormat="1" applyFont="1" applyFill="1" applyBorder="1"/>
    <xf numFmtId="44" fontId="11" fillId="17" borderId="12" xfId="38" applyNumberFormat="1" applyFont="1" applyFill="1" applyBorder="1"/>
    <xf numFmtId="44" fontId="11" fillId="17" borderId="12" xfId="38" applyFont="1" applyFill="1" applyBorder="1"/>
    <xf numFmtId="169" fontId="11" fillId="17" borderId="12" xfId="38" applyNumberFormat="1" applyFont="1" applyFill="1" applyBorder="1"/>
    <xf numFmtId="44" fontId="11" fillId="17" borderId="29" xfId="38" applyFont="1" applyFill="1" applyBorder="1"/>
    <xf numFmtId="41" fontId="3" fillId="0" borderId="11" xfId="36" applyNumberFormat="1" applyFont="1" applyFill="1" applyBorder="1"/>
    <xf numFmtId="41" fontId="14" fillId="0" borderId="11" xfId="36" applyNumberFormat="1" applyFont="1" applyFill="1" applyBorder="1"/>
    <xf numFmtId="9" fontId="3" fillId="0" borderId="18" xfId="69" applyFont="1" applyFill="1" applyBorder="1"/>
    <xf numFmtId="9" fontId="3" fillId="0" borderId="11" xfId="69" applyFont="1" applyFill="1" applyBorder="1"/>
    <xf numFmtId="41" fontId="3" fillId="0" borderId="18" xfId="36" applyNumberFormat="1" applyFont="1" applyFill="1" applyBorder="1"/>
    <xf numFmtId="165" fontId="14" fillId="0" borderId="11" xfId="69" applyNumberFormat="1" applyFont="1" applyFill="1" applyBorder="1"/>
    <xf numFmtId="165" fontId="3" fillId="0" borderId="19" xfId="69" applyNumberFormat="1" applyFont="1" applyFill="1" applyBorder="1"/>
    <xf numFmtId="41" fontId="3" fillId="0" borderId="19" xfId="36" applyNumberFormat="1" applyFont="1" applyFill="1" applyBorder="1"/>
    <xf numFmtId="165" fontId="14" fillId="0" borderId="18" xfId="69" applyNumberFormat="1" applyFont="1" applyFill="1" applyBorder="1"/>
    <xf numFmtId="41" fontId="14" fillId="0" borderId="18" xfId="36" applyNumberFormat="1" applyFont="1" applyFill="1" applyBorder="1"/>
    <xf numFmtId="41" fontId="3" fillId="0" borderId="19" xfId="0" applyNumberFormat="1" applyFont="1" applyFill="1" applyBorder="1"/>
    <xf numFmtId="41" fontId="14" fillId="0" borderId="11" xfId="36" applyNumberFormat="1" applyFont="1" applyFill="1" applyBorder="1" applyAlignment="1">
      <alignment horizontal="right"/>
    </xf>
    <xf numFmtId="44" fontId="7" fillId="0" borderId="0" xfId="0" applyNumberFormat="1" applyFont="1" applyFill="1" applyBorder="1"/>
    <xf numFmtId="10" fontId="3" fillId="0" borderId="0" xfId="69" applyNumberFormat="1" applyFont="1" applyFill="1" applyBorder="1"/>
    <xf numFmtId="165" fontId="7" fillId="16" borderId="0" xfId="69" applyNumberFormat="1" applyFont="1" applyFill="1" applyBorder="1"/>
    <xf numFmtId="43" fontId="30" fillId="0" borderId="0" xfId="36" applyFont="1" applyFill="1" applyBorder="1"/>
    <xf numFmtId="195" fontId="43" fillId="0" borderId="13" xfId="0" applyNumberFormat="1" applyFont="1" applyFill="1" applyBorder="1" applyAlignment="1" applyProtection="1">
      <alignment horizontal="centerContinuous"/>
    </xf>
    <xf numFmtId="178" fontId="43" fillId="0" borderId="12" xfId="0" applyNumberFormat="1" applyFont="1" applyFill="1" applyBorder="1" applyAlignment="1" applyProtection="1">
      <alignment horizontal="centerContinuous"/>
    </xf>
    <xf numFmtId="195" fontId="43" fillId="0" borderId="26" xfId="0" applyNumberFormat="1" applyFont="1" applyFill="1" applyBorder="1" applyAlignment="1" applyProtection="1">
      <alignment horizontal="center"/>
    </xf>
    <xf numFmtId="0" fontId="6" fillId="0" borderId="0" xfId="60" applyFont="1" applyFill="1" applyBorder="1" applyAlignment="1" applyProtection="1">
      <alignment horizontal="center"/>
    </xf>
    <xf numFmtId="188" fontId="43" fillId="0" borderId="0" xfId="0" applyNumberFormat="1" applyFont="1" applyFill="1" applyBorder="1" applyAlignment="1" applyProtection="1">
      <alignment horizontal="right"/>
    </xf>
    <xf numFmtId="196" fontId="43" fillId="0" borderId="13" xfId="0" applyNumberFormat="1" applyFont="1" applyFill="1" applyBorder="1" applyAlignment="1" applyProtection="1">
      <alignment horizontal="centerContinuous"/>
    </xf>
    <xf numFmtId="196" fontId="43" fillId="0" borderId="26" xfId="0" applyNumberFormat="1" applyFont="1" applyFill="1" applyBorder="1" applyAlignment="1" applyProtection="1">
      <alignment horizontal="center"/>
    </xf>
    <xf numFmtId="169" fontId="49" fillId="17" borderId="31" xfId="0" applyNumberFormat="1" applyFont="1" applyFill="1" applyBorder="1" applyAlignment="1" applyProtection="1">
      <alignment horizontal="center"/>
    </xf>
    <xf numFmtId="169" fontId="49" fillId="17" borderId="32" xfId="0" applyNumberFormat="1" applyFont="1" applyFill="1" applyBorder="1" applyAlignment="1" applyProtection="1">
      <alignment horizontal="center"/>
    </xf>
    <xf numFmtId="169" fontId="43" fillId="0" borderId="17" xfId="0" applyNumberFormat="1" applyFont="1" applyFill="1" applyBorder="1" applyAlignment="1" applyProtection="1">
      <alignment horizontal="right"/>
    </xf>
    <xf numFmtId="169" fontId="6" fillId="0" borderId="15" xfId="60" applyNumberFormat="1" applyFont="1" applyFill="1" applyBorder="1" applyAlignment="1" applyProtection="1">
      <alignment horizontal="center"/>
    </xf>
    <xf numFmtId="169" fontId="43" fillId="0" borderId="15" xfId="0" applyNumberFormat="1" applyFont="1" applyFill="1" applyBorder="1" applyAlignment="1" applyProtection="1">
      <alignment horizontal="right"/>
    </xf>
    <xf numFmtId="169" fontId="43" fillId="0" borderId="32" xfId="0" applyNumberFormat="1" applyFont="1" applyFill="1" applyBorder="1" applyAlignment="1" applyProtection="1">
      <alignment horizontal="center"/>
    </xf>
    <xf numFmtId="169" fontId="43" fillId="0" borderId="31" xfId="0" applyNumberFormat="1" applyFont="1" applyFill="1" applyBorder="1" applyAlignment="1" applyProtection="1">
      <alignment horizontal="center"/>
    </xf>
    <xf numFmtId="169" fontId="43" fillId="0" borderId="33" xfId="0" applyNumberFormat="1" applyFont="1" applyFill="1" applyBorder="1" applyAlignment="1" applyProtection="1">
      <alignment horizontal="center"/>
    </xf>
    <xf numFmtId="195" fontId="43" fillId="0" borderId="26" xfId="0" applyNumberFormat="1" applyFont="1" applyFill="1" applyBorder="1" applyAlignment="1">
      <alignment horizontal="center"/>
    </xf>
    <xf numFmtId="196" fontId="43" fillId="0" borderId="13" xfId="0" applyNumberFormat="1" applyFont="1" applyFill="1" applyBorder="1" applyAlignment="1">
      <alignment horizontal="centerContinuous"/>
    </xf>
    <xf numFmtId="196" fontId="43" fillId="0" borderId="26" xfId="0" applyNumberFormat="1" applyFont="1" applyFill="1" applyBorder="1" applyAlignment="1">
      <alignment horizontal="center"/>
    </xf>
    <xf numFmtId="0" fontId="9" fillId="0" borderId="15" xfId="58" applyFont="1" applyFill="1" applyBorder="1"/>
    <xf numFmtId="43" fontId="3" fillId="0" borderId="15" xfId="36" applyFont="1" applyFill="1" applyBorder="1"/>
    <xf numFmtId="0" fontId="7" fillId="0" borderId="18" xfId="0" applyFont="1" applyFill="1" applyBorder="1"/>
    <xf numFmtId="170" fontId="14" fillId="0" borderId="19" xfId="36" applyNumberFormat="1" applyFont="1" applyFill="1" applyBorder="1"/>
    <xf numFmtId="43" fontId="3" fillId="0" borderId="17" xfId="36" applyFont="1" applyFill="1" applyBorder="1"/>
    <xf numFmtId="170" fontId="3" fillId="0" borderId="14" xfId="36" applyNumberFormat="1" applyFont="1" applyFill="1" applyBorder="1"/>
    <xf numFmtId="0" fontId="3" fillId="0" borderId="12" xfId="0" applyFont="1" applyFill="1" applyBorder="1" applyAlignment="1">
      <alignment horizontal="left"/>
    </xf>
    <xf numFmtId="0" fontId="14" fillId="0" borderId="12" xfId="0" applyFont="1" applyFill="1" applyBorder="1"/>
    <xf numFmtId="0" fontId="3" fillId="0" borderId="14" xfId="0" applyFont="1" applyFill="1" applyBorder="1" applyAlignment="1">
      <alignment horizontal="right"/>
    </xf>
    <xf numFmtId="43" fontId="14" fillId="0" borderId="12" xfId="0" applyNumberFormat="1" applyFont="1" applyFill="1" applyBorder="1"/>
    <xf numFmtId="44" fontId="3" fillId="0" borderId="12" xfId="38" applyFont="1" applyFill="1" applyBorder="1"/>
    <xf numFmtId="170" fontId="14" fillId="0" borderId="12" xfId="36" applyNumberFormat="1" applyFont="1" applyFill="1" applyBorder="1"/>
    <xf numFmtId="0" fontId="14" fillId="0" borderId="12" xfId="0" applyFont="1" applyFill="1" applyBorder="1"/>
    <xf numFmtId="168" fontId="14" fillId="0" borderId="12" xfId="0" applyNumberFormat="1" applyFont="1" applyFill="1" applyBorder="1"/>
    <xf numFmtId="44" fontId="14" fillId="0" borderId="12" xfId="38" applyFont="1" applyFill="1" applyBorder="1"/>
    <xf numFmtId="44" fontId="3" fillId="0" borderId="14" xfId="0" applyNumberFormat="1" applyFont="1" applyFill="1" applyBorder="1" applyAlignment="1">
      <alignment horizontal="right"/>
    </xf>
    <xf numFmtId="44" fontId="3" fillId="0" borderId="14" xfId="38" applyFont="1" applyFill="1" applyBorder="1"/>
    <xf numFmtId="0" fontId="3" fillId="0" borderId="12" xfId="0" applyFont="1" applyFill="1" applyBorder="1"/>
    <xf numFmtId="170" fontId="14" fillId="0" borderId="18" xfId="36" applyNumberFormat="1" applyFont="1" applyFill="1" applyBorder="1"/>
    <xf numFmtId="43" fontId="3" fillId="0" borderId="16" xfId="36" applyFont="1" applyFill="1" applyBorder="1"/>
    <xf numFmtId="41" fontId="3" fillId="0" borderId="13" xfId="0" applyNumberFormat="1" applyFont="1" applyFill="1" applyBorder="1"/>
    <xf numFmtId="0" fontId="14" fillId="0" borderId="13" xfId="0" applyFont="1" applyFill="1" applyBorder="1"/>
    <xf numFmtId="0" fontId="19" fillId="0" borderId="28" xfId="0" applyFont="1" applyFill="1" applyBorder="1"/>
    <xf numFmtId="0" fontId="3" fillId="0" borderId="28" xfId="0" applyFont="1" applyFill="1" applyBorder="1"/>
    <xf numFmtId="43" fontId="3" fillId="0" borderId="28" xfId="0" applyNumberFormat="1" applyFont="1" applyFill="1" applyBorder="1"/>
    <xf numFmtId="0" fontId="7" fillId="0" borderId="28" xfId="0" applyFont="1" applyFill="1" applyBorder="1"/>
    <xf numFmtId="0" fontId="4" fillId="0" borderId="15" xfId="0" applyFont="1" applyFill="1" applyBorder="1"/>
    <xf numFmtId="0" fontId="6" fillId="0" borderId="15" xfId="0" applyFont="1" applyFill="1" applyBorder="1"/>
    <xf numFmtId="44" fontId="6" fillId="0" borderId="15" xfId="0" applyNumberFormat="1" applyFont="1" applyFill="1" applyBorder="1"/>
    <xf numFmtId="0" fontId="7" fillId="0" borderId="34" xfId="0" applyFont="1" applyFill="1" applyBorder="1"/>
    <xf numFmtId="44" fontId="4" fillId="0" borderId="19" xfId="0" applyNumberFormat="1" applyFont="1" applyFill="1" applyBorder="1"/>
    <xf numFmtId="43" fontId="7" fillId="0" borderId="19" xfId="0" applyNumberFormat="1" applyFont="1" applyFill="1" applyBorder="1"/>
    <xf numFmtId="44" fontId="6" fillId="0" borderId="17" xfId="0" applyNumberFormat="1" applyFont="1" applyFill="1" applyBorder="1"/>
    <xf numFmtId="0" fontId="3" fillId="0" borderId="35" xfId="0" applyFont="1" applyFill="1" applyBorder="1"/>
    <xf numFmtId="44" fontId="4" fillId="0" borderId="18" xfId="0" applyNumberFormat="1" applyFont="1" applyFill="1" applyBorder="1"/>
    <xf numFmtId="43" fontId="14" fillId="0" borderId="18" xfId="0" applyNumberFormat="1" applyFont="1" applyFill="1" applyBorder="1"/>
    <xf numFmtId="44" fontId="6" fillId="0" borderId="16" xfId="0" applyNumberFormat="1" applyFont="1" applyFill="1" applyBorder="1"/>
    <xf numFmtId="43" fontId="3" fillId="0" borderId="35" xfId="0" applyNumberFormat="1" applyFont="1" applyFill="1" applyBorder="1"/>
    <xf numFmtId="0" fontId="7" fillId="0" borderId="35" xfId="0" applyFont="1" applyFill="1" applyBorder="1"/>
    <xf numFmtId="7" fontId="52" fillId="0" borderId="0" xfId="0" applyNumberFormat="1" applyFont="1" applyFill="1" applyBorder="1"/>
    <xf numFmtId="7" fontId="52" fillId="0" borderId="18" xfId="36" applyNumberFormat="1" applyFont="1" applyFill="1" applyBorder="1"/>
    <xf numFmtId="7" fontId="52" fillId="0" borderId="0" xfId="36" applyNumberFormat="1" applyFont="1" applyFill="1" applyBorder="1"/>
    <xf numFmtId="7" fontId="52" fillId="0" borderId="19" xfId="36" applyNumberFormat="1" applyFont="1" applyFill="1" applyBorder="1"/>
    <xf numFmtId="44" fontId="3" fillId="0" borderId="13" xfId="38" applyFont="1" applyFill="1" applyBorder="1"/>
    <xf numFmtId="44" fontId="14" fillId="0" borderId="13" xfId="38" applyFont="1" applyFill="1" applyBorder="1"/>
    <xf numFmtId="170" fontId="14" fillId="0" borderId="13" xfId="36" applyNumberFormat="1" applyFont="1" applyFill="1" applyBorder="1"/>
    <xf numFmtId="37" fontId="9" fillId="0" borderId="0" xfId="0" applyNumberFormat="1" applyFont="1" applyFill="1" applyBorder="1"/>
    <xf numFmtId="37" fontId="15" fillId="0" borderId="18" xfId="36" applyNumberFormat="1" applyFont="1" applyFill="1" applyBorder="1"/>
    <xf numFmtId="37" fontId="15" fillId="0" borderId="0" xfId="36" applyNumberFormat="1" applyFont="1" applyFill="1" applyBorder="1"/>
    <xf numFmtId="37" fontId="9" fillId="0" borderId="0" xfId="36" applyNumberFormat="1" applyFont="1" applyFill="1" applyBorder="1"/>
    <xf numFmtId="37" fontId="15" fillId="0" borderId="19" xfId="36" applyNumberFormat="1" applyFont="1" applyFill="1" applyBorder="1"/>
    <xf numFmtId="37" fontId="15" fillId="0" borderId="0" xfId="0" applyNumberFormat="1" applyFont="1" applyFill="1" applyBorder="1"/>
    <xf numFmtId="37" fontId="8" fillId="0" borderId="0" xfId="0" applyNumberFormat="1" applyFont="1" applyFill="1" applyBorder="1"/>
    <xf numFmtId="9" fontId="7" fillId="0" borderId="0" xfId="0" applyNumberFormat="1" applyFont="1" applyFill="1" applyBorder="1"/>
    <xf numFmtId="165" fontId="3" fillId="0" borderId="0" xfId="69" applyNumberFormat="1" applyFont="1" applyFill="1" applyBorder="1" applyAlignment="1">
      <alignment horizontal="right"/>
    </xf>
    <xf numFmtId="167" fontId="40" fillId="0" borderId="0" xfId="36" applyNumberFormat="1" applyFont="1" applyFill="1" applyBorder="1"/>
    <xf numFmtId="0" fontId="54" fillId="0" borderId="0" xfId="51" applyFont="1" applyFill="1" applyBorder="1" applyAlignment="1" applyProtection="1">
      <alignment horizontal="left"/>
    </xf>
    <xf numFmtId="0" fontId="1" fillId="0" borderId="0" xfId="0" applyFont="1" applyFill="1"/>
    <xf numFmtId="9" fontId="1" fillId="0" borderId="0" xfId="69" applyFont="1" applyFill="1"/>
    <xf numFmtId="9" fontId="1" fillId="0" borderId="0" xfId="0" applyNumberFormat="1" applyFont="1" applyFill="1"/>
    <xf numFmtId="0" fontId="55" fillId="0" borderId="0" xfId="51" applyFont="1" applyFill="1" applyBorder="1" applyAlignment="1" applyProtection="1">
      <alignment horizontal="left"/>
    </xf>
    <xf numFmtId="0" fontId="1" fillId="0" borderId="20" xfId="0" applyFont="1" applyFill="1" applyBorder="1"/>
    <xf numFmtId="197" fontId="1" fillId="0" borderId="20" xfId="0" applyNumberFormat="1" applyFont="1" applyFill="1" applyBorder="1"/>
    <xf numFmtId="0" fontId="56" fillId="0" borderId="36" xfId="51" applyFont="1" applyFill="1" applyBorder="1" applyAlignment="1" applyProtection="1">
      <alignment horizontal="left"/>
    </xf>
    <xf numFmtId="0" fontId="2" fillId="0" borderId="36" xfId="0" applyFont="1" applyFill="1" applyBorder="1"/>
    <xf numFmtId="37" fontId="2" fillId="0" borderId="36" xfId="0" applyNumberFormat="1" applyFont="1" applyFill="1" applyBorder="1"/>
    <xf numFmtId="170" fontId="2" fillId="0" borderId="36" xfId="36" applyNumberFormat="1" applyFont="1" applyFill="1" applyBorder="1"/>
    <xf numFmtId="172" fontId="2" fillId="0" borderId="36" xfId="36" applyNumberFormat="1" applyFont="1" applyFill="1" applyBorder="1"/>
    <xf numFmtId="0" fontId="2" fillId="0" borderId="0" xfId="51" applyFont="1" applyFill="1" applyBorder="1" applyAlignment="1">
      <alignment horizontal="left"/>
    </xf>
    <xf numFmtId="10" fontId="2" fillId="0" borderId="0" xfId="0" applyNumberFormat="1" applyFont="1" applyFill="1"/>
    <xf numFmtId="0" fontId="2" fillId="0" borderId="0" xfId="0" applyFont="1" applyFill="1" applyBorder="1" applyAlignment="1">
      <alignment horizontal="center"/>
    </xf>
    <xf numFmtId="0" fontId="2" fillId="0" borderId="0" xfId="51" applyFont="1" applyFill="1" applyBorder="1" applyAlignment="1">
      <alignment horizontal="center"/>
    </xf>
    <xf numFmtId="0" fontId="2" fillId="18" borderId="0" xfId="0" applyFont="1" applyFill="1" applyBorder="1" applyAlignment="1">
      <alignment horizontal="center"/>
    </xf>
    <xf numFmtId="0" fontId="2" fillId="18" borderId="0" xfId="0" applyFont="1" applyFill="1" applyBorder="1" applyAlignment="1" applyProtection="1">
      <alignment horizontal="center"/>
    </xf>
    <xf numFmtId="0" fontId="2" fillId="18" borderId="0" xfId="56" applyFont="1" applyFill="1" applyBorder="1"/>
    <xf numFmtId="0" fontId="2" fillId="0" borderId="0" xfId="0" applyFont="1" applyFill="1" applyBorder="1"/>
    <xf numFmtId="0" fontId="43" fillId="0" borderId="0" xfId="0" applyFont="1" applyFill="1" applyBorder="1" applyAlignment="1" applyProtection="1">
      <alignment horizontal="left"/>
    </xf>
    <xf numFmtId="195" fontId="43" fillId="0" borderId="22" xfId="0" applyNumberFormat="1" applyFont="1" applyFill="1" applyBorder="1" applyAlignment="1">
      <alignment horizontal="centerContinuous"/>
    </xf>
    <xf numFmtId="195" fontId="43" fillId="0" borderId="23" xfId="0" applyNumberFormat="1" applyFont="1" applyFill="1" applyBorder="1" applyAlignment="1">
      <alignment horizontal="centerContinuous"/>
    </xf>
    <xf numFmtId="0" fontId="2" fillId="0" borderId="30" xfId="0" applyNumberFormat="1" applyFont="1" applyFill="1" applyBorder="1"/>
    <xf numFmtId="0" fontId="43" fillId="0" borderId="30" xfId="0" applyNumberFormat="1" applyFont="1" applyFill="1" applyBorder="1" applyAlignment="1">
      <alignment horizontal="center"/>
    </xf>
    <xf numFmtId="169" fontId="49" fillId="17" borderId="37" xfId="0" applyNumberFormat="1" applyFont="1" applyFill="1" applyBorder="1" applyAlignment="1">
      <alignment horizontal="right"/>
    </xf>
    <xf numFmtId="169" fontId="49" fillId="17" borderId="30" xfId="0" applyNumberFormat="1" applyFont="1" applyFill="1" applyBorder="1" applyAlignment="1">
      <alignment horizontal="center"/>
    </xf>
    <xf numFmtId="0" fontId="43" fillId="0" borderId="38" xfId="0" applyNumberFormat="1" applyFont="1" applyFill="1" applyBorder="1" applyAlignment="1">
      <alignment horizontal="right"/>
    </xf>
    <xf numFmtId="0" fontId="43" fillId="0" borderId="30" xfId="0" applyNumberFormat="1" applyFont="1" applyFill="1" applyBorder="1" applyAlignment="1">
      <alignment horizontal="right"/>
    </xf>
    <xf numFmtId="169" fontId="43" fillId="0" borderId="30" xfId="0" applyNumberFormat="1" applyFont="1" applyFill="1" applyBorder="1" applyAlignment="1">
      <alignment horizontal="center"/>
    </xf>
    <xf numFmtId="169" fontId="43" fillId="0" borderId="37" xfId="0" applyNumberFormat="1" applyFont="1" applyFill="1" applyBorder="1" applyAlignment="1">
      <alignment horizontal="right"/>
    </xf>
    <xf numFmtId="0" fontId="43" fillId="0" borderId="0" xfId="0" applyNumberFormat="1" applyFont="1" applyFill="1" applyBorder="1"/>
    <xf numFmtId="0" fontId="43" fillId="0" borderId="0" xfId="0" applyNumberFormat="1" applyFont="1" applyFill="1" applyBorder="1" applyAlignment="1">
      <alignment horizontal="right"/>
    </xf>
    <xf numFmtId="0" fontId="43" fillId="0" borderId="0" xfId="0" applyNumberFormat="1" applyFont="1" applyFill="1" applyBorder="1" applyAlignment="1">
      <alignment horizontal="center"/>
    </xf>
    <xf numFmtId="0" fontId="43" fillId="0" borderId="39" xfId="0" applyNumberFormat="1" applyFont="1" applyFill="1" applyBorder="1" applyAlignment="1">
      <alignment horizontal="center"/>
    </xf>
    <xf numFmtId="0" fontId="43" fillId="0" borderId="40" xfId="0" applyNumberFormat="1" applyFont="1" applyFill="1" applyBorder="1" applyAlignment="1">
      <alignment horizontal="center"/>
    </xf>
    <xf numFmtId="169" fontId="49" fillId="0" borderId="18" xfId="0" applyNumberFormat="1" applyFont="1" applyFill="1" applyBorder="1" applyAlignment="1">
      <alignment horizontal="center"/>
    </xf>
    <xf numFmtId="169" fontId="49" fillId="0" borderId="0" xfId="0" applyNumberFormat="1" applyFont="1" applyFill="1" applyBorder="1" applyAlignment="1">
      <alignment horizontal="center"/>
    </xf>
    <xf numFmtId="169" fontId="43" fillId="0" borderId="0" xfId="0" applyNumberFormat="1" applyFont="1" applyFill="1" applyBorder="1" applyAlignment="1">
      <alignment horizontal="center"/>
    </xf>
    <xf numFmtId="37" fontId="2" fillId="0" borderId="0" xfId="0" applyNumberFormat="1" applyFont="1" applyFill="1" applyBorder="1" applyAlignment="1" applyProtection="1"/>
    <xf numFmtId="10" fontId="24" fillId="0" borderId="0" xfId="69" applyNumberFormat="1" applyFont="1" applyFill="1" applyBorder="1" applyAlignment="1" applyProtection="1"/>
    <xf numFmtId="174" fontId="2" fillId="0" borderId="0" xfId="0" applyNumberFormat="1" applyFont="1" applyFill="1" applyAlignment="1">
      <alignment horizontal="right"/>
    </xf>
    <xf numFmtId="174" fontId="24" fillId="0" borderId="18" xfId="0" applyNumberFormat="1" applyFont="1" applyFill="1" applyBorder="1" applyAlignment="1">
      <alignment horizontal="right"/>
    </xf>
    <xf numFmtId="174" fontId="24" fillId="0" borderId="0" xfId="0" applyNumberFormat="1" applyFont="1" applyFill="1" applyBorder="1" applyAlignment="1">
      <alignment horizontal="right"/>
    </xf>
    <xf numFmtId="174" fontId="2" fillId="0" borderId="40" xfId="0" applyNumberFormat="1" applyFont="1" applyFill="1" applyBorder="1" applyAlignment="1">
      <alignment horizontal="right"/>
    </xf>
    <xf numFmtId="174" fontId="2" fillId="0" borderId="18" xfId="0" applyNumberFormat="1" applyFont="1" applyFill="1" applyBorder="1" applyAlignment="1">
      <alignment horizontal="right"/>
    </xf>
    <xf numFmtId="174" fontId="2" fillId="0" borderId="0" xfId="0" applyNumberFormat="1" applyFont="1" applyFill="1" applyBorder="1" applyAlignment="1">
      <alignment horizontal="right"/>
    </xf>
    <xf numFmtId="174" fontId="2" fillId="0" borderId="41" xfId="0" applyNumberFormat="1" applyFont="1" applyFill="1" applyBorder="1" applyAlignment="1">
      <alignment horizontal="right"/>
    </xf>
    <xf numFmtId="167" fontId="2" fillId="0" borderId="0" xfId="0" applyNumberFormat="1" applyFont="1" applyFill="1" applyAlignment="1" applyProtection="1"/>
    <xf numFmtId="174" fontId="2" fillId="0" borderId="0" xfId="0" applyNumberFormat="1" applyFont="1" applyFill="1" applyBorder="1" applyAlignment="1" applyProtection="1"/>
    <xf numFmtId="174" fontId="2" fillId="0" borderId="0" xfId="0" applyNumberFormat="1" applyFont="1" applyFill="1" applyBorder="1" applyAlignment="1" applyProtection="1">
      <alignment horizontal="left"/>
    </xf>
    <xf numFmtId="14" fontId="2" fillId="0" borderId="0" xfId="0" applyNumberFormat="1" applyFont="1" applyFill="1" applyBorder="1" applyAlignment="1" applyProtection="1">
      <alignment horizontal="right"/>
    </xf>
    <xf numFmtId="174" fontId="27" fillId="0" borderId="0" xfId="0" applyNumberFormat="1" applyFont="1" applyFill="1" applyBorder="1" applyAlignment="1">
      <alignment horizontal="right"/>
    </xf>
    <xf numFmtId="174" fontId="43" fillId="0" borderId="42" xfId="0" applyNumberFormat="1" applyFont="1" applyFill="1" applyBorder="1" applyAlignment="1" applyProtection="1">
      <alignment horizontal="left"/>
    </xf>
    <xf numFmtId="174" fontId="43" fillId="0" borderId="43" xfId="0" applyNumberFormat="1" applyFont="1" applyFill="1" applyBorder="1" applyAlignment="1" applyProtection="1">
      <alignment horizontal="left"/>
    </xf>
    <xf numFmtId="174" fontId="2" fillId="0" borderId="43" xfId="0" applyNumberFormat="1" applyFont="1" applyFill="1" applyBorder="1" applyAlignment="1">
      <alignment horizontal="right"/>
    </xf>
    <xf numFmtId="174" fontId="43" fillId="0" borderId="44" xfId="0" applyNumberFormat="1" applyFont="1" applyFill="1" applyBorder="1" applyAlignment="1">
      <alignment horizontal="right"/>
    </xf>
    <xf numFmtId="174" fontId="43" fillId="0" borderId="43" xfId="0" applyNumberFormat="1" applyFont="1" applyFill="1" applyBorder="1" applyAlignment="1">
      <alignment horizontal="right"/>
    </xf>
    <xf numFmtId="174" fontId="43" fillId="0" borderId="45" xfId="0" applyNumberFormat="1" applyFont="1" applyFill="1" applyBorder="1" applyAlignment="1">
      <alignment horizontal="right"/>
    </xf>
    <xf numFmtId="174" fontId="43" fillId="0" borderId="42" xfId="0" applyNumberFormat="1" applyFont="1" applyFill="1" applyBorder="1" applyAlignment="1">
      <alignment horizontal="right"/>
    </xf>
    <xf numFmtId="174" fontId="2" fillId="0" borderId="0" xfId="0" applyNumberFormat="1" applyFont="1" applyFill="1" applyAlignment="1" applyProtection="1"/>
    <xf numFmtId="174" fontId="24" fillId="0" borderId="42" xfId="0" applyNumberFormat="1" applyFont="1" applyFill="1" applyBorder="1" applyAlignment="1">
      <alignment horizontal="right"/>
    </xf>
    <xf numFmtId="174" fontId="43" fillId="0" borderId="42" xfId="0" applyNumberFormat="1" applyFont="1" applyFill="1" applyBorder="1" applyAlignment="1" applyProtection="1"/>
    <xf numFmtId="174" fontId="43" fillId="0" borderId="43" xfId="0" applyNumberFormat="1" applyFont="1" applyFill="1" applyBorder="1" applyAlignment="1" applyProtection="1"/>
    <xf numFmtId="174" fontId="57" fillId="0" borderId="0" xfId="0" applyNumberFormat="1" applyFont="1" applyFill="1" applyBorder="1" applyAlignment="1" applyProtection="1"/>
    <xf numFmtId="174" fontId="43" fillId="0" borderId="0" xfId="0" applyNumberFormat="1" applyFont="1" applyFill="1" applyBorder="1" applyAlignment="1" applyProtection="1"/>
    <xf numFmtId="43" fontId="41" fillId="0" borderId="18" xfId="36" applyFont="1" applyFill="1" applyBorder="1" applyAlignment="1">
      <alignment horizontal="right"/>
    </xf>
    <xf numFmtId="43" fontId="41" fillId="0" borderId="0" xfId="36" applyFont="1" applyFill="1" applyBorder="1" applyAlignment="1">
      <alignment horizontal="right"/>
    </xf>
    <xf numFmtId="43" fontId="41" fillId="0" borderId="46" xfId="36" applyFont="1" applyFill="1" applyBorder="1" applyAlignment="1">
      <alignment horizontal="right"/>
    </xf>
    <xf numFmtId="43" fontId="41" fillId="0" borderId="47" xfId="36" applyFont="1" applyFill="1" applyBorder="1" applyAlignment="1">
      <alignment horizontal="right"/>
    </xf>
    <xf numFmtId="174" fontId="43" fillId="0" borderId="0" xfId="0" applyNumberFormat="1" applyFont="1" applyFill="1" applyAlignment="1" applyProtection="1"/>
    <xf numFmtId="174" fontId="24" fillId="0" borderId="0" xfId="0" applyNumberFormat="1" applyFont="1" applyFill="1" applyAlignment="1">
      <alignment horizontal="right"/>
    </xf>
    <xf numFmtId="174" fontId="24" fillId="0" borderId="41" xfId="0" applyNumberFormat="1" applyFont="1" applyFill="1" applyBorder="1" applyAlignment="1">
      <alignment horizontal="right"/>
    </xf>
    <xf numFmtId="167" fontId="2" fillId="0" borderId="0" xfId="0" applyNumberFormat="1" applyFont="1" applyFill="1" applyAlignment="1">
      <alignment horizontal="right"/>
    </xf>
    <xf numFmtId="167" fontId="2" fillId="0" borderId="18" xfId="0" applyNumberFormat="1" applyFont="1" applyFill="1" applyBorder="1" applyAlignment="1">
      <alignment horizontal="right"/>
    </xf>
    <xf numFmtId="167" fontId="2" fillId="0" borderId="40" xfId="0" applyNumberFormat="1" applyFont="1" applyFill="1" applyBorder="1" applyAlignment="1">
      <alignment horizontal="right"/>
    </xf>
    <xf numFmtId="167" fontId="2" fillId="0" borderId="13" xfId="0" applyNumberFormat="1" applyFont="1" applyFill="1" applyBorder="1"/>
    <xf numFmtId="167" fontId="43" fillId="0" borderId="12" xfId="0" applyNumberFormat="1" applyFont="1" applyFill="1" applyBorder="1"/>
    <xf numFmtId="167" fontId="43" fillId="0" borderId="12" xfId="0" applyNumberFormat="1" applyFont="1" applyFill="1" applyBorder="1" applyAlignment="1">
      <alignment horizontal="right"/>
    </xf>
    <xf numFmtId="174" fontId="2" fillId="0" borderId="13" xfId="0" applyNumberFormat="1" applyFont="1" applyFill="1" applyBorder="1" applyAlignment="1">
      <alignment horizontal="right"/>
    </xf>
    <xf numFmtId="174" fontId="2" fillId="0" borderId="12" xfId="0" applyNumberFormat="1" applyFont="1" applyFill="1" applyBorder="1" applyAlignment="1">
      <alignment horizontal="right"/>
    </xf>
    <xf numFmtId="174" fontId="2" fillId="0" borderId="48" xfId="0" applyNumberFormat="1" applyFont="1" applyFill="1" applyBorder="1" applyAlignment="1">
      <alignment horizontal="right"/>
    </xf>
    <xf numFmtId="0" fontId="2" fillId="0" borderId="22" xfId="0" applyFont="1" applyFill="1" applyBorder="1"/>
    <xf numFmtId="0" fontId="2" fillId="0" borderId="23" xfId="0" applyFont="1" applyFill="1" applyBorder="1"/>
    <xf numFmtId="0" fontId="2" fillId="0" borderId="18" xfId="0" applyFont="1" applyFill="1" applyBorder="1"/>
    <xf numFmtId="174" fontId="2" fillId="0" borderId="19" xfId="0" applyNumberFormat="1" applyFont="1" applyBorder="1"/>
    <xf numFmtId="174" fontId="2" fillId="0" borderId="18" xfId="0" applyNumberFormat="1" applyFont="1" applyBorder="1"/>
    <xf numFmtId="174" fontId="2" fillId="0" borderId="0" xfId="0" applyNumberFormat="1" applyFont="1" applyBorder="1"/>
    <xf numFmtId="0" fontId="2" fillId="0" borderId="24" xfId="0" applyFont="1" applyFill="1" applyBorder="1"/>
    <xf numFmtId="0" fontId="2" fillId="0" borderId="20" xfId="0" applyFont="1" applyFill="1" applyBorder="1"/>
    <xf numFmtId="0" fontId="2" fillId="0" borderId="20" xfId="0" applyFont="1" applyBorder="1"/>
    <xf numFmtId="165" fontId="2" fillId="0" borderId="24" xfId="69" applyNumberFormat="1" applyFont="1" applyBorder="1"/>
    <xf numFmtId="165" fontId="2" fillId="0" borderId="20" xfId="0" applyNumberFormat="1" applyFont="1" applyBorder="1"/>
    <xf numFmtId="165" fontId="2" fillId="0" borderId="25" xfId="0" applyNumberFormat="1" applyFont="1" applyBorder="1"/>
    <xf numFmtId="167" fontId="53" fillId="0" borderId="0" xfId="0" applyNumberFormat="1" applyFont="1" applyFill="1" applyBorder="1" applyAlignment="1" applyProtection="1"/>
    <xf numFmtId="167" fontId="3" fillId="0" borderId="0" xfId="0" applyNumberFormat="1" applyFont="1" applyFill="1" applyBorder="1" applyAlignment="1" applyProtection="1"/>
    <xf numFmtId="167" fontId="6" fillId="0" borderId="0" xfId="0" applyNumberFormat="1" applyFont="1" applyFill="1" applyBorder="1" applyAlignment="1">
      <alignment horizontal="right"/>
    </xf>
    <xf numFmtId="170" fontId="30" fillId="0" borderId="0" xfId="36" applyNumberFormat="1" applyFont="1" applyFill="1" applyBorder="1" applyAlignment="1">
      <alignment horizontal="right"/>
    </xf>
    <xf numFmtId="167" fontId="23" fillId="0" borderId="0" xfId="0" applyNumberFormat="1" applyFont="1" applyFill="1" applyBorder="1" applyAlignment="1">
      <alignment horizontal="right"/>
    </xf>
    <xf numFmtId="9" fontId="1" fillId="0" borderId="0" xfId="69" applyFont="1" applyFill="1" applyBorder="1"/>
    <xf numFmtId="37" fontId="2" fillId="0" borderId="0" xfId="0" applyNumberFormat="1" applyFont="1" applyFill="1" applyBorder="1"/>
    <xf numFmtId="195" fontId="43" fillId="0" borderId="0" xfId="0" applyNumberFormat="1" applyFont="1" applyFill="1" applyBorder="1" applyAlignment="1">
      <alignment horizontal="center"/>
    </xf>
    <xf numFmtId="195" fontId="43" fillId="0" borderId="0" xfId="0" applyNumberFormat="1" applyFont="1" applyFill="1" applyBorder="1" applyAlignment="1">
      <alignment horizontal="centerContinuous"/>
    </xf>
    <xf numFmtId="174" fontId="43" fillId="0" borderId="0" xfId="0" applyNumberFormat="1" applyFont="1" applyFill="1" applyBorder="1" applyAlignment="1">
      <alignment horizontal="right"/>
    </xf>
    <xf numFmtId="167" fontId="2" fillId="0" borderId="0" xfId="0" applyNumberFormat="1" applyFont="1" applyFill="1" applyBorder="1" applyAlignment="1">
      <alignment horizontal="right"/>
    </xf>
    <xf numFmtId="167" fontId="43" fillId="0" borderId="0" xfId="0" applyNumberFormat="1" applyFont="1" applyFill="1" applyBorder="1" applyAlignment="1">
      <alignment horizontal="right"/>
    </xf>
    <xf numFmtId="170" fontId="2" fillId="0" borderId="0" xfId="36" applyNumberFormat="1" applyFont="1" applyFill="1" applyBorder="1"/>
    <xf numFmtId="195" fontId="43" fillId="0" borderId="11" xfId="0" applyNumberFormat="1" applyFont="1" applyFill="1" applyBorder="1" applyAlignment="1">
      <alignment horizontal="centerContinuous"/>
    </xf>
    <xf numFmtId="169" fontId="49" fillId="0" borderId="11" xfId="0" applyNumberFormat="1" applyFont="1" applyFill="1" applyBorder="1" applyAlignment="1">
      <alignment horizontal="center"/>
    </xf>
    <xf numFmtId="174" fontId="24" fillId="0" borderId="11" xfId="0" applyNumberFormat="1" applyFont="1" applyFill="1" applyBorder="1" applyAlignment="1">
      <alignment horizontal="right"/>
    </xf>
    <xf numFmtId="174" fontId="27" fillId="0" borderId="11" xfId="0" applyNumberFormat="1" applyFont="1" applyFill="1" applyBorder="1" applyAlignment="1">
      <alignment horizontal="right"/>
    </xf>
    <xf numFmtId="174" fontId="43" fillId="0" borderId="11" xfId="0" applyNumberFormat="1" applyFont="1" applyFill="1" applyBorder="1" applyAlignment="1">
      <alignment horizontal="right"/>
    </xf>
    <xf numFmtId="43" fontId="41" fillId="0" borderId="11" xfId="36" applyFont="1" applyFill="1" applyBorder="1" applyAlignment="1">
      <alignment horizontal="right"/>
    </xf>
    <xf numFmtId="174" fontId="2" fillId="0" borderId="11" xfId="0" applyNumberFormat="1" applyFont="1" applyFill="1" applyBorder="1" applyAlignment="1">
      <alignment horizontal="right"/>
    </xf>
    <xf numFmtId="167" fontId="2" fillId="0" borderId="11" xfId="0" applyNumberFormat="1" applyFont="1" applyFill="1" applyBorder="1" applyAlignment="1">
      <alignment horizontal="right"/>
    </xf>
    <xf numFmtId="0" fontId="2" fillId="0" borderId="0" xfId="0" applyFont="1" applyFill="1" applyBorder="1" applyAlignment="1" applyProtection="1">
      <alignment horizontal="center"/>
    </xf>
    <xf numFmtId="0" fontId="2" fillId="0" borderId="0" xfId="56" applyFont="1" applyFill="1" applyBorder="1"/>
    <xf numFmtId="169" fontId="49" fillId="0" borderId="0" xfId="0" applyNumberFormat="1" applyFont="1" applyFill="1" applyBorder="1" applyAlignment="1">
      <alignment horizontal="right"/>
    </xf>
    <xf numFmtId="0" fontId="2" fillId="0" borderId="11" xfId="0" applyFont="1" applyFill="1" applyBorder="1"/>
    <xf numFmtId="165" fontId="2" fillId="0" borderId="0" xfId="0" applyNumberFormat="1" applyFont="1" applyFill="1" applyBorder="1"/>
    <xf numFmtId="165" fontId="2" fillId="0" borderId="0" xfId="69" applyNumberFormat="1" applyFont="1" applyFill="1" applyBorder="1"/>
    <xf numFmtId="165" fontId="2" fillId="0" borderId="11" xfId="69" applyNumberFormat="1" applyFont="1" applyFill="1" applyBorder="1"/>
    <xf numFmtId="165" fontId="2" fillId="0" borderId="0" xfId="0" applyNumberFormat="1" applyFont="1" applyFill="1" applyBorder="1" applyAlignment="1">
      <alignment horizontal="right"/>
    </xf>
    <xf numFmtId="0" fontId="43" fillId="0" borderId="49" xfId="0" applyNumberFormat="1" applyFont="1" applyFill="1" applyBorder="1" applyAlignment="1">
      <alignment horizontal="right"/>
    </xf>
    <xf numFmtId="174" fontId="2" fillId="0" borderId="39" xfId="0" applyNumberFormat="1" applyFont="1" applyFill="1" applyBorder="1" applyAlignment="1">
      <alignment horizontal="right"/>
    </xf>
    <xf numFmtId="174" fontId="43" fillId="0" borderId="50" xfId="0" applyNumberFormat="1" applyFont="1" applyFill="1" applyBorder="1" applyAlignment="1">
      <alignment horizontal="right"/>
    </xf>
    <xf numFmtId="43" fontId="41" fillId="0" borderId="51" xfId="36" applyFont="1" applyFill="1" applyBorder="1" applyAlignment="1">
      <alignment horizontal="right"/>
    </xf>
    <xf numFmtId="167" fontId="2" fillId="0" borderId="39" xfId="0" applyNumberFormat="1" applyFont="1" applyFill="1" applyBorder="1" applyAlignment="1">
      <alignment horizontal="right"/>
    </xf>
    <xf numFmtId="174" fontId="2" fillId="0" borderId="52" xfId="0" applyNumberFormat="1" applyFont="1" applyFill="1" applyBorder="1" applyAlignment="1">
      <alignment horizontal="right"/>
    </xf>
    <xf numFmtId="0" fontId="2" fillId="0" borderId="18" xfId="0" applyFont="1" applyBorder="1"/>
    <xf numFmtId="14" fontId="24" fillId="0" borderId="0" xfId="0" applyNumberFormat="1" applyFont="1" applyFill="1" applyBorder="1" applyAlignment="1" applyProtection="1"/>
    <xf numFmtId="174" fontId="24" fillId="0" borderId="39" xfId="0" applyNumberFormat="1" applyFont="1" applyFill="1" applyBorder="1" applyAlignment="1">
      <alignment horizontal="right"/>
    </xf>
    <xf numFmtId="174" fontId="24" fillId="0" borderId="53" xfId="0" applyNumberFormat="1" applyFont="1" applyFill="1" applyBorder="1" applyAlignment="1">
      <alignment horizontal="right"/>
    </xf>
    <xf numFmtId="165" fontId="58" fillId="0" borderId="24" xfId="0" applyNumberFormat="1" applyFont="1" applyBorder="1"/>
    <xf numFmtId="165" fontId="58" fillId="0" borderId="20" xfId="0" applyNumberFormat="1" applyFont="1" applyBorder="1"/>
    <xf numFmtId="0" fontId="6" fillId="0" borderId="0" xfId="0" applyFont="1" applyBorder="1"/>
    <xf numFmtId="174" fontId="3" fillId="0" borderId="0" xfId="0" applyNumberFormat="1" applyFont="1"/>
    <xf numFmtId="174" fontId="3" fillId="0" borderId="0" xfId="0" applyNumberFormat="1" applyFont="1" applyBorder="1"/>
    <xf numFmtId="0" fontId="19" fillId="0" borderId="18" xfId="0" applyFont="1" applyFill="1" applyBorder="1"/>
    <xf numFmtId="0" fontId="7" fillId="0" borderId="11" xfId="0" applyFont="1" applyFill="1" applyBorder="1"/>
    <xf numFmtId="0" fontId="4" fillId="0" borderId="19" xfId="0" applyFont="1" applyFill="1" applyBorder="1"/>
    <xf numFmtId="0" fontId="7" fillId="0" borderId="19" xfId="0" applyFont="1" applyFill="1" applyBorder="1" applyAlignment="1">
      <alignment horizontal="center"/>
    </xf>
    <xf numFmtId="0" fontId="7" fillId="0" borderId="18" xfId="0" applyFont="1" applyFill="1" applyBorder="1" applyAlignment="1">
      <alignment horizontal="center"/>
    </xf>
    <xf numFmtId="0" fontId="7" fillId="0" borderId="0" xfId="0" applyFont="1" applyFill="1" applyBorder="1" applyAlignment="1">
      <alignment horizontal="center"/>
    </xf>
    <xf numFmtId="0" fontId="4" fillId="0" borderId="18" xfId="0" applyFont="1" applyFill="1" applyBorder="1"/>
    <xf numFmtId="0" fontId="12" fillId="0" borderId="0" xfId="0" applyFont="1" applyFill="1" applyBorder="1"/>
    <xf numFmtId="0" fontId="7" fillId="0" borderId="24" xfId="0" applyFont="1" applyFill="1" applyBorder="1"/>
    <xf numFmtId="0" fontId="12" fillId="0" borderId="20" xfId="0" applyFont="1" applyFill="1" applyBorder="1"/>
    <xf numFmtId="174" fontId="3" fillId="0" borderId="20" xfId="0" applyNumberFormat="1" applyFont="1" applyFill="1" applyBorder="1"/>
    <xf numFmtId="174" fontId="7" fillId="0" borderId="20" xfId="0" applyNumberFormat="1" applyFont="1" applyFill="1" applyBorder="1"/>
    <xf numFmtId="9" fontId="7" fillId="0" borderId="20" xfId="69" applyFont="1" applyFill="1" applyBorder="1"/>
    <xf numFmtId="165" fontId="3" fillId="0" borderId="0" xfId="69" applyNumberFormat="1" applyFont="1" applyFill="1" applyBorder="1"/>
    <xf numFmtId="0" fontId="8" fillId="0" borderId="36" xfId="53" applyFont="1" applyFill="1" applyBorder="1" applyAlignment="1" applyProtection="1">
      <alignment horizontal="left"/>
    </xf>
    <xf numFmtId="0" fontId="3" fillId="0" borderId="0" xfId="53" applyFont="1" applyFill="1" applyBorder="1" applyAlignment="1">
      <alignment horizontal="left"/>
    </xf>
    <xf numFmtId="167" fontId="3" fillId="0" borderId="0" xfId="0" applyNumberFormat="1" applyFont="1" applyFill="1" applyBorder="1" applyAlignment="1">
      <alignment horizontal="left" indent="1"/>
    </xf>
    <xf numFmtId="167" fontId="3" fillId="16" borderId="19" xfId="36" applyNumberFormat="1" applyFont="1" applyFill="1" applyBorder="1" applyAlignment="1">
      <alignment horizontal="center"/>
    </xf>
    <xf numFmtId="167" fontId="7" fillId="0" borderId="0" xfId="0" applyNumberFormat="1" applyFont="1" applyFill="1" applyBorder="1"/>
    <xf numFmtId="167" fontId="4" fillId="0" borderId="0" xfId="0" applyNumberFormat="1" applyFont="1" applyFill="1" applyBorder="1"/>
    <xf numFmtId="167" fontId="12" fillId="16" borderId="19" xfId="0" applyNumberFormat="1" applyFont="1" applyFill="1" applyBorder="1"/>
    <xf numFmtId="167" fontId="3" fillId="16" borderId="0" xfId="0" applyNumberFormat="1" applyFont="1" applyFill="1" applyBorder="1"/>
    <xf numFmtId="167" fontId="3" fillId="0" borderId="22" xfId="36" applyNumberFormat="1" applyFont="1" applyFill="1" applyBorder="1"/>
    <xf numFmtId="167" fontId="3" fillId="0" borderId="23" xfId="36" applyNumberFormat="1" applyFont="1" applyFill="1" applyBorder="1"/>
    <xf numFmtId="167" fontId="3" fillId="0" borderId="27" xfId="36" applyNumberFormat="1" applyFont="1" applyFill="1" applyBorder="1"/>
    <xf numFmtId="167" fontId="14" fillId="0" borderId="0" xfId="0" applyNumberFormat="1" applyFont="1" applyFill="1" applyBorder="1"/>
    <xf numFmtId="167" fontId="3" fillId="0" borderId="27" xfId="0" applyNumberFormat="1" applyFont="1" applyFill="1" applyBorder="1"/>
    <xf numFmtId="167" fontId="3" fillId="0" borderId="26" xfId="0" applyNumberFormat="1" applyFont="1" applyFill="1" applyBorder="1"/>
    <xf numFmtId="167" fontId="3" fillId="0" borderId="22" xfId="0" applyNumberFormat="1" applyFont="1" applyFill="1" applyBorder="1"/>
    <xf numFmtId="167" fontId="3" fillId="0" borderId="23" xfId="0" applyNumberFormat="1" applyFont="1" applyFill="1" applyBorder="1"/>
    <xf numFmtId="167" fontId="4" fillId="0" borderId="20" xfId="0" applyNumberFormat="1" applyFont="1" applyFill="1" applyBorder="1"/>
    <xf numFmtId="167" fontId="3" fillId="16" borderId="20" xfId="0" applyNumberFormat="1" applyFont="1" applyFill="1" applyBorder="1"/>
    <xf numFmtId="167" fontId="6" fillId="0" borderId="24" xfId="36" applyNumberFormat="1" applyFont="1" applyFill="1" applyBorder="1"/>
    <xf numFmtId="167" fontId="6" fillId="0" borderId="20" xfId="36" applyNumberFormat="1" applyFont="1" applyFill="1" applyBorder="1"/>
    <xf numFmtId="167" fontId="6" fillId="0" borderId="21" xfId="36" applyNumberFormat="1" applyFont="1" applyFill="1" applyBorder="1"/>
    <xf numFmtId="167" fontId="6" fillId="0" borderId="25" xfId="36" applyNumberFormat="1" applyFont="1" applyFill="1" applyBorder="1"/>
    <xf numFmtId="167" fontId="3" fillId="0" borderId="20" xfId="0" applyNumberFormat="1" applyFont="1" applyFill="1" applyBorder="1"/>
    <xf numFmtId="167" fontId="14" fillId="0" borderId="20" xfId="0" applyNumberFormat="1" applyFont="1" applyFill="1" applyBorder="1"/>
    <xf numFmtId="167" fontId="7" fillId="0" borderId="20" xfId="0" applyNumberFormat="1" applyFont="1" applyFill="1" applyBorder="1"/>
    <xf numFmtId="167" fontId="3" fillId="0" borderId="0" xfId="0" applyNumberFormat="1" applyFont="1" applyFill="1" applyBorder="1" applyAlignment="1">
      <alignment horizontal="left"/>
    </xf>
    <xf numFmtId="167" fontId="3" fillId="0" borderId="18" xfId="36" applyNumberFormat="1" applyFont="1" applyFill="1" applyBorder="1"/>
    <xf numFmtId="167" fontId="3" fillId="0" borderId="0" xfId="36" applyNumberFormat="1" applyFont="1" applyFill="1" applyBorder="1"/>
    <xf numFmtId="167" fontId="3" fillId="0" borderId="11" xfId="36" applyNumberFormat="1" applyFont="1" applyFill="1" applyBorder="1"/>
    <xf numFmtId="167" fontId="3" fillId="0" borderId="19" xfId="36" applyNumberFormat="1" applyFont="1" applyFill="1" applyBorder="1"/>
    <xf numFmtId="167" fontId="4" fillId="0" borderId="18" xfId="0" applyNumberFormat="1" applyFont="1" applyFill="1" applyBorder="1"/>
    <xf numFmtId="174" fontId="3" fillId="16" borderId="19" xfId="36" applyNumberFormat="1" applyFont="1" applyFill="1" applyBorder="1" applyAlignment="1">
      <alignment horizontal="center"/>
    </xf>
    <xf numFmtId="174" fontId="6" fillId="0" borderId="0" xfId="0" applyNumberFormat="1" applyFont="1" applyFill="1" applyBorder="1"/>
    <xf numFmtId="165" fontId="3" fillId="0" borderId="18" xfId="69" applyNumberFormat="1" applyFont="1" applyFill="1" applyBorder="1"/>
    <xf numFmtId="165" fontId="3" fillId="0" borderId="11" xfId="69" applyNumberFormat="1" applyFont="1" applyFill="1" applyBorder="1"/>
    <xf numFmtId="167" fontId="40" fillId="0" borderId="18" xfId="36" applyNumberFormat="1" applyFont="1" applyFill="1" applyBorder="1"/>
    <xf numFmtId="167" fontId="3" fillId="0" borderId="26" xfId="36" applyNumberFormat="1" applyFont="1" applyFill="1" applyBorder="1"/>
    <xf numFmtId="167" fontId="40" fillId="0" borderId="22" xfId="36" applyNumberFormat="1" applyFont="1" applyFill="1" applyBorder="1"/>
    <xf numFmtId="167" fontId="40" fillId="0" borderId="23" xfId="36" applyNumberFormat="1" applyFont="1" applyFill="1" applyBorder="1"/>
    <xf numFmtId="167" fontId="40" fillId="0" borderId="27" xfId="36" applyNumberFormat="1" applyFont="1" applyFill="1" applyBorder="1"/>
    <xf numFmtId="9" fontId="3" fillId="0" borderId="19" xfId="69" applyFont="1" applyFill="1" applyBorder="1"/>
    <xf numFmtId="167" fontId="40" fillId="0" borderId="11" xfId="36" applyNumberFormat="1" applyFont="1" applyFill="1" applyBorder="1"/>
    <xf numFmtId="174" fontId="3" fillId="0" borderId="19" xfId="0" applyNumberFormat="1" applyFont="1" applyFill="1" applyBorder="1"/>
    <xf numFmtId="0" fontId="4" fillId="0" borderId="19" xfId="0" applyFont="1" applyFill="1" applyBorder="1" applyAlignment="1">
      <alignment horizontal="right"/>
    </xf>
    <xf numFmtId="0" fontId="4" fillId="0" borderId="0" xfId="0" applyFont="1" applyFill="1" applyBorder="1" applyAlignment="1">
      <alignment wrapText="1"/>
    </xf>
    <xf numFmtId="0" fontId="6" fillId="0" borderId="18" xfId="0" applyFont="1" applyFill="1" applyBorder="1" applyAlignment="1" applyProtection="1">
      <alignment horizontal="left"/>
    </xf>
    <xf numFmtId="0" fontId="6" fillId="0" borderId="0" xfId="0" applyFont="1" applyFill="1" applyBorder="1" applyAlignment="1" applyProtection="1">
      <alignment horizontal="left"/>
    </xf>
    <xf numFmtId="0" fontId="6" fillId="0" borderId="19" xfId="0" applyFont="1" applyFill="1" applyBorder="1" applyAlignment="1" applyProtection="1">
      <alignment horizontal="left"/>
    </xf>
    <xf numFmtId="170" fontId="12" fillId="0" borderId="19" xfId="36" applyNumberFormat="1" applyFont="1" applyFill="1" applyBorder="1" applyAlignment="1" applyProtection="1">
      <alignment horizontal="left"/>
    </xf>
    <xf numFmtId="170" fontId="12" fillId="0" borderId="18" xfId="36" applyNumberFormat="1" applyFont="1" applyFill="1" applyBorder="1" applyAlignment="1" applyProtection="1">
      <alignment horizontal="left"/>
    </xf>
    <xf numFmtId="170" fontId="12" fillId="0" borderId="0" xfId="36" applyNumberFormat="1" applyFont="1" applyFill="1" applyBorder="1" applyAlignment="1" applyProtection="1">
      <alignment horizontal="left"/>
    </xf>
    <xf numFmtId="41" fontId="6" fillId="0" borderId="12" xfId="0" applyNumberFormat="1" applyFont="1" applyFill="1" applyBorder="1" applyAlignment="1" applyProtection="1">
      <alignment horizontal="left"/>
    </xf>
    <xf numFmtId="41" fontId="6" fillId="0" borderId="0" xfId="0" applyNumberFormat="1" applyFont="1" applyFill="1" applyAlignment="1" applyProtection="1">
      <alignment horizontal="left"/>
    </xf>
    <xf numFmtId="41" fontId="3" fillId="0" borderId="0" xfId="64" applyNumberFormat="1" applyFont="1" applyFill="1"/>
    <xf numFmtId="41" fontId="6" fillId="0" borderId="54" xfId="64" applyNumberFormat="1" applyFont="1" applyFill="1" applyBorder="1" applyAlignment="1" applyProtection="1">
      <alignment horizontal="left"/>
    </xf>
    <xf numFmtId="41" fontId="3" fillId="0" borderId="20" xfId="0" applyNumberFormat="1" applyFont="1" applyFill="1" applyBorder="1"/>
    <xf numFmtId="0" fontId="3" fillId="0" borderId="24" xfId="74" applyFont="1" applyFill="1" applyBorder="1">
      <protection locked="0"/>
    </xf>
    <xf numFmtId="167" fontId="3" fillId="0" borderId="20" xfId="38" applyNumberFormat="1" applyFont="1" applyFill="1" applyBorder="1"/>
    <xf numFmtId="167" fontId="3" fillId="0" borderId="25" xfId="38" applyNumberFormat="1" applyFont="1" applyFill="1" applyBorder="1"/>
    <xf numFmtId="167" fontId="3" fillId="0" borderId="20" xfId="74" applyNumberFormat="1" applyFont="1" applyFill="1" applyBorder="1">
      <protection locked="0"/>
    </xf>
    <xf numFmtId="165" fontId="2" fillId="0" borderId="18" xfId="74" applyNumberFormat="1" applyFont="1" applyFill="1" applyBorder="1">
      <protection locked="0"/>
    </xf>
    <xf numFmtId="165" fontId="3" fillId="0" borderId="18" xfId="74" applyNumberFormat="1" applyFont="1" applyFill="1" applyBorder="1">
      <protection locked="0"/>
    </xf>
    <xf numFmtId="177" fontId="3" fillId="0" borderId="18" xfId="74" applyNumberFormat="1" applyFont="1" applyFill="1" applyBorder="1">
      <protection locked="0"/>
    </xf>
    <xf numFmtId="164" fontId="3" fillId="0" borderId="18" xfId="74" applyNumberFormat="1" applyFont="1" applyFill="1" applyBorder="1">
      <protection locked="0"/>
    </xf>
    <xf numFmtId="164" fontId="3" fillId="0" borderId="24" xfId="74" applyNumberFormat="1" applyFont="1" applyFill="1" applyBorder="1">
      <protection locked="0"/>
    </xf>
    <xf numFmtId="164" fontId="3" fillId="0" borderId="18" xfId="55" applyNumberFormat="1" applyFont="1" applyFill="1" applyBorder="1"/>
    <xf numFmtId="164" fontId="2" fillId="0" borderId="24" xfId="55" applyNumberFormat="1" applyFont="1" applyFill="1" applyBorder="1"/>
    <xf numFmtId="9" fontId="7" fillId="0" borderId="25" xfId="69" applyFont="1" applyFill="1" applyBorder="1"/>
    <xf numFmtId="0" fontId="3" fillId="0" borderId="20" xfId="74" applyFont="1" applyFill="1" applyBorder="1">
      <protection locked="0"/>
    </xf>
    <xf numFmtId="164" fontId="3" fillId="0" borderId="0" xfId="74" applyNumberFormat="1" applyFont="1" applyFill="1" applyBorder="1">
      <protection locked="0"/>
    </xf>
    <xf numFmtId="164" fontId="3" fillId="0" borderId="0" xfId="55" applyNumberFormat="1" applyFont="1" applyFill="1" applyBorder="1"/>
    <xf numFmtId="0" fontId="7" fillId="0" borderId="23" xfId="0" applyFont="1" applyFill="1" applyBorder="1"/>
    <xf numFmtId="0" fontId="3" fillId="0" borderId="18" xfId="74" applyFont="1" applyFill="1" applyBorder="1" applyAlignment="1">
      <alignment horizontal="left" indent="1"/>
      <protection locked="0"/>
    </xf>
    <xf numFmtId="178" fontId="3" fillId="0" borderId="18" xfId="74" applyNumberFormat="1" applyFont="1" applyFill="1" applyBorder="1" applyAlignment="1">
      <alignment horizontal="left" indent="1"/>
      <protection locked="0"/>
    </xf>
    <xf numFmtId="38" fontId="3" fillId="0" borderId="18" xfId="74" applyNumberFormat="1" applyFont="1" applyFill="1" applyBorder="1" applyAlignment="1">
      <alignment horizontal="left" indent="1"/>
      <protection locked="0"/>
    </xf>
    <xf numFmtId="38" fontId="3" fillId="0" borderId="18" xfId="74" applyNumberFormat="1" applyFont="1" applyFill="1" applyBorder="1">
      <protection locked="0"/>
    </xf>
    <xf numFmtId="0" fontId="9" fillId="0" borderId="18" xfId="74" applyFont="1" applyFill="1" applyBorder="1" applyAlignment="1">
      <alignment horizontal="left" indent="2"/>
      <protection locked="0"/>
    </xf>
    <xf numFmtId="0" fontId="3" fillId="0" borderId="0" xfId="74" applyFont="1" applyFill="1" applyBorder="1" applyAlignment="1">
      <alignment horizontal="left" indent="1"/>
      <protection locked="0"/>
    </xf>
    <xf numFmtId="170" fontId="14" fillId="0" borderId="19" xfId="0" applyNumberFormat="1" applyFont="1" applyFill="1" applyBorder="1"/>
    <xf numFmtId="37" fontId="3" fillId="0" borderId="18" xfId="0" applyNumberFormat="1" applyFont="1" applyFill="1" applyBorder="1"/>
    <xf numFmtId="170" fontId="14" fillId="0" borderId="25" xfId="0" applyNumberFormat="1" applyFont="1" applyFill="1" applyBorder="1"/>
    <xf numFmtId="170" fontId="14" fillId="0" borderId="20" xfId="0" applyNumberFormat="1" applyFont="1" applyFill="1" applyBorder="1"/>
    <xf numFmtId="0" fontId="14" fillId="0" borderId="25" xfId="0" applyFont="1" applyFill="1" applyBorder="1"/>
    <xf numFmtId="0" fontId="14" fillId="0" borderId="0" xfId="0" applyFont="1" applyFill="1" applyBorder="1"/>
    <xf numFmtId="0" fontId="3" fillId="0" borderId="18" xfId="74" applyFont="1" applyFill="1" applyBorder="1" applyAlignment="1">
      <alignment horizontal="left" indent="2"/>
      <protection locked="0"/>
    </xf>
    <xf numFmtId="9" fontId="3" fillId="0" borderId="0" xfId="69" applyFont="1" applyFill="1" applyBorder="1" applyAlignment="1" applyProtection="1">
      <alignment horizontal="left" indent="2"/>
      <protection locked="0"/>
    </xf>
    <xf numFmtId="41" fontId="7" fillId="0" borderId="20" xfId="0" applyNumberFormat="1" applyFont="1" applyFill="1" applyBorder="1"/>
    <xf numFmtId="174" fontId="7" fillId="0" borderId="0" xfId="0" applyNumberFormat="1" applyFont="1" applyFill="1"/>
    <xf numFmtId="165" fontId="14" fillId="0" borderId="0" xfId="69" applyNumberFormat="1" applyFont="1" applyFill="1" applyBorder="1" applyAlignment="1">
      <alignment horizontal="right"/>
    </xf>
    <xf numFmtId="165" fontId="14" fillId="0" borderId="19" xfId="69" applyNumberFormat="1" applyFont="1" applyFill="1" applyBorder="1" applyAlignment="1">
      <alignment horizontal="right"/>
    </xf>
    <xf numFmtId="0" fontId="3" fillId="0" borderId="24" xfId="74" applyFont="1" applyFill="1" applyBorder="1" applyAlignment="1">
      <alignment horizontal="left" indent="1"/>
      <protection locked="0"/>
    </xf>
    <xf numFmtId="0" fontId="3" fillId="0" borderId="20" xfId="74" applyFont="1" applyFill="1" applyBorder="1" applyAlignment="1">
      <alignment horizontal="left" indent="1"/>
      <protection locked="0"/>
    </xf>
    <xf numFmtId="165" fontId="14" fillId="0" borderId="20" xfId="69" applyNumberFormat="1" applyFont="1" applyFill="1" applyBorder="1" applyAlignment="1">
      <alignment horizontal="right"/>
    </xf>
    <xf numFmtId="165" fontId="14" fillId="0" borderId="25" xfId="69" applyNumberFormat="1" applyFont="1" applyFill="1" applyBorder="1" applyAlignment="1">
      <alignment horizontal="right"/>
    </xf>
    <xf numFmtId="0" fontId="2" fillId="0" borderId="0" xfId="0" applyFont="1" applyFill="1" applyAlignment="1" applyProtection="1">
      <alignment horizontal="left"/>
    </xf>
    <xf numFmtId="174" fontId="14" fillId="0" borderId="11" xfId="36" applyNumberFormat="1" applyFont="1" applyFill="1" applyBorder="1"/>
    <xf numFmtId="174" fontId="14" fillId="0" borderId="11" xfId="36" applyNumberFormat="1" applyFont="1" applyFill="1" applyBorder="1" applyAlignment="1">
      <alignment horizontal="right"/>
    </xf>
    <xf numFmtId="174" fontId="14" fillId="0" borderId="0" xfId="36" applyNumberFormat="1" applyFont="1" applyFill="1" applyBorder="1" applyAlignment="1">
      <alignment horizontal="right"/>
    </xf>
    <xf numFmtId="174" fontId="3" fillId="0" borderId="19" xfId="36" applyNumberFormat="1" applyFont="1" applyFill="1" applyBorder="1" applyAlignment="1">
      <alignment horizontal="right"/>
    </xf>
    <xf numFmtId="167" fontId="14" fillId="0" borderId="22" xfId="36" applyNumberFormat="1" applyFont="1" applyFill="1" applyBorder="1" applyAlignment="1">
      <alignment horizontal="right"/>
    </xf>
    <xf numFmtId="167" fontId="14" fillId="0" borderId="23" xfId="36" applyNumberFormat="1" applyFont="1" applyFill="1" applyBorder="1" applyAlignment="1">
      <alignment horizontal="right"/>
    </xf>
    <xf numFmtId="167" fontId="14" fillId="0" borderId="0" xfId="36" applyNumberFormat="1" applyFont="1" applyFill="1" applyBorder="1" applyAlignment="1">
      <alignment horizontal="right"/>
    </xf>
    <xf numFmtId="167" fontId="3" fillId="0" borderId="19" xfId="36" applyNumberFormat="1" applyFont="1" applyFill="1" applyBorder="1" applyAlignment="1">
      <alignment horizontal="right"/>
    </xf>
    <xf numFmtId="167" fontId="14" fillId="0" borderId="27" xfId="36" applyNumberFormat="1" applyFont="1" applyFill="1" applyBorder="1" applyAlignment="1">
      <alignment horizontal="right"/>
    </xf>
    <xf numFmtId="167" fontId="3" fillId="0" borderId="0" xfId="36" applyNumberFormat="1" applyFont="1" applyFill="1" applyBorder="1" applyAlignment="1">
      <alignment horizontal="right"/>
    </xf>
    <xf numFmtId="174" fontId="14" fillId="0" borderId="18" xfId="36" applyNumberFormat="1" applyFont="1" applyFill="1" applyBorder="1" applyAlignment="1">
      <alignment horizontal="right"/>
    </xf>
    <xf numFmtId="174" fontId="3" fillId="0" borderId="0" xfId="36" applyNumberFormat="1" applyFont="1" applyFill="1" applyBorder="1" applyAlignment="1">
      <alignment horizontal="right"/>
    </xf>
    <xf numFmtId="174" fontId="3" fillId="0" borderId="11" xfId="36" applyNumberFormat="1" applyFont="1" applyFill="1" applyBorder="1" applyAlignment="1">
      <alignment horizontal="right"/>
    </xf>
    <xf numFmtId="174" fontId="3" fillId="0" borderId="18" xfId="36" applyNumberFormat="1" applyFont="1" applyFill="1" applyBorder="1" applyAlignment="1">
      <alignment horizontal="right"/>
    </xf>
    <xf numFmtId="174" fontId="6" fillId="0" borderId="11" xfId="36" applyNumberFormat="1" applyFont="1" applyFill="1" applyBorder="1" applyAlignment="1">
      <alignment horizontal="right"/>
    </xf>
    <xf numFmtId="174" fontId="12" fillId="0" borderId="19" xfId="0" applyNumberFormat="1" applyFont="1" applyFill="1" applyBorder="1" applyAlignment="1">
      <alignment horizontal="right"/>
    </xf>
    <xf numFmtId="174" fontId="6" fillId="0" borderId="19" xfId="36" applyNumberFormat="1" applyFont="1" applyFill="1" applyBorder="1" applyAlignment="1">
      <alignment horizontal="right"/>
    </xf>
    <xf numFmtId="174" fontId="12" fillId="0" borderId="0" xfId="0" applyNumberFormat="1" applyFont="1" applyFill="1" applyBorder="1" applyAlignment="1">
      <alignment horizontal="right"/>
    </xf>
    <xf numFmtId="170" fontId="14" fillId="0" borderId="19" xfId="0" applyNumberFormat="1" applyFont="1" applyFill="1" applyBorder="1" applyAlignment="1">
      <alignment horizontal="right"/>
    </xf>
    <xf numFmtId="174" fontId="14" fillId="0" borderId="19" xfId="0" applyNumberFormat="1" applyFont="1" applyFill="1" applyBorder="1" applyAlignment="1">
      <alignment horizontal="right"/>
    </xf>
    <xf numFmtId="174" fontId="7" fillId="0" borderId="18" xfId="0" applyNumberFormat="1" applyFont="1" applyFill="1" applyBorder="1" applyAlignment="1">
      <alignment horizontal="right"/>
    </xf>
    <xf numFmtId="174" fontId="14" fillId="0" borderId="18" xfId="0" applyNumberFormat="1" applyFont="1" applyFill="1" applyBorder="1" applyAlignment="1">
      <alignment horizontal="right"/>
    </xf>
    <xf numFmtId="174" fontId="6" fillId="0" borderId="0" xfId="36" applyNumberFormat="1" applyFont="1" applyFill="1" applyBorder="1" applyAlignment="1">
      <alignment horizontal="right"/>
    </xf>
    <xf numFmtId="170" fontId="12" fillId="0" borderId="19" xfId="0" applyNumberFormat="1" applyFont="1" applyFill="1" applyBorder="1" applyAlignment="1">
      <alignment horizontal="right"/>
    </xf>
    <xf numFmtId="174" fontId="6" fillId="0" borderId="18" xfId="36" applyNumberFormat="1" applyFont="1" applyFill="1" applyBorder="1" applyAlignment="1">
      <alignment horizontal="right"/>
    </xf>
    <xf numFmtId="174" fontId="12" fillId="0" borderId="18" xfId="0" applyNumberFormat="1" applyFont="1" applyFill="1" applyBorder="1" applyAlignment="1">
      <alignment horizontal="right"/>
    </xf>
    <xf numFmtId="167" fontId="6" fillId="0" borderId="0" xfId="36" applyNumberFormat="1" applyFont="1" applyFill="1" applyBorder="1" applyAlignment="1">
      <alignment horizontal="right"/>
    </xf>
    <xf numFmtId="167" fontId="6" fillId="0" borderId="11" xfId="36" applyNumberFormat="1" applyFont="1" applyFill="1" applyBorder="1" applyAlignment="1">
      <alignment horizontal="right"/>
    </xf>
    <xf numFmtId="167" fontId="6" fillId="0" borderId="19" xfId="36" applyNumberFormat="1" applyFont="1" applyFill="1" applyBorder="1" applyAlignment="1">
      <alignment horizontal="right"/>
    </xf>
    <xf numFmtId="167" fontId="12" fillId="0" borderId="19" xfId="0" applyNumberFormat="1" applyFont="1" applyFill="1" applyBorder="1" applyAlignment="1">
      <alignment horizontal="right"/>
    </xf>
    <xf numFmtId="167" fontId="6" fillId="0" borderId="18" xfId="36" applyNumberFormat="1" applyFont="1" applyFill="1" applyBorder="1" applyAlignment="1">
      <alignment horizontal="right"/>
    </xf>
    <xf numFmtId="167" fontId="12" fillId="0" borderId="18" xfId="0" applyNumberFormat="1" applyFont="1" applyFill="1" applyBorder="1" applyAlignment="1">
      <alignment horizontal="right"/>
    </xf>
    <xf numFmtId="167" fontId="4" fillId="0" borderId="11" xfId="0" applyNumberFormat="1" applyFont="1" applyFill="1" applyBorder="1" applyAlignment="1">
      <alignment horizontal="right"/>
    </xf>
    <xf numFmtId="174" fontId="7" fillId="0" borderId="11" xfId="0" applyNumberFormat="1" applyFont="1" applyFill="1" applyBorder="1" applyAlignment="1">
      <alignment horizontal="right"/>
    </xf>
    <xf numFmtId="174" fontId="3" fillId="0" borderId="19" xfId="0" applyNumberFormat="1" applyFont="1" applyFill="1" applyBorder="1" applyAlignment="1">
      <alignment horizontal="right"/>
    </xf>
    <xf numFmtId="174" fontId="7" fillId="0" borderId="0" xfId="0" applyNumberFormat="1" applyFont="1" applyFill="1" applyBorder="1" applyAlignment="1">
      <alignment horizontal="right"/>
    </xf>
    <xf numFmtId="170" fontId="7" fillId="0" borderId="19" xfId="0" applyNumberFormat="1" applyFont="1" applyFill="1" applyBorder="1" applyAlignment="1">
      <alignment horizontal="right"/>
    </xf>
    <xf numFmtId="174" fontId="7" fillId="0" borderId="19" xfId="0" applyNumberFormat="1" applyFont="1" applyFill="1" applyBorder="1" applyAlignment="1">
      <alignment horizontal="right"/>
    </xf>
    <xf numFmtId="174" fontId="7" fillId="0" borderId="0" xfId="36" applyNumberFormat="1" applyFont="1" applyFill="1" applyBorder="1" applyAlignment="1">
      <alignment horizontal="right"/>
    </xf>
    <xf numFmtId="167" fontId="12" fillId="0" borderId="0" xfId="0" applyNumberFormat="1" applyFont="1" applyFill="1" applyBorder="1" applyAlignment="1">
      <alignment horizontal="right"/>
    </xf>
    <xf numFmtId="174" fontId="14" fillId="0" borderId="0" xfId="0" applyNumberFormat="1" applyFont="1" applyFill="1" applyBorder="1" applyAlignment="1">
      <alignment horizontal="right"/>
    </xf>
    <xf numFmtId="174" fontId="14" fillId="0" borderId="11" xfId="0" applyNumberFormat="1" applyFont="1" applyFill="1" applyBorder="1" applyAlignment="1">
      <alignment horizontal="right"/>
    </xf>
    <xf numFmtId="174" fontId="3" fillId="0" borderId="0" xfId="0" applyNumberFormat="1" applyFont="1" applyFill="1" applyBorder="1" applyAlignment="1">
      <alignment horizontal="right"/>
    </xf>
    <xf numFmtId="174" fontId="3" fillId="0" borderId="18" xfId="0" applyNumberFormat="1" applyFont="1" applyFill="1" applyBorder="1" applyAlignment="1">
      <alignment horizontal="right"/>
    </xf>
    <xf numFmtId="174" fontId="6" fillId="0" borderId="25" xfId="36" applyNumberFormat="1" applyFont="1" applyFill="1" applyBorder="1" applyAlignment="1">
      <alignment horizontal="right"/>
    </xf>
    <xf numFmtId="174" fontId="12" fillId="0" borderId="25" xfId="0" applyNumberFormat="1" applyFont="1" applyFill="1" applyBorder="1" applyAlignment="1">
      <alignment horizontal="right"/>
    </xf>
    <xf numFmtId="174" fontId="6" fillId="0" borderId="20" xfId="36" applyNumberFormat="1" applyFont="1" applyFill="1" applyBorder="1" applyAlignment="1">
      <alignment horizontal="right"/>
    </xf>
    <xf numFmtId="174" fontId="6" fillId="0" borderId="21" xfId="36" applyNumberFormat="1" applyFont="1" applyFill="1" applyBorder="1" applyAlignment="1">
      <alignment horizontal="right"/>
    </xf>
    <xf numFmtId="174" fontId="6" fillId="0" borderId="24" xfId="36" applyNumberFormat="1" applyFont="1" applyFill="1" applyBorder="1" applyAlignment="1">
      <alignment horizontal="right"/>
    </xf>
    <xf numFmtId="174" fontId="12" fillId="0" borderId="24" xfId="0" applyNumberFormat="1" applyFont="1" applyFill="1" applyBorder="1" applyAlignment="1">
      <alignment horizontal="right"/>
    </xf>
    <xf numFmtId="174" fontId="4" fillId="0" borderId="20" xfId="0" applyNumberFormat="1" applyFont="1" applyFill="1" applyBorder="1" applyAlignment="1">
      <alignment horizontal="right"/>
    </xf>
    <xf numFmtId="174" fontId="7" fillId="0" borderId="22" xfId="0" applyNumberFormat="1" applyFont="1" applyFill="1" applyBorder="1" applyAlignment="1">
      <alignment horizontal="right"/>
    </xf>
    <xf numFmtId="167" fontId="4" fillId="0" borderId="18" xfId="0" applyNumberFormat="1" applyFont="1" applyFill="1" applyBorder="1" applyAlignment="1">
      <alignment horizontal="right"/>
    </xf>
    <xf numFmtId="44" fontId="6" fillId="0" borderId="0" xfId="38" applyNumberFormat="1" applyFont="1" applyFill="1" applyBorder="1" applyAlignment="1">
      <alignment horizontal="right"/>
    </xf>
    <xf numFmtId="44" fontId="6" fillId="0" borderId="11" xfId="38" applyNumberFormat="1" applyFont="1" applyFill="1" applyBorder="1" applyAlignment="1">
      <alignment horizontal="right"/>
    </xf>
    <xf numFmtId="44" fontId="6" fillId="0" borderId="19" xfId="38" applyNumberFormat="1" applyFont="1" applyFill="1" applyBorder="1" applyAlignment="1">
      <alignment horizontal="right"/>
    </xf>
    <xf numFmtId="44" fontId="12" fillId="0" borderId="19" xfId="0" applyNumberFormat="1" applyFont="1" applyFill="1" applyBorder="1" applyAlignment="1">
      <alignment horizontal="right"/>
    </xf>
    <xf numFmtId="44" fontId="12" fillId="0" borderId="18" xfId="0" applyNumberFormat="1" applyFont="1" applyFill="1" applyBorder="1" applyAlignment="1">
      <alignment horizontal="right"/>
    </xf>
    <xf numFmtId="44" fontId="6" fillId="0" borderId="18" xfId="38" applyNumberFormat="1" applyFont="1" applyFill="1" applyBorder="1" applyAlignment="1">
      <alignment horizontal="right"/>
    </xf>
    <xf numFmtId="44" fontId="4" fillId="0" borderId="18" xfId="0" applyNumberFormat="1" applyFont="1" applyFill="1" applyBorder="1" applyAlignment="1">
      <alignment horizontal="right"/>
    </xf>
    <xf numFmtId="167" fontId="4" fillId="0" borderId="0" xfId="0" applyNumberFormat="1" applyFont="1" applyFill="1" applyBorder="1" applyAlignment="1">
      <alignment horizontal="right"/>
    </xf>
    <xf numFmtId="174" fontId="4" fillId="0" borderId="0" xfId="0" applyNumberFormat="1" applyFont="1" applyFill="1" applyBorder="1"/>
    <xf numFmtId="174" fontId="4" fillId="0" borderId="0" xfId="0" applyNumberFormat="1" applyFont="1" applyFill="1" applyBorder="1" applyAlignment="1">
      <alignment horizontal="right"/>
    </xf>
    <xf numFmtId="174" fontId="4" fillId="0" borderId="19" xfId="0" applyNumberFormat="1" applyFont="1" applyFill="1" applyBorder="1" applyAlignment="1">
      <alignment horizontal="right"/>
    </xf>
    <xf numFmtId="167" fontId="4" fillId="0" borderId="19" xfId="0" applyNumberFormat="1" applyFont="1" applyFill="1" applyBorder="1" applyAlignment="1">
      <alignment horizontal="right"/>
    </xf>
    <xf numFmtId="174" fontId="3" fillId="0" borderId="0" xfId="74" applyNumberFormat="1" applyFont="1" applyFill="1" applyBorder="1">
      <protection locked="0"/>
    </xf>
    <xf numFmtId="174" fontId="3" fillId="0" borderId="25" xfId="0" applyNumberFormat="1" applyFont="1" applyFill="1" applyBorder="1"/>
    <xf numFmtId="174" fontId="3" fillId="0" borderId="0" xfId="0" applyNumberFormat="1" applyFont="1" applyFill="1" applyAlignment="1" applyProtection="1">
      <alignment horizontal="right"/>
    </xf>
    <xf numFmtId="174" fontId="7" fillId="0" borderId="19" xfId="74" applyNumberFormat="1" applyFont="1" applyFill="1" applyBorder="1" applyAlignment="1">
      <alignment horizontal="right"/>
      <protection locked="0"/>
    </xf>
    <xf numFmtId="174" fontId="14" fillId="0" borderId="18" xfId="74" applyNumberFormat="1" applyFont="1" applyFill="1" applyBorder="1" applyAlignment="1">
      <alignment horizontal="right"/>
      <protection locked="0"/>
    </xf>
    <xf numFmtId="174" fontId="14" fillId="0" borderId="0" xfId="74" applyNumberFormat="1" applyFont="1" applyFill="1" applyBorder="1" applyAlignment="1">
      <alignment horizontal="right"/>
      <protection locked="0"/>
    </xf>
    <xf numFmtId="174" fontId="3" fillId="0" borderId="0" xfId="74" applyNumberFormat="1" applyFont="1" applyFill="1" applyBorder="1" applyAlignment="1">
      <alignment horizontal="right"/>
      <protection locked="0"/>
    </xf>
    <xf numFmtId="174" fontId="3" fillId="0" borderId="0" xfId="36" applyNumberFormat="1" applyFont="1" applyFill="1" applyBorder="1" applyAlignment="1" applyProtection="1">
      <alignment horizontal="right"/>
    </xf>
    <xf numFmtId="174" fontId="3" fillId="0" borderId="18" xfId="36" applyNumberFormat="1" applyFont="1" applyFill="1" applyBorder="1" applyAlignment="1" applyProtection="1">
      <alignment horizontal="right"/>
    </xf>
    <xf numFmtId="174" fontId="3" fillId="0" borderId="19" xfId="0" applyNumberFormat="1" applyFont="1" applyFill="1" applyBorder="1" applyAlignment="1" applyProtection="1">
      <alignment horizontal="right"/>
    </xf>
    <xf numFmtId="174" fontId="24" fillId="0" borderId="24" xfId="0" applyNumberFormat="1" applyFont="1" applyFill="1" applyBorder="1" applyAlignment="1">
      <alignment horizontal="right"/>
    </xf>
    <xf numFmtId="174" fontId="24" fillId="0" borderId="20" xfId="0" applyNumberFormat="1" applyFont="1" applyFill="1" applyBorder="1" applyAlignment="1">
      <alignment horizontal="right"/>
    </xf>
    <xf numFmtId="174" fontId="7" fillId="0" borderId="25" xfId="74" applyNumberFormat="1" applyFont="1" applyFill="1" applyBorder="1" applyAlignment="1">
      <alignment horizontal="right"/>
      <protection locked="0"/>
    </xf>
    <xf numFmtId="174" fontId="6" fillId="0" borderId="13" xfId="36" applyNumberFormat="1" applyFont="1" applyFill="1" applyBorder="1" applyAlignment="1" applyProtection="1">
      <alignment horizontal="right"/>
    </xf>
    <xf numFmtId="174" fontId="6" fillId="0" borderId="12" xfId="36" applyNumberFormat="1" applyFont="1" applyFill="1" applyBorder="1" applyAlignment="1" applyProtection="1">
      <alignment horizontal="right"/>
    </xf>
    <xf numFmtId="174" fontId="6" fillId="0" borderId="14" xfId="36" applyNumberFormat="1" applyFont="1" applyFill="1" applyBorder="1" applyAlignment="1" applyProtection="1">
      <alignment horizontal="right"/>
    </xf>
    <xf numFmtId="174" fontId="6" fillId="0" borderId="12" xfId="0" applyNumberFormat="1" applyFont="1" applyFill="1" applyBorder="1" applyAlignment="1" applyProtection="1">
      <alignment horizontal="right"/>
    </xf>
    <xf numFmtId="174" fontId="14" fillId="0" borderId="18" xfId="36" applyNumberFormat="1" applyFont="1" applyFill="1" applyBorder="1" applyAlignment="1" applyProtection="1">
      <alignment horizontal="right"/>
    </xf>
    <xf numFmtId="174" fontId="14" fillId="0" borderId="0" xfId="36" applyNumberFormat="1" applyFont="1" applyFill="1" applyBorder="1" applyAlignment="1" applyProtection="1">
      <alignment horizontal="right"/>
    </xf>
    <xf numFmtId="174" fontId="12" fillId="0" borderId="18" xfId="36" applyNumberFormat="1" applyFont="1" applyFill="1" applyBorder="1" applyAlignment="1" applyProtection="1">
      <alignment horizontal="right"/>
    </xf>
    <xf numFmtId="174" fontId="12" fillId="0" borderId="0" xfId="36" applyNumberFormat="1" applyFont="1" applyFill="1" applyBorder="1" applyAlignment="1" applyProtection="1">
      <alignment horizontal="right"/>
    </xf>
    <xf numFmtId="174" fontId="12" fillId="0" borderId="19" xfId="36" applyNumberFormat="1" applyFont="1" applyFill="1" applyBorder="1" applyAlignment="1" applyProtection="1">
      <alignment horizontal="right"/>
    </xf>
    <xf numFmtId="174" fontId="6" fillId="0" borderId="0" xfId="0" applyNumberFormat="1" applyFont="1" applyFill="1" applyAlignment="1" applyProtection="1">
      <alignment horizontal="right"/>
    </xf>
    <xf numFmtId="174" fontId="6" fillId="0" borderId="0" xfId="36" applyNumberFormat="1" applyFont="1" applyFill="1" applyBorder="1" applyAlignment="1" applyProtection="1">
      <alignment horizontal="right"/>
    </xf>
    <xf numFmtId="174" fontId="6" fillId="0" borderId="18" xfId="36" applyNumberFormat="1" applyFont="1" applyFill="1" applyBorder="1" applyAlignment="1" applyProtection="1">
      <alignment horizontal="right"/>
    </xf>
    <xf numFmtId="174" fontId="3" fillId="0" borderId="0" xfId="0" applyNumberFormat="1" applyFont="1" applyFill="1" applyBorder="1" applyAlignment="1" applyProtection="1">
      <alignment horizontal="right"/>
    </xf>
    <xf numFmtId="174" fontId="3" fillId="0" borderId="18" xfId="0" applyNumberFormat="1" applyFont="1" applyFill="1" applyBorder="1" applyAlignment="1" applyProtection="1">
      <alignment horizontal="right"/>
    </xf>
    <xf numFmtId="174" fontId="3" fillId="0" borderId="26" xfId="0" applyNumberFormat="1" applyFont="1" applyFill="1" applyBorder="1" applyAlignment="1" applyProtection="1">
      <alignment horizontal="right"/>
    </xf>
    <xf numFmtId="174" fontId="3" fillId="0" borderId="22" xfId="36" applyNumberFormat="1" applyFont="1" applyFill="1" applyBorder="1" applyAlignment="1" applyProtection="1">
      <alignment horizontal="right"/>
    </xf>
    <xf numFmtId="174" fontId="14" fillId="0" borderId="19" xfId="36" applyNumberFormat="1" applyFont="1" applyFill="1" applyBorder="1" applyAlignment="1">
      <alignment horizontal="right"/>
    </xf>
    <xf numFmtId="174" fontId="3" fillId="0" borderId="0" xfId="64" applyNumberFormat="1" applyFont="1" applyFill="1" applyAlignment="1">
      <alignment horizontal="right"/>
    </xf>
    <xf numFmtId="174" fontId="6" fillId="0" borderId="55" xfId="36" applyNumberFormat="1" applyFont="1" applyFill="1" applyBorder="1" applyAlignment="1" applyProtection="1">
      <alignment horizontal="right"/>
    </xf>
    <xf numFmtId="174" fontId="6" fillId="0" borderId="54" xfId="36" applyNumberFormat="1" applyFont="1" applyFill="1" applyBorder="1" applyAlignment="1" applyProtection="1">
      <alignment horizontal="right"/>
    </xf>
    <xf numFmtId="174" fontId="6" fillId="0" borderId="56" xfId="36" applyNumberFormat="1" applyFont="1" applyFill="1" applyBorder="1" applyAlignment="1" applyProtection="1">
      <alignment horizontal="right"/>
    </xf>
    <xf numFmtId="174" fontId="6" fillId="0" borderId="54" xfId="64" applyNumberFormat="1" applyFont="1" applyFill="1" applyBorder="1" applyAlignment="1" applyProtection="1">
      <alignment horizontal="right"/>
    </xf>
    <xf numFmtId="174" fontId="3" fillId="0" borderId="20" xfId="0" applyNumberFormat="1" applyFont="1" applyFill="1" applyBorder="1" applyAlignment="1">
      <alignment horizontal="right"/>
    </xf>
    <xf numFmtId="174" fontId="3" fillId="0" borderId="25" xfId="0" applyNumberFormat="1" applyFont="1" applyFill="1" applyBorder="1" applyAlignment="1">
      <alignment horizontal="right"/>
    </xf>
    <xf numFmtId="174" fontId="7" fillId="0" borderId="0" xfId="38" applyNumberFormat="1" applyFont="1" applyFill="1" applyBorder="1" applyAlignment="1">
      <alignment horizontal="right"/>
    </xf>
    <xf numFmtId="174" fontId="7" fillId="0" borderId="19" xfId="38" applyNumberFormat="1" applyFont="1" applyFill="1" applyBorder="1" applyAlignment="1">
      <alignment horizontal="right"/>
    </xf>
    <xf numFmtId="174" fontId="3" fillId="0" borderId="20" xfId="74" applyNumberFormat="1" applyFont="1" applyFill="1" applyBorder="1">
      <protection locked="0"/>
    </xf>
    <xf numFmtId="174" fontId="14" fillId="0" borderId="19" xfId="0" applyNumberFormat="1" applyFont="1" applyFill="1" applyBorder="1"/>
    <xf numFmtId="174" fontId="3" fillId="0" borderId="0" xfId="74" applyNumberFormat="1" applyFont="1" applyFill="1" applyBorder="1" applyAlignment="1">
      <alignment horizontal="left" indent="1"/>
      <protection locked="0"/>
    </xf>
    <xf numFmtId="174" fontId="3" fillId="0" borderId="0" xfId="64" applyNumberFormat="1" applyFont="1" applyFill="1" applyBorder="1" applyAlignment="1" applyProtection="1">
      <alignment horizontal="center"/>
    </xf>
    <xf numFmtId="174" fontId="14" fillId="0" borderId="0" xfId="74" applyNumberFormat="1" applyFont="1" applyFill="1" applyBorder="1" applyAlignment="1">
      <alignment horizontal="left" indent="1"/>
      <protection locked="0"/>
    </xf>
    <xf numFmtId="174" fontId="7" fillId="0" borderId="0" xfId="36" applyNumberFormat="1" applyFont="1" applyFill="1" applyBorder="1"/>
    <xf numFmtId="174" fontId="7" fillId="0" borderId="25" xfId="0" applyNumberFormat="1" applyFont="1" applyFill="1" applyBorder="1"/>
    <xf numFmtId="174" fontId="14" fillId="0" borderId="0" xfId="0" applyNumberFormat="1" applyFont="1" applyFill="1"/>
    <xf numFmtId="174" fontId="3" fillId="0" borderId="0" xfId="64" applyNumberFormat="1" applyFont="1" applyFill="1" applyBorder="1" applyAlignment="1" applyProtection="1">
      <alignment horizontal="right"/>
    </xf>
    <xf numFmtId="174" fontId="47" fillId="0" borderId="11" xfId="36" applyNumberFormat="1" applyFont="1" applyFill="1" applyBorder="1" applyAlignment="1">
      <alignment horizontal="right"/>
    </xf>
    <xf numFmtId="174" fontId="47" fillId="0" borderId="18" xfId="36" applyNumberFormat="1" applyFont="1" applyFill="1" applyBorder="1" applyAlignment="1">
      <alignment horizontal="right"/>
    </xf>
    <xf numFmtId="174" fontId="47" fillId="0" borderId="0" xfId="36" applyNumberFormat="1" applyFont="1" applyFill="1" applyBorder="1" applyAlignment="1">
      <alignment horizontal="right"/>
    </xf>
    <xf numFmtId="174" fontId="47" fillId="0" borderId="0" xfId="0" applyNumberFormat="1" applyFont="1" applyFill="1" applyBorder="1" applyAlignment="1">
      <alignment horizontal="right"/>
    </xf>
    <xf numFmtId="174" fontId="47" fillId="0" borderId="18" xfId="0" applyNumberFormat="1" applyFont="1" applyFill="1" applyBorder="1" applyAlignment="1">
      <alignment horizontal="right"/>
    </xf>
    <xf numFmtId="167" fontId="40" fillId="0" borderId="18" xfId="0" applyNumberFormat="1" applyFont="1" applyFill="1" applyBorder="1" applyAlignment="1">
      <alignment horizontal="right"/>
    </xf>
    <xf numFmtId="167" fontId="40" fillId="0" borderId="0" xfId="0" applyNumberFormat="1" applyFont="1" applyFill="1" applyBorder="1" applyAlignment="1">
      <alignment horizontal="right"/>
    </xf>
    <xf numFmtId="167" fontId="40" fillId="0" borderId="11" xfId="0" applyNumberFormat="1" applyFont="1" applyFill="1" applyBorder="1" applyAlignment="1">
      <alignment horizontal="right"/>
    </xf>
    <xf numFmtId="167" fontId="6" fillId="0" borderId="19" xfId="0" applyNumberFormat="1" applyFont="1" applyFill="1" applyBorder="1" applyAlignment="1">
      <alignment horizontal="right"/>
    </xf>
    <xf numFmtId="167" fontId="3" fillId="0" borderId="0" xfId="0" applyNumberFormat="1" applyFont="1" applyFill="1" applyBorder="1" applyAlignment="1">
      <alignment horizontal="right"/>
    </xf>
    <xf numFmtId="167" fontId="7" fillId="0" borderId="0" xfId="0" applyNumberFormat="1" applyFont="1" applyFill="1" applyBorder="1" applyAlignment="1">
      <alignment horizontal="right"/>
    </xf>
    <xf numFmtId="167" fontId="14" fillId="0" borderId="0" xfId="0" applyNumberFormat="1" applyFont="1" applyFill="1" applyBorder="1" applyAlignment="1">
      <alignment horizontal="right"/>
    </xf>
    <xf numFmtId="167" fontId="7" fillId="0" borderId="19" xfId="0" applyNumberFormat="1" applyFont="1" applyFill="1" applyBorder="1" applyAlignment="1">
      <alignment horizontal="right"/>
    </xf>
    <xf numFmtId="167" fontId="7" fillId="0" borderId="18" xfId="0" applyNumberFormat="1" applyFont="1" applyFill="1" applyBorder="1" applyAlignment="1">
      <alignment horizontal="right"/>
    </xf>
    <xf numFmtId="0" fontId="3" fillId="0" borderId="0" xfId="0" applyFont="1" applyFill="1" applyBorder="1" applyAlignment="1">
      <alignment horizontal="right"/>
    </xf>
    <xf numFmtId="0" fontId="7" fillId="0" borderId="19" xfId="0" applyFont="1" applyFill="1" applyBorder="1" applyAlignment="1">
      <alignment horizontal="right"/>
    </xf>
    <xf numFmtId="0" fontId="7" fillId="0" borderId="18" xfId="0" applyFont="1" applyFill="1" applyBorder="1" applyAlignment="1">
      <alignment horizontal="right"/>
    </xf>
    <xf numFmtId="0" fontId="12" fillId="0" borderId="19" xfId="0" applyFont="1" applyFill="1" applyBorder="1" applyAlignment="1">
      <alignment horizontal="right"/>
    </xf>
    <xf numFmtId="171" fontId="14" fillId="0" borderId="0" xfId="0" applyNumberFormat="1" applyFont="1" applyFill="1" applyBorder="1" applyAlignment="1">
      <alignment horizontal="right"/>
    </xf>
    <xf numFmtId="0" fontId="14" fillId="0" borderId="0" xfId="0" applyFont="1" applyFill="1" applyBorder="1" applyAlignment="1">
      <alignment horizontal="right"/>
    </xf>
    <xf numFmtId="171" fontId="3" fillId="0" borderId="19" xfId="0" applyNumberFormat="1" applyFont="1" applyFill="1" applyBorder="1" applyAlignment="1">
      <alignment horizontal="right"/>
    </xf>
    <xf numFmtId="171" fontId="14" fillId="0" borderId="18" xfId="0" applyNumberFormat="1" applyFont="1" applyFill="1" applyBorder="1" applyAlignment="1">
      <alignment horizontal="right"/>
    </xf>
    <xf numFmtId="174" fontId="14" fillId="0" borderId="24" xfId="0" applyNumberFormat="1" applyFont="1" applyFill="1" applyBorder="1" applyAlignment="1">
      <alignment horizontal="right"/>
    </xf>
    <xf numFmtId="174" fontId="14" fillId="0" borderId="20" xfId="0" applyNumberFormat="1" applyFont="1" applyFill="1" applyBorder="1" applyAlignment="1">
      <alignment horizontal="right"/>
    </xf>
    <xf numFmtId="174" fontId="14" fillId="0" borderId="21" xfId="0" applyNumberFormat="1" applyFont="1" applyFill="1" applyBorder="1" applyAlignment="1">
      <alignment horizontal="right"/>
    </xf>
    <xf numFmtId="0" fontId="12" fillId="0" borderId="25" xfId="0" applyFont="1" applyFill="1" applyBorder="1" applyAlignment="1">
      <alignment horizontal="right"/>
    </xf>
    <xf numFmtId="171" fontId="14" fillId="0" borderId="20" xfId="0" applyNumberFormat="1" applyFont="1" applyFill="1" applyBorder="1" applyAlignment="1">
      <alignment horizontal="right"/>
    </xf>
    <xf numFmtId="174" fontId="7" fillId="0" borderId="20" xfId="0" applyNumberFormat="1" applyFont="1" applyFill="1" applyBorder="1" applyAlignment="1">
      <alignment horizontal="right"/>
    </xf>
    <xf numFmtId="174" fontId="7" fillId="0" borderId="25" xfId="0" applyNumberFormat="1" applyFont="1" applyFill="1" applyBorder="1" applyAlignment="1">
      <alignment horizontal="right"/>
    </xf>
    <xf numFmtId="174" fontId="7" fillId="0" borderId="24" xfId="0" applyNumberFormat="1" applyFont="1" applyFill="1" applyBorder="1" applyAlignment="1">
      <alignment horizontal="right"/>
    </xf>
    <xf numFmtId="165" fontId="7" fillId="0" borderId="18" xfId="69" applyNumberFormat="1" applyFont="1" applyFill="1" applyBorder="1" applyAlignment="1">
      <alignment horizontal="right"/>
    </xf>
    <xf numFmtId="165" fontId="7" fillId="0" borderId="0" xfId="69" applyNumberFormat="1" applyFont="1" applyFill="1" applyBorder="1" applyAlignment="1">
      <alignment horizontal="right"/>
    </xf>
    <xf numFmtId="165" fontId="7" fillId="0" borderId="11" xfId="69" applyNumberFormat="1" applyFont="1" applyFill="1" applyBorder="1" applyAlignment="1">
      <alignment horizontal="right"/>
    </xf>
    <xf numFmtId="9" fontId="7" fillId="0" borderId="19" xfId="69" applyNumberFormat="1" applyFont="1" applyFill="1" applyBorder="1" applyAlignment="1">
      <alignment horizontal="right"/>
    </xf>
    <xf numFmtId="9" fontId="3" fillId="0" borderId="0" xfId="0" applyNumberFormat="1" applyFont="1" applyFill="1" applyBorder="1" applyAlignment="1">
      <alignment horizontal="right"/>
    </xf>
    <xf numFmtId="9" fontId="7" fillId="0" borderId="18" xfId="69" applyNumberFormat="1" applyFont="1" applyFill="1" applyBorder="1" applyAlignment="1">
      <alignment horizontal="right"/>
    </xf>
    <xf numFmtId="9" fontId="7" fillId="0" borderId="0" xfId="69" applyNumberFormat="1" applyFont="1" applyFill="1" applyBorder="1" applyAlignment="1">
      <alignment horizontal="right"/>
    </xf>
    <xf numFmtId="165" fontId="7" fillId="0" borderId="19" xfId="69" applyNumberFormat="1" applyFont="1" applyFill="1" applyBorder="1" applyAlignment="1">
      <alignment horizontal="right"/>
    </xf>
    <xf numFmtId="165" fontId="7" fillId="0" borderId="0" xfId="0" applyNumberFormat="1" applyFont="1" applyFill="1" applyBorder="1" applyAlignment="1">
      <alignment horizontal="right"/>
    </xf>
    <xf numFmtId="0" fontId="7" fillId="0" borderId="11" xfId="0" applyFont="1" applyFill="1" applyBorder="1" applyAlignment="1">
      <alignment horizontal="right"/>
    </xf>
    <xf numFmtId="167" fontId="3" fillId="0" borderId="19" xfId="0" applyNumberFormat="1" applyFont="1" applyFill="1" applyBorder="1" applyAlignment="1">
      <alignment horizontal="right"/>
    </xf>
    <xf numFmtId="167" fontId="12" fillId="0" borderId="11" xfId="0" applyNumberFormat="1" applyFont="1" applyFill="1" applyBorder="1" applyAlignment="1">
      <alignment horizontal="right"/>
    </xf>
    <xf numFmtId="0" fontId="7" fillId="0" borderId="24" xfId="0" applyFont="1" applyFill="1" applyBorder="1" applyAlignment="1">
      <alignment horizontal="right"/>
    </xf>
    <xf numFmtId="0" fontId="7" fillId="0" borderId="20" xfId="0" applyFont="1" applyFill="1" applyBorder="1" applyAlignment="1">
      <alignment horizontal="right"/>
    </xf>
    <xf numFmtId="0" fontId="7" fillId="0" borderId="25" xfId="0" applyFont="1" applyFill="1" applyBorder="1" applyAlignment="1">
      <alignment horizontal="right"/>
    </xf>
    <xf numFmtId="167" fontId="6" fillId="0" borderId="18" xfId="0" applyNumberFormat="1" applyFont="1" applyFill="1" applyBorder="1" applyAlignment="1">
      <alignment horizontal="right"/>
    </xf>
    <xf numFmtId="167" fontId="6" fillId="0" borderId="11" xfId="0" applyNumberFormat="1" applyFont="1" applyFill="1" applyBorder="1" applyAlignment="1">
      <alignment horizontal="right"/>
    </xf>
    <xf numFmtId="174" fontId="4" fillId="0" borderId="18" xfId="0" applyNumberFormat="1" applyFont="1" applyFill="1" applyBorder="1"/>
    <xf numFmtId="174" fontId="4" fillId="0" borderId="18" xfId="0" applyNumberFormat="1" applyFont="1" applyFill="1" applyBorder="1" applyAlignment="1">
      <alignment horizontal="right"/>
    </xf>
    <xf numFmtId="174" fontId="4" fillId="0" borderId="11" xfId="0" applyNumberFormat="1" applyFont="1" applyFill="1" applyBorder="1" applyAlignment="1">
      <alignment horizontal="right"/>
    </xf>
    <xf numFmtId="174" fontId="12" fillId="0" borderId="11" xfId="0" applyNumberFormat="1" applyFont="1" applyFill="1" applyBorder="1" applyAlignment="1">
      <alignment horizontal="right"/>
    </xf>
    <xf numFmtId="174" fontId="6" fillId="0" borderId="0" xfId="0" applyNumberFormat="1" applyFont="1" applyFill="1" applyBorder="1" applyAlignment="1">
      <alignment horizontal="right"/>
    </xf>
    <xf numFmtId="174" fontId="6" fillId="0" borderId="19" xfId="0" applyNumberFormat="1" applyFont="1" applyFill="1" applyBorder="1" applyAlignment="1">
      <alignment horizontal="right"/>
    </xf>
    <xf numFmtId="9" fontId="9" fillId="0" borderId="0" xfId="69" applyNumberFormat="1" applyFont="1" applyFill="1" applyBorder="1" applyAlignment="1">
      <alignment horizontal="right"/>
    </xf>
    <xf numFmtId="9" fontId="9" fillId="0" borderId="18" xfId="69" applyNumberFormat="1" applyFont="1" applyFill="1" applyBorder="1" applyAlignment="1">
      <alignment horizontal="right"/>
    </xf>
    <xf numFmtId="165" fontId="15" fillId="0" borderId="0" xfId="69" applyNumberFormat="1" applyFont="1" applyFill="1" applyBorder="1" applyAlignment="1">
      <alignment horizontal="right"/>
    </xf>
    <xf numFmtId="165" fontId="15" fillId="0" borderId="18" xfId="69" applyNumberFormat="1" applyFont="1" applyFill="1" applyBorder="1" applyAlignment="1">
      <alignment horizontal="right"/>
    </xf>
    <xf numFmtId="0" fontId="14" fillId="0" borderId="19" xfId="0" applyFont="1" applyFill="1" applyBorder="1" applyAlignment="1">
      <alignment horizontal="right"/>
    </xf>
    <xf numFmtId="9" fontId="3" fillId="0" borderId="19" xfId="69" applyNumberFormat="1" applyFont="1" applyFill="1" applyBorder="1" applyAlignment="1">
      <alignment horizontal="right"/>
    </xf>
    <xf numFmtId="174" fontId="47" fillId="0" borderId="0" xfId="74" applyNumberFormat="1" applyFont="1" applyFill="1" applyBorder="1" applyAlignment="1">
      <alignment horizontal="right"/>
      <protection locked="0"/>
    </xf>
    <xf numFmtId="41" fontId="7" fillId="0" borderId="0" xfId="0" applyNumberFormat="1" applyFont="1"/>
    <xf numFmtId="41" fontId="47" fillId="0" borderId="0" xfId="0" applyNumberFormat="1" applyFont="1" applyFill="1" applyAlignment="1" applyProtection="1">
      <alignment horizontal="left"/>
    </xf>
    <xf numFmtId="174" fontId="47" fillId="0" borderId="19" xfId="0" applyNumberFormat="1" applyFont="1" applyFill="1" applyBorder="1" applyAlignment="1">
      <alignment horizontal="right"/>
    </xf>
    <xf numFmtId="174" fontId="47" fillId="0" borderId="0" xfId="0" applyNumberFormat="1" applyFont="1" applyFill="1" applyAlignment="1" applyProtection="1">
      <alignment horizontal="right"/>
    </xf>
    <xf numFmtId="174" fontId="47" fillId="0" borderId="18" xfId="74" applyNumberFormat="1" applyFont="1" applyFill="1" applyBorder="1" applyAlignment="1">
      <alignment horizontal="right"/>
      <protection locked="0"/>
    </xf>
    <xf numFmtId="174" fontId="47" fillId="0" borderId="19" xfId="74" applyNumberFormat="1" applyFont="1" applyFill="1" applyBorder="1" applyAlignment="1">
      <alignment horizontal="right"/>
      <protection locked="0"/>
    </xf>
    <xf numFmtId="174" fontId="47" fillId="0" borderId="0" xfId="0" applyNumberFormat="1" applyFont="1" applyFill="1" applyBorder="1"/>
    <xf numFmtId="174" fontId="47" fillId="0" borderId="19" xfId="0" applyNumberFormat="1" applyFont="1" applyFill="1" applyBorder="1"/>
    <xf numFmtId="174" fontId="47" fillId="0" borderId="0" xfId="74" applyNumberFormat="1" applyFont="1" applyFill="1" applyBorder="1" applyAlignment="1">
      <alignment horizontal="left" indent="1"/>
      <protection locked="0"/>
    </xf>
    <xf numFmtId="41" fontId="47" fillId="0" borderId="0" xfId="0" applyNumberFormat="1" applyFont="1" applyFill="1" applyBorder="1"/>
    <xf numFmtId="174" fontId="47" fillId="0" borderId="0" xfId="74" applyNumberFormat="1" applyFont="1" applyFill="1" applyBorder="1" applyAlignment="1">
      <alignment horizontal="right" indent="1"/>
      <protection locked="0"/>
    </xf>
    <xf numFmtId="174" fontId="3" fillId="0" borderId="0" xfId="74" applyNumberFormat="1" applyFont="1" applyFill="1" applyBorder="1" applyAlignment="1">
      <alignment horizontal="right" indent="1"/>
      <protection locked="0"/>
    </xf>
    <xf numFmtId="165" fontId="3" fillId="0" borderId="19" xfId="69" applyNumberFormat="1" applyFont="1" applyFill="1" applyBorder="1" applyAlignment="1">
      <alignment horizontal="right"/>
    </xf>
    <xf numFmtId="41" fontId="14" fillId="0" borderId="0" xfId="0" applyNumberFormat="1" applyFont="1" applyFill="1" applyBorder="1" applyAlignment="1">
      <alignment horizontal="right"/>
    </xf>
    <xf numFmtId="41" fontId="14" fillId="0" borderId="19" xfId="0" applyNumberFormat="1" applyFont="1" applyFill="1" applyBorder="1" applyAlignment="1">
      <alignment horizontal="right"/>
    </xf>
    <xf numFmtId="41" fontId="3" fillId="0" borderId="0" xfId="74" applyNumberFormat="1" applyFont="1" applyFill="1" applyBorder="1" applyAlignment="1">
      <alignment horizontal="right"/>
      <protection locked="0"/>
    </xf>
    <xf numFmtId="9" fontId="3" fillId="0" borderId="0" xfId="69" applyNumberFormat="1" applyFont="1" applyFill="1" applyBorder="1" applyAlignment="1">
      <alignment horizontal="right"/>
    </xf>
    <xf numFmtId="9" fontId="9" fillId="0" borderId="0" xfId="74" applyNumberFormat="1" applyFont="1" applyFill="1" applyBorder="1" applyAlignment="1">
      <alignment horizontal="right" indent="2"/>
      <protection locked="0"/>
    </xf>
    <xf numFmtId="9" fontId="14" fillId="0" borderId="0" xfId="69" applyFont="1" applyFill="1" applyBorder="1" applyAlignment="1">
      <alignment horizontal="right"/>
    </xf>
    <xf numFmtId="170" fontId="14" fillId="0" borderId="0" xfId="0" applyNumberFormat="1" applyFont="1" applyFill="1" applyBorder="1" applyAlignment="1">
      <alignment horizontal="right"/>
    </xf>
    <xf numFmtId="0" fontId="3" fillId="0" borderId="0" xfId="74" applyFont="1" applyFill="1" applyBorder="1" applyAlignment="1">
      <alignment horizontal="right"/>
      <protection locked="0"/>
    </xf>
    <xf numFmtId="37" fontId="3" fillId="0" borderId="0" xfId="0" applyNumberFormat="1" applyFont="1" applyFill="1" applyBorder="1" applyAlignment="1">
      <alignment horizontal="right"/>
    </xf>
    <xf numFmtId="0" fontId="3" fillId="0" borderId="20" xfId="74" applyFont="1" applyFill="1" applyBorder="1" applyAlignment="1">
      <alignment horizontal="right"/>
      <protection locked="0"/>
    </xf>
    <xf numFmtId="170" fontId="14" fillId="0" borderId="25" xfId="0" applyNumberFormat="1" applyFont="1" applyFill="1" applyBorder="1" applyAlignment="1">
      <alignment horizontal="right"/>
    </xf>
    <xf numFmtId="170" fontId="14" fillId="0" borderId="20" xfId="0" applyNumberFormat="1" applyFont="1" applyFill="1" applyBorder="1" applyAlignment="1">
      <alignment horizontal="right"/>
    </xf>
    <xf numFmtId="0" fontId="14" fillId="0" borderId="25" xfId="0" applyFont="1" applyFill="1" applyBorder="1" applyAlignment="1">
      <alignment horizontal="right"/>
    </xf>
    <xf numFmtId="165" fontId="2" fillId="0" borderId="18" xfId="69" applyNumberFormat="1" applyFont="1" applyFill="1" applyBorder="1"/>
    <xf numFmtId="165" fontId="2" fillId="0" borderId="19" xfId="69" applyNumberFormat="1" applyFont="1" applyFill="1" applyBorder="1"/>
    <xf numFmtId="174" fontId="27" fillId="0" borderId="12" xfId="0" applyNumberFormat="1" applyFont="1" applyFill="1" applyBorder="1" applyAlignment="1">
      <alignment horizontal="right"/>
    </xf>
    <xf numFmtId="174" fontId="27" fillId="0" borderId="52" xfId="0" applyNumberFormat="1" applyFont="1" applyFill="1" applyBorder="1" applyAlignment="1">
      <alignment horizontal="right"/>
    </xf>
    <xf numFmtId="174" fontId="27" fillId="0" borderId="13" xfId="0" applyNumberFormat="1" applyFont="1" applyFill="1" applyBorder="1" applyAlignment="1">
      <alignment horizontal="right"/>
    </xf>
    <xf numFmtId="174" fontId="27" fillId="0" borderId="48" xfId="0" applyNumberFormat="1" applyFont="1" applyFill="1" applyBorder="1" applyAlignment="1">
      <alignment horizontal="right"/>
    </xf>
    <xf numFmtId="0" fontId="27" fillId="0" borderId="23" xfId="0" applyFont="1" applyFill="1" applyBorder="1"/>
    <xf numFmtId="174" fontId="27" fillId="0" borderId="0" xfId="0" applyNumberFormat="1" applyFont="1" applyFill="1" applyBorder="1"/>
    <xf numFmtId="0" fontId="27" fillId="0" borderId="0" xfId="0" applyFont="1" applyFill="1" applyBorder="1"/>
    <xf numFmtId="174" fontId="27" fillId="0" borderId="11" xfId="0" applyNumberFormat="1" applyFont="1" applyFill="1" applyBorder="1"/>
    <xf numFmtId="174" fontId="27" fillId="0" borderId="26" xfId="0" applyNumberFormat="1" applyFont="1" applyBorder="1"/>
    <xf numFmtId="0" fontId="27" fillId="0" borderId="23" xfId="0" applyFont="1" applyBorder="1"/>
    <xf numFmtId="174" fontId="27" fillId="0" borderId="22" xfId="0" applyNumberFormat="1" applyFont="1" applyBorder="1"/>
    <xf numFmtId="174" fontId="27" fillId="0" borderId="23" xfId="0" applyNumberFormat="1" applyFont="1" applyBorder="1"/>
    <xf numFmtId="174" fontId="27" fillId="0" borderId="27" xfId="0" applyNumberFormat="1" applyFont="1" applyBorder="1"/>
    <xf numFmtId="174" fontId="27" fillId="0" borderId="19" xfId="0" applyNumberFormat="1" applyFont="1" applyBorder="1"/>
    <xf numFmtId="0" fontId="27" fillId="0" borderId="0" xfId="0" applyFont="1" applyBorder="1"/>
    <xf numFmtId="174" fontId="27" fillId="0" borderId="18" xfId="0" applyNumberFormat="1" applyFont="1" applyBorder="1"/>
    <xf numFmtId="174" fontId="27" fillId="0" borderId="0" xfId="0" applyNumberFormat="1" applyFont="1" applyBorder="1"/>
    <xf numFmtId="174" fontId="2" fillId="0" borderId="0" xfId="0" applyNumberFormat="1" applyFont="1" applyFill="1"/>
    <xf numFmtId="9" fontId="2" fillId="0" borderId="0" xfId="0" applyNumberFormat="1" applyFont="1" applyFill="1"/>
    <xf numFmtId="167" fontId="2" fillId="0" borderId="0" xfId="0" applyNumberFormat="1" applyFont="1" applyFill="1" applyBorder="1"/>
    <xf numFmtId="7" fontId="2" fillId="0" borderId="0" xfId="0" applyNumberFormat="1" applyFont="1" applyFill="1" applyBorder="1"/>
    <xf numFmtId="43" fontId="2" fillId="0" borderId="0" xfId="0" applyNumberFormat="1" applyFont="1" applyFill="1" applyBorder="1"/>
    <xf numFmtId="167" fontId="2" fillId="0" borderId="0" xfId="0" applyNumberFormat="1" applyFont="1" applyFill="1"/>
    <xf numFmtId="175" fontId="2" fillId="0" borderId="0" xfId="0" applyNumberFormat="1" applyFont="1" applyFill="1"/>
    <xf numFmtId="168" fontId="7" fillId="0" borderId="0" xfId="36" applyNumberFormat="1" applyFont="1" applyFill="1" applyBorder="1"/>
    <xf numFmtId="0" fontId="9" fillId="0" borderId="0" xfId="50" applyFont="1" applyFill="1" applyBorder="1" applyAlignment="1" applyProtection="1">
      <alignment horizontal="left"/>
    </xf>
    <xf numFmtId="9" fontId="3" fillId="0" borderId="0" xfId="69" applyFont="1" applyFill="1" applyBorder="1" applyAlignment="1">
      <alignment horizontal="right"/>
    </xf>
    <xf numFmtId="168" fontId="4" fillId="0" borderId="0" xfId="36" applyNumberFormat="1" applyFont="1" applyFill="1" applyBorder="1"/>
    <xf numFmtId="168" fontId="6" fillId="0" borderId="0" xfId="36" applyNumberFormat="1" applyFont="1" applyFill="1" applyBorder="1"/>
    <xf numFmtId="0" fontId="6" fillId="0" borderId="20" xfId="74" applyFont="1" applyFill="1" applyBorder="1">
      <protection locked="0"/>
    </xf>
    <xf numFmtId="176" fontId="6" fillId="0" borderId="20" xfId="0" applyNumberFormat="1" applyFont="1" applyFill="1" applyBorder="1" applyAlignment="1"/>
    <xf numFmtId="176" fontId="6" fillId="0" borderId="25" xfId="0" applyNumberFormat="1" applyFont="1" applyFill="1" applyBorder="1" applyAlignment="1"/>
    <xf numFmtId="9" fontId="7" fillId="0" borderId="0" xfId="69" applyFont="1" applyFill="1"/>
    <xf numFmtId="41" fontId="14" fillId="0" borderId="0" xfId="55" applyNumberFormat="1" applyFont="1" applyFill="1" applyBorder="1"/>
    <xf numFmtId="41" fontId="2" fillId="0" borderId="0" xfId="55" applyNumberFormat="1" applyFont="1" applyFill="1" applyBorder="1"/>
    <xf numFmtId="164" fontId="3" fillId="0" borderId="24" xfId="55" applyNumberFormat="1" applyFont="1" applyFill="1" applyBorder="1"/>
    <xf numFmtId="41" fontId="4" fillId="0" borderId="20" xfId="0" applyNumberFormat="1" applyFont="1" applyFill="1" applyBorder="1"/>
    <xf numFmtId="41" fontId="4" fillId="0" borderId="25" xfId="0" applyNumberFormat="1" applyFont="1" applyFill="1" applyBorder="1"/>
    <xf numFmtId="41" fontId="3" fillId="0" borderId="20" xfId="55" applyNumberFormat="1" applyFont="1" applyFill="1" applyBorder="1"/>
    <xf numFmtId="195" fontId="43" fillId="0" borderId="12" xfId="0" applyNumberFormat="1" applyFont="1" applyFill="1" applyBorder="1" applyAlignment="1">
      <alignment horizontal="centerContinuous"/>
    </xf>
    <xf numFmtId="195" fontId="43" fillId="0" borderId="29" xfId="0" applyNumberFormat="1" applyFont="1" applyFill="1" applyBorder="1" applyAlignment="1">
      <alignment horizontal="centerContinuous"/>
    </xf>
    <xf numFmtId="0" fontId="4" fillId="0" borderId="22" xfId="0" applyFont="1" applyFill="1" applyBorder="1"/>
    <xf numFmtId="0" fontId="4" fillId="0" borderId="23" xfId="0" applyFont="1" applyFill="1" applyBorder="1"/>
    <xf numFmtId="170" fontId="7" fillId="0" borderId="23" xfId="0" applyNumberFormat="1" applyFont="1" applyFill="1" applyBorder="1"/>
    <xf numFmtId="170" fontId="7" fillId="0" borderId="27" xfId="0" applyNumberFormat="1" applyFont="1" applyFill="1" applyBorder="1"/>
    <xf numFmtId="0" fontId="7" fillId="0" borderId="27" xfId="0" applyFont="1" applyFill="1" applyBorder="1"/>
    <xf numFmtId="167" fontId="47" fillId="0" borderId="27" xfId="0" applyNumberFormat="1" applyFont="1" applyFill="1" applyBorder="1"/>
    <xf numFmtId="10" fontId="7" fillId="16" borderId="0" xfId="69" applyNumberFormat="1" applyFont="1" applyFill="1" applyBorder="1"/>
    <xf numFmtId="0" fontId="43" fillId="0" borderId="0" xfId="0" applyFont="1"/>
    <xf numFmtId="165" fontId="2" fillId="0" borderId="0" xfId="0" applyNumberFormat="1" applyFont="1"/>
    <xf numFmtId="0" fontId="6" fillId="0" borderId="0" xfId="0" applyFont="1" applyAlignment="1">
      <alignment horizontal="center"/>
    </xf>
    <xf numFmtId="0" fontId="6" fillId="0" borderId="0" xfId="0" applyFont="1"/>
    <xf numFmtId="200" fontId="6" fillId="0" borderId="12" xfId="36" applyNumberFormat="1" applyFont="1" applyFill="1" applyBorder="1" applyAlignment="1" applyProtection="1">
      <alignment horizontal="right"/>
    </xf>
    <xf numFmtId="43" fontId="14" fillId="0" borderId="0" xfId="0" applyNumberFormat="1" applyFont="1" applyFill="1"/>
    <xf numFmtId="200" fontId="3" fillId="0" borderId="0" xfId="36" applyNumberFormat="1" applyFont="1" applyFill="1" applyBorder="1" applyAlignment="1">
      <alignment horizontal="right"/>
    </xf>
    <xf numFmtId="173" fontId="41" fillId="0" borderId="0" xfId="36" applyNumberFormat="1" applyFont="1" applyFill="1" applyBorder="1" applyAlignment="1">
      <alignment horizontal="right"/>
    </xf>
    <xf numFmtId="174" fontId="12" fillId="0" borderId="0" xfId="36" applyNumberFormat="1" applyFont="1" applyFill="1" applyBorder="1" applyAlignment="1" applyProtection="1">
      <alignment horizontal="left"/>
    </xf>
    <xf numFmtId="174" fontId="14" fillId="0" borderId="11" xfId="36" applyNumberFormat="1" applyFont="1" applyFill="1" applyBorder="1" applyAlignment="1" applyProtection="1">
      <alignment horizontal="right"/>
    </xf>
    <xf numFmtId="165" fontId="2" fillId="0" borderId="21" xfId="0" applyNumberFormat="1" applyFont="1" applyBorder="1"/>
    <xf numFmtId="167" fontId="14" fillId="0" borderId="18" xfId="0" applyNumberFormat="1" applyFont="1" applyFill="1" applyBorder="1" applyAlignment="1">
      <alignment horizontal="right"/>
    </xf>
    <xf numFmtId="39" fontId="3" fillId="0" borderId="16" xfId="36" applyNumberFormat="1" applyFont="1" applyFill="1" applyBorder="1"/>
    <xf numFmtId="174" fontId="14" fillId="0" borderId="0" xfId="0" applyNumberFormat="1" applyFont="1" applyBorder="1"/>
    <xf numFmtId="10" fontId="2" fillId="0" borderId="0" xfId="0" applyNumberFormat="1" applyFont="1" applyFill="1" applyBorder="1"/>
    <xf numFmtId="174" fontId="14" fillId="0" borderId="0" xfId="0" applyNumberFormat="1" applyFont="1" applyFill="1" applyBorder="1" applyAlignment="1"/>
    <xf numFmtId="165" fontId="3" fillId="0" borderId="0" xfId="0" applyNumberFormat="1" applyFont="1"/>
    <xf numFmtId="9" fontId="2" fillId="0" borderId="0" xfId="0" applyNumberFormat="1" applyFont="1" applyFill="1" applyBorder="1"/>
    <xf numFmtId="165" fontId="2" fillId="0" borderId="18" xfId="0" applyNumberFormat="1" applyFont="1" applyBorder="1"/>
    <xf numFmtId="165" fontId="2" fillId="0" borderId="0" xfId="0" applyNumberFormat="1" applyFont="1" applyBorder="1"/>
    <xf numFmtId="165" fontId="2" fillId="0" borderId="19" xfId="0" applyNumberFormat="1" applyFont="1" applyBorder="1"/>
    <xf numFmtId="165" fontId="2" fillId="0" borderId="24" xfId="0" applyNumberFormat="1" applyFont="1" applyFill="1" applyBorder="1"/>
    <xf numFmtId="165" fontId="2" fillId="0" borderId="20" xfId="0" applyNumberFormat="1" applyFont="1" applyFill="1" applyBorder="1"/>
    <xf numFmtId="165" fontId="2" fillId="0" borderId="25" xfId="0" applyNumberFormat="1" applyFont="1" applyFill="1" applyBorder="1"/>
    <xf numFmtId="9" fontId="2" fillId="0" borderId="0" xfId="0" applyNumberFormat="1" applyFont="1"/>
    <xf numFmtId="0" fontId="6" fillId="0" borderId="19" xfId="0" applyFont="1" applyFill="1" applyBorder="1"/>
    <xf numFmtId="0" fontId="6" fillId="0" borderId="0" xfId="0" applyFont="1" applyFill="1"/>
    <xf numFmtId="165" fontId="6" fillId="0" borderId="18" xfId="69" applyNumberFormat="1" applyFont="1" applyFill="1" applyBorder="1"/>
    <xf numFmtId="165" fontId="6" fillId="0" borderId="0" xfId="69" applyNumberFormat="1" applyFont="1" applyFill="1" applyBorder="1"/>
    <xf numFmtId="165" fontId="6" fillId="0" borderId="19" xfId="69" applyNumberFormat="1" applyFont="1" applyFill="1" applyBorder="1"/>
    <xf numFmtId="165" fontId="2" fillId="0" borderId="18" xfId="0" applyNumberFormat="1" applyFont="1" applyFill="1" applyBorder="1"/>
    <xf numFmtId="165" fontId="2" fillId="0" borderId="19" xfId="0" applyNumberFormat="1" applyFont="1" applyFill="1" applyBorder="1"/>
    <xf numFmtId="165" fontId="2" fillId="0" borderId="0" xfId="0" applyNumberFormat="1" applyFont="1" applyFill="1"/>
    <xf numFmtId="0" fontId="9" fillId="0" borderId="0" xfId="0" applyFont="1" applyFill="1"/>
    <xf numFmtId="0" fontId="9" fillId="0" borderId="0" xfId="0" applyFont="1" applyBorder="1"/>
    <xf numFmtId="0" fontId="2" fillId="0" borderId="19" xfId="0" applyFont="1" applyFill="1" applyBorder="1"/>
    <xf numFmtId="41" fontId="2" fillId="0" borderId="0" xfId="0" applyNumberFormat="1" applyFont="1"/>
    <xf numFmtId="7" fontId="2" fillId="0" borderId="0" xfId="0" applyNumberFormat="1" applyFont="1"/>
    <xf numFmtId="174" fontId="2" fillId="0" borderId="19" xfId="0" applyNumberFormat="1" applyFont="1" applyFill="1" applyBorder="1"/>
    <xf numFmtId="174" fontId="2" fillId="0" borderId="0" xfId="0" applyNumberFormat="1" applyFont="1"/>
    <xf numFmtId="174" fontId="2" fillId="0" borderId="18" xfId="0" applyNumberFormat="1" applyFont="1" applyFill="1" applyBorder="1"/>
    <xf numFmtId="0" fontId="2" fillId="0" borderId="23" xfId="0" applyFont="1" applyBorder="1"/>
    <xf numFmtId="200" fontId="3" fillId="0" borderId="20" xfId="0" applyNumberFormat="1" applyFont="1" applyFill="1" applyBorder="1"/>
    <xf numFmtId="204" fontId="41" fillId="0" borderId="18" xfId="36" applyNumberFormat="1" applyFont="1" applyFill="1" applyBorder="1" applyAlignment="1">
      <alignment horizontal="right"/>
    </xf>
    <xf numFmtId="0" fontId="37" fillId="0" borderId="0" xfId="0" applyFont="1"/>
    <xf numFmtId="0" fontId="37" fillId="0" borderId="0" xfId="0" applyFont="1" applyFill="1"/>
    <xf numFmtId="195" fontId="6" fillId="0" borderId="13" xfId="0" applyNumberFormat="1" applyFont="1" applyFill="1" applyBorder="1" applyAlignment="1" applyProtection="1">
      <alignment horizontal="centerContinuous"/>
    </xf>
    <xf numFmtId="178" fontId="6" fillId="0" borderId="12" xfId="0" applyNumberFormat="1" applyFont="1" applyFill="1" applyBorder="1" applyAlignment="1" applyProtection="1">
      <alignment horizontal="centerContinuous"/>
    </xf>
    <xf numFmtId="195" fontId="6" fillId="0" borderId="26" xfId="0" applyNumberFormat="1" applyFont="1" applyFill="1" applyBorder="1" applyAlignment="1" applyProtection="1">
      <alignment horizontal="center"/>
    </xf>
    <xf numFmtId="188" fontId="6" fillId="0" borderId="0" xfId="0" applyNumberFormat="1" applyFont="1" applyFill="1" applyBorder="1" applyAlignment="1" applyProtection="1">
      <alignment horizontal="right"/>
    </xf>
    <xf numFmtId="196" fontId="6" fillId="0" borderId="26" xfId="0" applyNumberFormat="1" applyFont="1" applyFill="1" applyBorder="1" applyAlignment="1" applyProtection="1">
      <alignment horizontal="center"/>
    </xf>
    <xf numFmtId="196" fontId="6" fillId="0" borderId="13" xfId="0" applyNumberFormat="1" applyFont="1" applyFill="1" applyBorder="1" applyAlignment="1" applyProtection="1">
      <alignment horizontal="centerContinuous"/>
    </xf>
    <xf numFmtId="169" fontId="11" fillId="17" borderId="31" xfId="0" applyNumberFormat="1" applyFont="1" applyFill="1" applyBorder="1" applyAlignment="1" applyProtection="1">
      <alignment horizontal="center"/>
    </xf>
    <xf numFmtId="169" fontId="11" fillId="17" borderId="32" xfId="0" applyNumberFormat="1" applyFont="1" applyFill="1" applyBorder="1" applyAlignment="1" applyProtection="1">
      <alignment horizontal="center"/>
    </xf>
    <xf numFmtId="169" fontId="6" fillId="0" borderId="17" xfId="0" applyNumberFormat="1" applyFont="1" applyFill="1" applyBorder="1" applyAlignment="1" applyProtection="1">
      <alignment horizontal="right"/>
    </xf>
    <xf numFmtId="169" fontId="6" fillId="0" borderId="15" xfId="0" applyNumberFormat="1" applyFont="1" applyFill="1" applyBorder="1" applyAlignment="1" applyProtection="1">
      <alignment horizontal="right"/>
    </xf>
    <xf numFmtId="174" fontId="3" fillId="0" borderId="18" xfId="62" applyNumberFormat="1" applyFont="1" applyFill="1" applyBorder="1" applyProtection="1"/>
    <xf numFmtId="0" fontId="3" fillId="0" borderId="28" xfId="0" applyFont="1" applyBorder="1"/>
    <xf numFmtId="0" fontId="3" fillId="0" borderId="35" xfId="0" applyFont="1" applyBorder="1"/>
    <xf numFmtId="167" fontId="3" fillId="0" borderId="0" xfId="0" applyNumberFormat="1" applyFont="1" applyFill="1"/>
    <xf numFmtId="0" fontId="2" fillId="0" borderId="22" xfId="0" applyFont="1" applyBorder="1"/>
    <xf numFmtId="0" fontId="2" fillId="0" borderId="19" xfId="0" applyFont="1" applyBorder="1"/>
    <xf numFmtId="0" fontId="2" fillId="18" borderId="0" xfId="0" applyFont="1" applyFill="1" applyBorder="1"/>
    <xf numFmtId="0" fontId="2" fillId="18" borderId="18" xfId="0" applyFont="1" applyFill="1" applyBorder="1"/>
    <xf numFmtId="0" fontId="2" fillId="0" borderId="24" xfId="0" applyFont="1" applyBorder="1"/>
    <xf numFmtId="0" fontId="2" fillId="18" borderId="19" xfId="0" applyFont="1" applyFill="1" applyBorder="1"/>
    <xf numFmtId="0" fontId="2" fillId="0" borderId="25" xfId="0" applyFont="1" applyBorder="1"/>
    <xf numFmtId="0" fontId="2" fillId="0" borderId="18" xfId="0" applyFont="1" applyBorder="1" applyAlignment="1">
      <alignment horizontal="left" indent="1"/>
    </xf>
    <xf numFmtId="0" fontId="2" fillId="0" borderId="24" xfId="0" applyFont="1" applyBorder="1" applyAlignment="1">
      <alignment horizontal="left" indent="1"/>
    </xf>
    <xf numFmtId="165" fontId="2" fillId="0" borderId="24" xfId="0" applyNumberFormat="1" applyFont="1" applyBorder="1"/>
    <xf numFmtId="0" fontId="2" fillId="0" borderId="18" xfId="0" applyFont="1" applyFill="1" applyBorder="1" applyAlignment="1">
      <alignment horizontal="left" indent="1"/>
    </xf>
    <xf numFmtId="165" fontId="24" fillId="0" borderId="18" xfId="0" applyNumberFormat="1" applyFont="1" applyFill="1" applyBorder="1"/>
    <xf numFmtId="165" fontId="24" fillId="0" borderId="0" xfId="0" applyNumberFormat="1" applyFont="1" applyFill="1" applyBorder="1"/>
    <xf numFmtId="165" fontId="24" fillId="0" borderId="19" xfId="0" applyNumberFormat="1" applyFont="1" applyFill="1" applyBorder="1"/>
    <xf numFmtId="165" fontId="24" fillId="0" borderId="18" xfId="0" applyNumberFormat="1" applyFont="1" applyBorder="1"/>
    <xf numFmtId="165" fontId="24" fillId="0" borderId="0" xfId="0" applyNumberFormat="1" applyFont="1" applyBorder="1"/>
    <xf numFmtId="200" fontId="2" fillId="0" borderId="0" xfId="0" applyNumberFormat="1" applyFont="1" applyFill="1" applyBorder="1"/>
    <xf numFmtId="9" fontId="2" fillId="0" borderId="0" xfId="69" applyFont="1" applyFill="1" applyBorder="1"/>
    <xf numFmtId="43" fontId="2" fillId="0" borderId="36" xfId="0" applyNumberFormat="1" applyFont="1" applyFill="1" applyBorder="1"/>
    <xf numFmtId="164" fontId="2" fillId="0" borderId="36" xfId="0" applyNumberFormat="1" applyFont="1" applyFill="1" applyBorder="1"/>
    <xf numFmtId="9" fontId="2" fillId="0" borderId="36" xfId="69" applyFont="1" applyFill="1" applyBorder="1"/>
    <xf numFmtId="164" fontId="2" fillId="0" borderId="0" xfId="0" applyNumberFormat="1" applyFont="1" applyFill="1" applyBorder="1"/>
    <xf numFmtId="41" fontId="2" fillId="18" borderId="0" xfId="0" applyNumberFormat="1" applyFont="1" applyFill="1"/>
    <xf numFmtId="0" fontId="43" fillId="18" borderId="0" xfId="0" applyFont="1" applyFill="1" applyBorder="1" applyAlignment="1">
      <alignment horizontal="center"/>
    </xf>
    <xf numFmtId="174" fontId="2" fillId="18" borderId="0" xfId="65" applyNumberFormat="1" applyFont="1" applyFill="1" applyBorder="1" applyAlignment="1">
      <alignment horizontal="center"/>
    </xf>
    <xf numFmtId="0" fontId="2" fillId="18" borderId="0" xfId="0" applyFont="1" applyFill="1" applyBorder="1" applyAlignment="1">
      <alignment horizontal="right"/>
    </xf>
    <xf numFmtId="178" fontId="2" fillId="18" borderId="0" xfId="0" applyNumberFormat="1" applyFont="1" applyFill="1" applyBorder="1" applyAlignment="1">
      <alignment horizontal="right"/>
    </xf>
    <xf numFmtId="41" fontId="2" fillId="0" borderId="0" xfId="0" applyNumberFormat="1" applyFont="1" applyFill="1" applyBorder="1"/>
    <xf numFmtId="0" fontId="46" fillId="16" borderId="0" xfId="0" applyFont="1" applyFill="1" applyBorder="1" applyAlignment="1">
      <alignment horizontal="center"/>
    </xf>
    <xf numFmtId="0" fontId="43" fillId="0" borderId="0" xfId="60" applyFont="1" applyFill="1" applyBorder="1" applyAlignment="1" applyProtection="1">
      <alignment horizontal="center"/>
    </xf>
    <xf numFmtId="0" fontId="44" fillId="0" borderId="0" xfId="0" applyFont="1" applyFill="1" applyBorder="1"/>
    <xf numFmtId="169" fontId="49" fillId="17" borderId="22" xfId="0" applyNumberFormat="1" applyFont="1" applyFill="1" applyBorder="1" applyAlignment="1" applyProtection="1">
      <alignment horizontal="center"/>
    </xf>
    <xf numFmtId="169" fontId="49" fillId="17" borderId="23" xfId="0" applyNumberFormat="1" applyFont="1" applyFill="1" applyBorder="1" applyAlignment="1" applyProtection="1">
      <alignment horizontal="center"/>
    </xf>
    <xf numFmtId="169" fontId="43" fillId="0" borderId="19" xfId="0" applyNumberFormat="1" applyFont="1" applyFill="1" applyBorder="1" applyAlignment="1" applyProtection="1">
      <alignment horizontal="right"/>
    </xf>
    <xf numFmtId="169" fontId="43" fillId="0" borderId="0" xfId="60" applyNumberFormat="1" applyFont="1" applyFill="1" applyBorder="1" applyAlignment="1" applyProtection="1">
      <alignment horizontal="center"/>
    </xf>
    <xf numFmtId="169" fontId="43" fillId="0" borderId="0" xfId="0" applyNumberFormat="1" applyFont="1" applyFill="1" applyBorder="1" applyAlignment="1" applyProtection="1">
      <alignment horizontal="right"/>
    </xf>
    <xf numFmtId="169" fontId="43" fillId="0" borderId="23" xfId="0" applyNumberFormat="1" applyFont="1" applyFill="1" applyBorder="1" applyAlignment="1" applyProtection="1">
      <alignment horizontal="center"/>
    </xf>
    <xf numFmtId="169" fontId="43" fillId="0" borderId="27" xfId="0" applyNumberFormat="1" applyFont="1" applyFill="1" applyBorder="1" applyAlignment="1" applyProtection="1">
      <alignment horizontal="center"/>
    </xf>
    <xf numFmtId="169" fontId="43" fillId="0" borderId="22" xfId="0" applyNumberFormat="1" applyFont="1" applyFill="1" applyBorder="1" applyAlignment="1" applyProtection="1">
      <alignment horizontal="center"/>
    </xf>
    <xf numFmtId="0" fontId="43" fillId="0" borderId="23" xfId="0" applyFont="1" applyBorder="1"/>
    <xf numFmtId="174" fontId="80" fillId="0" borderId="22" xfId="0" applyNumberFormat="1" applyFont="1" applyBorder="1"/>
    <xf numFmtId="174" fontId="80" fillId="0" borderId="23" xfId="0" applyNumberFormat="1" applyFont="1" applyBorder="1"/>
    <xf numFmtId="174" fontId="80" fillId="0" borderId="26" xfId="0" applyNumberFormat="1" applyFont="1" applyBorder="1"/>
    <xf numFmtId="0" fontId="43" fillId="0" borderId="0" xfId="0" applyFont="1" applyBorder="1"/>
    <xf numFmtId="174" fontId="80" fillId="0" borderId="18" xfId="0" applyNumberFormat="1" applyFont="1" applyBorder="1"/>
    <xf numFmtId="174" fontId="80" fillId="0" borderId="0" xfId="0" applyNumberFormat="1" applyFont="1" applyBorder="1"/>
    <xf numFmtId="174" fontId="80" fillId="0" borderId="19" xfId="0" applyNumberFormat="1" applyFont="1" applyBorder="1"/>
    <xf numFmtId="0" fontId="59" fillId="17" borderId="0" xfId="0" applyFont="1" applyFill="1" applyBorder="1"/>
    <xf numFmtId="0" fontId="59" fillId="17" borderId="0" xfId="0" applyFont="1" applyFill="1"/>
    <xf numFmtId="0" fontId="41" fillId="0" borderId="18" xfId="0" applyFont="1" applyFill="1" applyBorder="1" applyAlignment="1">
      <alignment horizontal="center"/>
    </xf>
    <xf numFmtId="0" fontId="41" fillId="0" borderId="0" xfId="0" applyFont="1" applyFill="1" applyBorder="1"/>
    <xf numFmtId="205" fontId="41" fillId="0" borderId="18" xfId="0" applyNumberFormat="1" applyFont="1" applyFill="1" applyBorder="1"/>
    <xf numFmtId="205" fontId="41" fillId="0" borderId="0" xfId="0" applyNumberFormat="1" applyFont="1" applyFill="1" applyBorder="1"/>
    <xf numFmtId="205" fontId="41" fillId="0" borderId="19" xfId="0" applyNumberFormat="1" applyFont="1" applyFill="1" applyBorder="1"/>
    <xf numFmtId="0" fontId="49" fillId="17" borderId="0" xfId="0" applyFont="1" applyFill="1"/>
    <xf numFmtId="0" fontId="79" fillId="0" borderId="18" xfId="0" applyFont="1" applyBorder="1" applyAlignment="1">
      <alignment horizontal="left" indent="1"/>
    </xf>
    <xf numFmtId="0" fontId="2" fillId="0" borderId="18" xfId="0" applyFont="1" applyBorder="1" applyAlignment="1">
      <alignment horizontal="left" indent="2"/>
    </xf>
    <xf numFmtId="174" fontId="24" fillId="0" borderId="19" xfId="36" applyNumberFormat="1" applyFont="1" applyBorder="1"/>
    <xf numFmtId="174" fontId="24" fillId="0" borderId="26" xfId="36" applyNumberFormat="1" applyFont="1" applyBorder="1"/>
    <xf numFmtId="3" fontId="2" fillId="0" borderId="23" xfId="36" applyNumberFormat="1" applyFont="1" applyBorder="1"/>
    <xf numFmtId="3" fontId="2" fillId="0" borderId="0" xfId="36" applyNumberFormat="1" applyFont="1" applyBorder="1"/>
    <xf numFmtId="164" fontId="2" fillId="0" borderId="0" xfId="0" applyNumberFormat="1" applyFont="1" applyBorder="1"/>
    <xf numFmtId="0" fontId="6" fillId="18" borderId="18" xfId="0" applyFont="1" applyFill="1" applyBorder="1"/>
    <xf numFmtId="0" fontId="6" fillId="18" borderId="0" xfId="0" applyFont="1" applyFill="1" applyBorder="1"/>
    <xf numFmtId="174" fontId="24" fillId="0" borderId="0" xfId="0" applyNumberFormat="1" applyFont="1" applyBorder="1"/>
    <xf numFmtId="174" fontId="24" fillId="0" borderId="18" xfId="0" applyNumberFormat="1" applyFont="1" applyBorder="1"/>
    <xf numFmtId="174" fontId="81" fillId="0" borderId="18" xfId="0" applyNumberFormat="1" applyFont="1" applyBorder="1"/>
    <xf numFmtId="174" fontId="81" fillId="0" borderId="0" xfId="0" applyNumberFormat="1" applyFont="1" applyBorder="1"/>
    <xf numFmtId="174" fontId="81" fillId="0" borderId="19" xfId="0" applyNumberFormat="1" applyFont="1" applyBorder="1"/>
    <xf numFmtId="174" fontId="82" fillId="0" borderId="0" xfId="0" applyNumberFormat="1" applyFont="1" applyBorder="1"/>
    <xf numFmtId="0" fontId="3" fillId="0" borderId="18" xfId="0" applyFont="1" applyBorder="1"/>
    <xf numFmtId="200" fontId="14" fillId="0" borderId="18" xfId="0" applyNumberFormat="1" applyFont="1" applyBorder="1"/>
    <xf numFmtId="200" fontId="14" fillId="0" borderId="0" xfId="0" applyNumberFormat="1" applyFont="1" applyBorder="1"/>
    <xf numFmtId="200" fontId="3" fillId="0" borderId="19" xfId="0" applyNumberFormat="1" applyFont="1" applyBorder="1"/>
    <xf numFmtId="200" fontId="3" fillId="18" borderId="18" xfId="0" applyNumberFormat="1" applyFont="1" applyFill="1" applyBorder="1"/>
    <xf numFmtId="165" fontId="24" fillId="0" borderId="19" xfId="69" applyNumberFormat="1" applyFont="1" applyFill="1" applyBorder="1"/>
    <xf numFmtId="200" fontId="3" fillId="18" borderId="0" xfId="0" applyNumberFormat="1" applyFont="1" applyFill="1" applyBorder="1"/>
    <xf numFmtId="200" fontId="3" fillId="18" borderId="19" xfId="0" applyNumberFormat="1" applyFont="1" applyFill="1" applyBorder="1"/>
    <xf numFmtId="174" fontId="45" fillId="0" borderId="22" xfId="0" applyNumberFormat="1" applyFont="1" applyFill="1" applyBorder="1"/>
    <xf numFmtId="174" fontId="45" fillId="0" borderId="23" xfId="0" applyNumberFormat="1" applyFont="1" applyFill="1" applyBorder="1"/>
    <xf numFmtId="174" fontId="45" fillId="0" borderId="23" xfId="0" applyNumberFormat="1" applyFont="1" applyBorder="1"/>
    <xf numFmtId="174" fontId="45" fillId="0" borderId="26" xfId="0" applyNumberFormat="1" applyFont="1" applyBorder="1"/>
    <xf numFmtId="174" fontId="43" fillId="0" borderId="23" xfId="0" applyNumberFormat="1" applyFont="1" applyBorder="1"/>
    <xf numFmtId="174" fontId="45" fillId="0" borderId="22" xfId="0" applyNumberFormat="1" applyFont="1" applyBorder="1"/>
    <xf numFmtId="174" fontId="43" fillId="0" borderId="26" xfId="0" applyNumberFormat="1" applyFont="1" applyBorder="1"/>
    <xf numFmtId="174" fontId="14" fillId="0" borderId="18" xfId="0" applyNumberFormat="1" applyFont="1" applyBorder="1"/>
    <xf numFmtId="174" fontId="3" fillId="0" borderId="19" xfId="0" applyNumberFormat="1" applyFont="1" applyBorder="1"/>
    <xf numFmtId="174" fontId="3" fillId="0" borderId="18" xfId="0" applyNumberFormat="1" applyFont="1" applyBorder="1"/>
    <xf numFmtId="174" fontId="45" fillId="0" borderId="18" xfId="0" applyNumberFormat="1" applyFont="1" applyFill="1" applyBorder="1"/>
    <xf numFmtId="174" fontId="45" fillId="0" borderId="0" xfId="0" applyNumberFormat="1" applyFont="1" applyFill="1" applyBorder="1"/>
    <xf numFmtId="174" fontId="45" fillId="0" borderId="0" xfId="0" applyNumberFormat="1" applyFont="1" applyBorder="1"/>
    <xf numFmtId="174" fontId="45" fillId="0" borderId="19" xfId="0" applyNumberFormat="1" applyFont="1" applyBorder="1"/>
    <xf numFmtId="174" fontId="43" fillId="0" borderId="0" xfId="0" applyNumberFormat="1" applyFont="1" applyBorder="1"/>
    <xf numFmtId="174" fontId="45" fillId="0" borderId="18" xfId="0" applyNumberFormat="1" applyFont="1" applyBorder="1"/>
    <xf numFmtId="174" fontId="43" fillId="0" borderId="19" xfId="0" applyNumberFormat="1" applyFont="1" applyBorder="1"/>
    <xf numFmtId="174" fontId="3" fillId="18" borderId="18" xfId="0" applyNumberFormat="1" applyFont="1" applyFill="1" applyBorder="1"/>
    <xf numFmtId="174" fontId="3" fillId="18" borderId="0" xfId="0" applyNumberFormat="1" applyFont="1" applyFill="1" applyBorder="1"/>
    <xf numFmtId="174" fontId="3" fillId="18" borderId="19" xfId="0" applyNumberFormat="1" applyFont="1" applyFill="1" applyBorder="1"/>
    <xf numFmtId="0" fontId="3" fillId="18" borderId="18" xfId="0" applyFont="1" applyFill="1" applyBorder="1"/>
    <xf numFmtId="174" fontId="43" fillId="0" borderId="22" xfId="0" applyNumberFormat="1" applyFont="1" applyBorder="1"/>
    <xf numFmtId="174" fontId="43" fillId="0" borderId="18" xfId="0" applyNumberFormat="1" applyFont="1" applyBorder="1"/>
    <xf numFmtId="165" fontId="24" fillId="0" borderId="11" xfId="0" applyNumberFormat="1" applyFont="1" applyBorder="1"/>
    <xf numFmtId="174" fontId="2" fillId="0" borderId="11" xfId="0" applyNumberFormat="1" applyFont="1" applyBorder="1"/>
    <xf numFmtId="0" fontId="6" fillId="0" borderId="18" xfId="0" applyFont="1" applyBorder="1"/>
    <xf numFmtId="0" fontId="6" fillId="0" borderId="22" xfId="0" applyFont="1" applyBorder="1"/>
    <xf numFmtId="0" fontId="43" fillId="0" borderId="0" xfId="50" applyFont="1" applyFill="1" applyBorder="1" applyAlignment="1" applyProtection="1">
      <alignment horizontal="left"/>
    </xf>
    <xf numFmtId="169" fontId="2" fillId="0" borderId="0" xfId="61" applyNumberFormat="1" applyFont="1" applyFill="1" applyBorder="1" applyAlignment="1">
      <alignment horizontal="center"/>
    </xf>
    <xf numFmtId="165" fontId="2" fillId="0" borderId="0" xfId="69" applyNumberFormat="1" applyFont="1" applyFill="1" applyBorder="1" applyAlignment="1">
      <alignment horizontal="center"/>
    </xf>
    <xf numFmtId="165" fontId="2" fillId="0" borderId="19" xfId="69" applyNumberFormat="1" applyFont="1" applyFill="1" applyBorder="1" applyAlignment="1">
      <alignment horizontal="center"/>
    </xf>
    <xf numFmtId="165" fontId="2" fillId="0" borderId="18" xfId="69" applyNumberFormat="1" applyFont="1" applyFill="1" applyBorder="1" applyAlignment="1">
      <alignment horizontal="center"/>
    </xf>
    <xf numFmtId="165" fontId="2" fillId="0" borderId="26" xfId="69" applyNumberFormat="1" applyFont="1" applyFill="1" applyBorder="1" applyAlignment="1">
      <alignment horizontal="center"/>
    </xf>
    <xf numFmtId="165" fontId="2" fillId="0" borderId="26" xfId="69" applyNumberFormat="1" applyFont="1" applyFill="1" applyBorder="1"/>
    <xf numFmtId="169" fontId="2" fillId="18" borderId="0" xfId="61" applyNumberFormat="1" applyFont="1" applyFill="1" applyBorder="1" applyAlignment="1">
      <alignment horizontal="center"/>
    </xf>
    <xf numFmtId="165" fontId="11" fillId="17" borderId="22" xfId="69" applyNumberFormat="1" applyFont="1" applyFill="1" applyBorder="1"/>
    <xf numFmtId="165" fontId="2" fillId="17" borderId="23" xfId="69" applyNumberFormat="1" applyFont="1" applyFill="1" applyBorder="1"/>
    <xf numFmtId="165" fontId="2" fillId="17" borderId="27" xfId="69" applyNumberFormat="1" applyFont="1" applyFill="1" applyBorder="1"/>
    <xf numFmtId="165" fontId="24" fillId="0" borderId="0" xfId="69" applyNumberFormat="1" applyFont="1" applyFill="1" applyBorder="1"/>
    <xf numFmtId="165" fontId="2" fillId="0" borderId="18" xfId="69" applyNumberFormat="1" applyFont="1" applyFill="1" applyBorder="1" applyAlignment="1">
      <alignment horizontal="left" indent="1"/>
    </xf>
    <xf numFmtId="165" fontId="2" fillId="0" borderId="18" xfId="69" applyNumberFormat="1" applyFont="1" applyFill="1" applyBorder="1" applyAlignment="1">
      <alignment horizontal="left"/>
    </xf>
    <xf numFmtId="165" fontId="2" fillId="0" borderId="24" xfId="0" applyNumberFormat="1" applyFont="1" applyFill="1" applyBorder="1" applyAlignment="1">
      <alignment horizontal="left"/>
    </xf>
    <xf numFmtId="0" fontId="6" fillId="18" borderId="22" xfId="61" applyFont="1" applyFill="1" applyBorder="1" applyAlignment="1">
      <alignment horizontal="left"/>
    </xf>
    <xf numFmtId="169" fontId="2" fillId="18" borderId="23" xfId="61" applyNumberFormat="1" applyFont="1" applyFill="1" applyBorder="1" applyAlignment="1">
      <alignment horizontal="center"/>
    </xf>
    <xf numFmtId="169" fontId="2" fillId="18" borderId="22" xfId="0" applyNumberFormat="1" applyFont="1" applyFill="1" applyBorder="1" applyAlignment="1" applyProtection="1">
      <alignment horizontal="center"/>
    </xf>
    <xf numFmtId="169" fontId="2" fillId="18" borderId="23" xfId="0" applyNumberFormat="1" applyFont="1" applyFill="1" applyBorder="1" applyAlignment="1" applyProtection="1">
      <alignment horizontal="center"/>
    </xf>
    <xf numFmtId="169" fontId="2" fillId="18" borderId="26" xfId="0" applyNumberFormat="1" applyFont="1" applyFill="1" applyBorder="1" applyAlignment="1" applyProtection="1">
      <alignment horizontal="right"/>
    </xf>
    <xf numFmtId="169" fontId="2" fillId="18" borderId="23" xfId="60" applyNumberFormat="1" applyFont="1" applyFill="1" applyBorder="1" applyAlignment="1" applyProtection="1">
      <alignment horizontal="center"/>
    </xf>
    <xf numFmtId="169" fontId="2" fillId="18" borderId="23" xfId="0" applyNumberFormat="1" applyFont="1" applyFill="1" applyBorder="1" applyAlignment="1" applyProtection="1">
      <alignment horizontal="right"/>
    </xf>
    <xf numFmtId="0" fontId="6" fillId="18" borderId="18" xfId="61" applyFont="1" applyFill="1" applyBorder="1" applyAlignment="1">
      <alignment horizontal="left"/>
    </xf>
    <xf numFmtId="165" fontId="2" fillId="17" borderId="22" xfId="69" applyNumberFormat="1" applyFont="1" applyFill="1" applyBorder="1"/>
    <xf numFmtId="165" fontId="2" fillId="17" borderId="26" xfId="69" applyNumberFormat="1" applyFont="1" applyFill="1" applyBorder="1"/>
    <xf numFmtId="174" fontId="24" fillId="0" borderId="18" xfId="0" applyNumberFormat="1" applyFont="1" applyFill="1" applyBorder="1"/>
    <xf numFmtId="174" fontId="24" fillId="0" borderId="0" xfId="0" applyNumberFormat="1" applyFont="1" applyFill="1" applyBorder="1"/>
    <xf numFmtId="39" fontId="3" fillId="0" borderId="15" xfId="36" applyNumberFormat="1" applyFont="1" applyFill="1" applyBorder="1"/>
    <xf numFmtId="206" fontId="7" fillId="16" borderId="0" xfId="0" applyNumberFormat="1" applyFont="1" applyFill="1" applyBorder="1"/>
    <xf numFmtId="206" fontId="7" fillId="16" borderId="0" xfId="69" applyNumberFormat="1" applyFont="1" applyFill="1" applyBorder="1"/>
    <xf numFmtId="172" fontId="41" fillId="0" borderId="0" xfId="36" applyNumberFormat="1" applyFont="1" applyFill="1" applyBorder="1" applyAlignment="1">
      <alignment horizontal="right"/>
    </xf>
    <xf numFmtId="0" fontId="44" fillId="0" borderId="0" xfId="0" applyFont="1" applyFill="1"/>
    <xf numFmtId="172" fontId="44" fillId="0" borderId="0" xfId="0" applyNumberFormat="1" applyFont="1" applyFill="1"/>
    <xf numFmtId="0" fontId="46" fillId="0" borderId="20" xfId="50" applyFont="1" applyFill="1" applyBorder="1" applyAlignment="1" applyProtection="1">
      <alignment horizontal="left"/>
    </xf>
    <xf numFmtId="0" fontId="46" fillId="0" borderId="20" xfId="0" applyFont="1" applyFill="1" applyBorder="1" applyAlignment="1">
      <alignment wrapText="1"/>
    </xf>
    <xf numFmtId="43" fontId="44" fillId="0" borderId="20" xfId="0" applyNumberFormat="1" applyFont="1" applyFill="1" applyBorder="1"/>
    <xf numFmtId="0" fontId="56" fillId="0" borderId="36" xfId="53" applyFont="1" applyFill="1" applyBorder="1" applyAlignment="1" applyProtection="1">
      <alignment horizontal="left"/>
    </xf>
    <xf numFmtId="0" fontId="56" fillId="0" borderId="0" xfId="50" applyFont="1" applyFill="1" applyBorder="1" applyAlignment="1" applyProtection="1">
      <alignment horizontal="left"/>
    </xf>
    <xf numFmtId="0" fontId="46" fillId="0" borderId="0" xfId="0" applyFont="1" applyFill="1" applyAlignment="1">
      <alignment wrapText="1"/>
    </xf>
    <xf numFmtId="43" fontId="44" fillId="0" borderId="0" xfId="0" applyNumberFormat="1" applyFont="1" applyFill="1"/>
    <xf numFmtId="43" fontId="56" fillId="0" borderId="0" xfId="50" applyNumberFormat="1" applyFont="1" applyFill="1" applyBorder="1" applyAlignment="1" applyProtection="1">
      <alignment horizontal="left"/>
    </xf>
    <xf numFmtId="43" fontId="44" fillId="0" borderId="0" xfId="36" applyFont="1" applyFill="1"/>
    <xf numFmtId="0" fontId="2" fillId="0" borderId="0" xfId="53" applyFont="1" applyFill="1" applyBorder="1" applyAlignment="1">
      <alignment horizontal="left"/>
    </xf>
    <xf numFmtId="0" fontId="79" fillId="0" borderId="0" xfId="50" applyFont="1" applyFill="1" applyAlignment="1">
      <alignment horizontal="left"/>
    </xf>
    <xf numFmtId="41" fontId="44" fillId="0" borderId="0" xfId="0" applyNumberFormat="1" applyFont="1" applyFill="1"/>
    <xf numFmtId="0" fontId="46" fillId="0" borderId="0" xfId="0" applyFont="1" applyFill="1" applyBorder="1" applyAlignment="1">
      <alignment horizontal="center"/>
    </xf>
    <xf numFmtId="0" fontId="46" fillId="0" borderId="0" xfId="0" applyFont="1" applyFill="1"/>
    <xf numFmtId="169" fontId="43" fillId="0" borderId="15" xfId="60" applyNumberFormat="1" applyFont="1" applyFill="1" applyBorder="1" applyAlignment="1" applyProtection="1">
      <alignment horizontal="center"/>
    </xf>
    <xf numFmtId="174" fontId="45" fillId="0" borderId="18" xfId="0" applyNumberFormat="1" applyFont="1" applyFill="1" applyBorder="1" applyAlignment="1" applyProtection="1"/>
    <xf numFmtId="174" fontId="24" fillId="0" borderId="0" xfId="0" applyNumberFormat="1" applyFont="1" applyFill="1" applyBorder="1" applyAlignment="1" applyProtection="1"/>
    <xf numFmtId="174" fontId="45" fillId="0" borderId="0" xfId="0" applyNumberFormat="1" applyFont="1" applyFill="1" applyBorder="1" applyAlignment="1" applyProtection="1"/>
    <xf numFmtId="174" fontId="43" fillId="0" borderId="19" xfId="0" applyNumberFormat="1" applyFont="1" applyFill="1" applyBorder="1" applyAlignment="1" applyProtection="1"/>
    <xf numFmtId="174" fontId="24" fillId="0" borderId="0" xfId="36" applyNumberFormat="1" applyFont="1" applyFill="1" applyBorder="1" applyAlignment="1"/>
    <xf numFmtId="174" fontId="45" fillId="0" borderId="28" xfId="0" applyNumberFormat="1" applyFont="1" applyFill="1" applyBorder="1" applyAlignment="1" applyProtection="1"/>
    <xf numFmtId="174" fontId="45" fillId="0" borderId="58" xfId="0" applyNumberFormat="1" applyFont="1" applyFill="1" applyBorder="1" applyAlignment="1" applyProtection="1"/>
    <xf numFmtId="174" fontId="80" fillId="0" borderId="0" xfId="0" applyNumberFormat="1" applyFont="1" applyFill="1" applyBorder="1" applyAlignment="1" applyProtection="1"/>
    <xf numFmtId="174" fontId="80" fillId="0" borderId="18" xfId="0" applyNumberFormat="1" applyFont="1" applyFill="1" applyBorder="1" applyAlignment="1" applyProtection="1"/>
    <xf numFmtId="174" fontId="24" fillId="0" borderId="18" xfId="0" applyNumberFormat="1" applyFont="1" applyFill="1" applyBorder="1" applyAlignment="1" applyProtection="1"/>
    <xf numFmtId="174" fontId="2" fillId="0" borderId="19" xfId="0" applyNumberFormat="1" applyFont="1" applyFill="1" applyBorder="1" applyAlignment="1" applyProtection="1"/>
    <xf numFmtId="174" fontId="24" fillId="0" borderId="11" xfId="0" applyNumberFormat="1" applyFont="1" applyFill="1" applyBorder="1" applyAlignment="1" applyProtection="1"/>
    <xf numFmtId="174" fontId="2" fillId="0" borderId="18" xfId="0" applyNumberFormat="1" applyFont="1" applyFill="1" applyBorder="1" applyAlignment="1" applyProtection="1"/>
    <xf numFmtId="174" fontId="43" fillId="0" borderId="18" xfId="0" applyNumberFormat="1" applyFont="1" applyFill="1" applyBorder="1" applyAlignment="1" applyProtection="1"/>
    <xf numFmtId="174" fontId="43" fillId="0" borderId="0" xfId="36" applyNumberFormat="1" applyFont="1" applyFill="1" applyBorder="1" applyAlignment="1"/>
    <xf numFmtId="174" fontId="2" fillId="0" borderId="0" xfId="0" applyNumberFormat="1" applyFont="1" applyFill="1" applyBorder="1"/>
    <xf numFmtId="174" fontId="2" fillId="0" borderId="0" xfId="0" applyNumberFormat="1" applyFont="1" applyFill="1" applyBorder="1" applyAlignment="1"/>
    <xf numFmtId="174" fontId="43" fillId="0" borderId="0" xfId="0" applyNumberFormat="1" applyFont="1" applyFill="1" applyBorder="1" applyAlignment="1"/>
    <xf numFmtId="174" fontId="79" fillId="0" borderId="18" xfId="0" applyNumberFormat="1" applyFont="1" applyFill="1" applyBorder="1" applyAlignment="1" applyProtection="1"/>
    <xf numFmtId="174" fontId="79" fillId="0" borderId="0" xfId="0" applyNumberFormat="1" applyFont="1" applyFill="1" applyBorder="1" applyAlignment="1" applyProtection="1"/>
    <xf numFmtId="41" fontId="43" fillId="0" borderId="12" xfId="0" applyNumberFormat="1" applyFont="1" applyFill="1" applyBorder="1" applyAlignment="1" applyProtection="1">
      <alignment horizontal="left" vertical="center"/>
    </xf>
    <xf numFmtId="174" fontId="43" fillId="0" borderId="13" xfId="0" applyNumberFormat="1" applyFont="1" applyFill="1" applyBorder="1" applyAlignment="1" applyProtection="1">
      <alignment vertical="center"/>
    </xf>
    <xf numFmtId="174" fontId="43" fillId="0" borderId="12" xfId="0" applyNumberFormat="1" applyFont="1" applyFill="1" applyBorder="1" applyAlignment="1" applyProtection="1">
      <alignment vertical="center"/>
    </xf>
    <xf numFmtId="174" fontId="43" fillId="0" borderId="14" xfId="0" applyNumberFormat="1" applyFont="1" applyFill="1" applyBorder="1" applyAlignment="1" applyProtection="1">
      <alignment vertical="center"/>
    </xf>
    <xf numFmtId="41" fontId="43" fillId="0" borderId="0" xfId="0" applyNumberFormat="1" applyFont="1" applyFill="1" applyBorder="1" applyAlignment="1" applyProtection="1">
      <alignment horizontal="left" vertical="center"/>
    </xf>
    <xf numFmtId="174" fontId="43" fillId="0" borderId="18" xfId="0" applyNumberFormat="1" applyFont="1" applyFill="1" applyBorder="1" applyAlignment="1" applyProtection="1">
      <alignment vertical="center"/>
    </xf>
    <xf numFmtId="174" fontId="43" fillId="0" borderId="0" xfId="0" applyNumberFormat="1" applyFont="1" applyFill="1" applyBorder="1" applyAlignment="1" applyProtection="1">
      <alignment vertical="center"/>
    </xf>
    <xf numFmtId="174" fontId="43" fillId="0" borderId="19" xfId="0" applyNumberFormat="1" applyFont="1" applyFill="1" applyBorder="1" applyAlignment="1" applyProtection="1">
      <alignment vertical="center"/>
    </xf>
    <xf numFmtId="41" fontId="43" fillId="0" borderId="0" xfId="0" applyNumberFormat="1" applyFont="1" applyFill="1" applyBorder="1" applyAlignment="1" applyProtection="1">
      <alignment horizontal="left"/>
    </xf>
    <xf numFmtId="174" fontId="2" fillId="0" borderId="0" xfId="36" applyNumberFormat="1" applyFont="1" applyFill="1" applyBorder="1" applyAlignment="1"/>
    <xf numFmtId="174" fontId="2" fillId="0" borderId="19" xfId="0" applyNumberFormat="1" applyFont="1" applyFill="1" applyBorder="1" applyAlignment="1"/>
    <xf numFmtId="174" fontId="43" fillId="0" borderId="13" xfId="0" applyNumberFormat="1" applyFont="1" applyFill="1" applyBorder="1" applyAlignment="1" applyProtection="1"/>
    <xf numFmtId="174" fontId="43" fillId="0" borderId="12" xfId="0" applyNumberFormat="1" applyFont="1" applyFill="1" applyBorder="1" applyAlignment="1" applyProtection="1"/>
    <xf numFmtId="174" fontId="43" fillId="0" borderId="14" xfId="0" applyNumberFormat="1" applyFont="1" applyFill="1" applyBorder="1" applyAlignment="1" applyProtection="1"/>
    <xf numFmtId="174" fontId="43" fillId="0" borderId="0" xfId="36" applyNumberFormat="1" applyFont="1" applyFill="1" applyBorder="1" applyAlignment="1" applyProtection="1"/>
    <xf numFmtId="41" fontId="2" fillId="0" borderId="0" xfId="0" applyNumberFormat="1" applyFont="1" applyFill="1" applyBorder="1" applyAlignment="1" applyProtection="1">
      <alignment horizontal="left"/>
    </xf>
    <xf numFmtId="174" fontId="43" fillId="0" borderId="31" xfId="0" applyNumberFormat="1" applyFont="1" applyFill="1" applyBorder="1" applyAlignment="1" applyProtection="1"/>
    <xf numFmtId="174" fontId="43" fillId="0" borderId="32" xfId="0" applyNumberFormat="1" applyFont="1" applyFill="1" applyBorder="1" applyAlignment="1" applyProtection="1"/>
    <xf numFmtId="174" fontId="43" fillId="0" borderId="57" xfId="0" applyNumberFormat="1" applyFont="1" applyFill="1" applyBorder="1" applyAlignment="1" applyProtection="1"/>
    <xf numFmtId="200" fontId="43" fillId="0" borderId="31" xfId="0" applyNumberFormat="1" applyFont="1" applyFill="1" applyBorder="1" applyAlignment="1" applyProtection="1"/>
    <xf numFmtId="200" fontId="43" fillId="0" borderId="32" xfId="0" applyNumberFormat="1" applyFont="1" applyFill="1" applyBorder="1" applyAlignment="1" applyProtection="1"/>
    <xf numFmtId="0" fontId="2" fillId="0" borderId="0" xfId="64" applyFont="1" applyFill="1" applyBorder="1" applyAlignment="1" applyProtection="1">
      <alignment horizontal="right"/>
    </xf>
    <xf numFmtId="41" fontId="2" fillId="0" borderId="0" xfId="64" applyNumberFormat="1" applyFont="1" applyFill="1" applyBorder="1" applyAlignment="1" applyProtection="1">
      <alignment horizontal="right"/>
    </xf>
    <xf numFmtId="174" fontId="2" fillId="0" borderId="18" xfId="64" applyNumberFormat="1" applyFont="1" applyFill="1" applyBorder="1" applyAlignment="1" applyProtection="1"/>
    <xf numFmtId="174" fontId="2" fillId="0" borderId="0" xfId="64" applyNumberFormat="1" applyFont="1" applyFill="1" applyBorder="1" applyAlignment="1" applyProtection="1"/>
    <xf numFmtId="174" fontId="44" fillId="0" borderId="0" xfId="36" applyNumberFormat="1" applyFont="1" applyFill="1" applyBorder="1" applyAlignment="1"/>
    <xf numFmtId="174" fontId="2" fillId="0" borderId="19" xfId="64" applyNumberFormat="1" applyFont="1" applyFill="1" applyBorder="1" applyAlignment="1" applyProtection="1"/>
    <xf numFmtId="41" fontId="2" fillId="0" borderId="23" xfId="59" applyNumberFormat="1" applyFont="1" applyFill="1" applyBorder="1" applyAlignment="1" applyProtection="1">
      <alignment horizontal="left"/>
      <protection locked="0"/>
    </xf>
    <xf numFmtId="174" fontId="24" fillId="0" borderId="22" xfId="59" applyNumberFormat="1" applyFont="1" applyFill="1" applyBorder="1" applyAlignment="1" applyProtection="1">
      <protection locked="0"/>
    </xf>
    <xf numFmtId="174" fontId="2" fillId="0" borderId="23" xfId="59" applyNumberFormat="1" applyFont="1" applyFill="1" applyBorder="1" applyAlignment="1" applyProtection="1">
      <protection locked="0"/>
    </xf>
    <xf numFmtId="174" fontId="2" fillId="0" borderId="26" xfId="59" applyNumberFormat="1" applyFont="1" applyFill="1" applyBorder="1" applyAlignment="1" applyProtection="1">
      <protection locked="0"/>
    </xf>
    <xf numFmtId="174" fontId="2" fillId="0" borderId="22" xfId="59" applyNumberFormat="1" applyFont="1" applyFill="1" applyBorder="1" applyAlignment="1" applyProtection="1">
      <protection locked="0"/>
    </xf>
    <xf numFmtId="174" fontId="2" fillId="0" borderId="0" xfId="57" applyNumberFormat="1" applyFont="1" applyFill="1" applyBorder="1"/>
    <xf numFmtId="41" fontId="43" fillId="0" borderId="20" xfId="59" applyNumberFormat="1" applyFont="1" applyFill="1" applyBorder="1" applyAlignment="1" applyProtection="1">
      <alignment horizontal="left" vertical="center"/>
      <protection locked="0"/>
    </xf>
    <xf numFmtId="174" fontId="43" fillId="0" borderId="24" xfId="59" applyNumberFormat="1" applyFont="1" applyFill="1" applyBorder="1" applyAlignment="1" applyProtection="1">
      <protection locked="0"/>
    </xf>
    <xf numFmtId="174" fontId="43" fillId="0" borderId="20" xfId="59" applyNumberFormat="1" applyFont="1" applyFill="1" applyBorder="1" applyAlignment="1" applyProtection="1">
      <protection locked="0"/>
    </xf>
    <xf numFmtId="174" fontId="43" fillId="0" borderId="25" xfId="59" applyNumberFormat="1" applyFont="1" applyFill="1" applyBorder="1" applyAlignment="1" applyProtection="1">
      <protection locked="0"/>
    </xf>
    <xf numFmtId="174" fontId="43" fillId="0" borderId="20" xfId="59" applyNumberFormat="1" applyFont="1" applyFill="1" applyBorder="1" applyAlignment="1" applyProtection="1">
      <alignment vertical="center"/>
      <protection locked="0"/>
    </xf>
    <xf numFmtId="174" fontId="46" fillId="0" borderId="0" xfId="57" applyNumberFormat="1" applyFont="1" applyFill="1" applyBorder="1" applyAlignment="1" applyProtection="1">
      <alignment horizontal="right" vertical="center"/>
    </xf>
    <xf numFmtId="43" fontId="57" fillId="0" borderId="0" xfId="36" applyFont="1" applyFill="1" applyAlignment="1" applyProtection="1">
      <alignment horizontal="left"/>
    </xf>
    <xf numFmtId="43" fontId="57" fillId="0" borderId="0" xfId="36" quotePrefix="1" applyFont="1" applyFill="1" applyAlignment="1" applyProtection="1">
      <alignment horizontal="left"/>
    </xf>
    <xf numFmtId="43" fontId="41" fillId="0" borderId="0" xfId="36" applyFont="1" applyFill="1"/>
    <xf numFmtId="170" fontId="44" fillId="0" borderId="0" xfId="36" applyNumberFormat="1" applyFont="1" applyFill="1"/>
    <xf numFmtId="0" fontId="83" fillId="17" borderId="22" xfId="74" applyFont="1" applyFill="1" applyBorder="1">
      <protection locked="0"/>
    </xf>
    <xf numFmtId="0" fontId="84" fillId="17" borderId="23" xfId="74" applyFont="1" applyFill="1" applyBorder="1">
      <protection locked="0"/>
    </xf>
    <xf numFmtId="0" fontId="84" fillId="17" borderId="26" xfId="74" applyFont="1" applyFill="1" applyBorder="1">
      <protection locked="0"/>
    </xf>
    <xf numFmtId="0" fontId="2" fillId="17" borderId="23" xfId="64" applyFont="1" applyFill="1" applyBorder="1" applyAlignment="1" applyProtection="1">
      <alignment horizontal="right"/>
    </xf>
    <xf numFmtId="170" fontId="44" fillId="17" borderId="23" xfId="36" applyNumberFormat="1" applyFont="1" applyFill="1" applyBorder="1"/>
    <xf numFmtId="0" fontId="2" fillId="17" borderId="26" xfId="64" applyFont="1" applyFill="1" applyBorder="1" applyAlignment="1" applyProtection="1">
      <alignment horizontal="right"/>
    </xf>
    <xf numFmtId="170" fontId="44" fillId="17" borderId="26" xfId="36" applyNumberFormat="1" applyFont="1" applyFill="1" applyBorder="1"/>
    <xf numFmtId="0" fontId="44" fillId="17" borderId="26" xfId="0" applyFont="1" applyFill="1" applyBorder="1"/>
    <xf numFmtId="167" fontId="2" fillId="0" borderId="18" xfId="74" applyNumberFormat="1" applyFont="1" applyFill="1" applyBorder="1">
      <protection locked="0"/>
    </xf>
    <xf numFmtId="167" fontId="2" fillId="0" borderId="0" xfId="74" applyNumberFormat="1" applyFont="1" applyFill="1" applyBorder="1">
      <protection locked="0"/>
    </xf>
    <xf numFmtId="167" fontId="2" fillId="0" borderId="19" xfId="74" applyNumberFormat="1" applyFont="1" applyFill="1" applyBorder="1">
      <protection locked="0"/>
    </xf>
    <xf numFmtId="167" fontId="2" fillId="0" borderId="0" xfId="64" applyNumberFormat="1" applyFont="1" applyFill="1" applyBorder="1" applyAlignment="1" applyProtection="1">
      <alignment horizontal="right"/>
    </xf>
    <xf numFmtId="167" fontId="2" fillId="0" borderId="19" xfId="64" applyNumberFormat="1" applyFont="1" applyFill="1" applyBorder="1" applyAlignment="1" applyProtection="1">
      <alignment horizontal="right"/>
    </xf>
    <xf numFmtId="167" fontId="2" fillId="0" borderId="0" xfId="0" applyNumberFormat="1" applyFont="1"/>
    <xf numFmtId="7" fontId="2" fillId="0" borderId="18" xfId="74" applyNumberFormat="1" applyFont="1" applyFill="1" applyBorder="1">
      <protection locked="0"/>
    </xf>
    <xf numFmtId="7" fontId="2" fillId="0" borderId="0" xfId="74" applyNumberFormat="1" applyFont="1" applyFill="1" applyBorder="1">
      <protection locked="0"/>
    </xf>
    <xf numFmtId="7" fontId="2" fillId="0" borderId="19" xfId="74" applyNumberFormat="1" applyFont="1" applyFill="1" applyBorder="1">
      <protection locked="0"/>
    </xf>
    <xf numFmtId="7" fontId="44" fillId="0" borderId="0" xfId="38" applyNumberFormat="1" applyFont="1" applyFill="1" applyBorder="1"/>
    <xf numFmtId="7" fontId="44" fillId="0" borderId="0" xfId="36" applyNumberFormat="1" applyFont="1" applyFill="1" applyBorder="1"/>
    <xf numFmtId="7" fontId="44" fillId="0" borderId="19" xfId="38" applyNumberFormat="1" applyFont="1" applyFill="1" applyBorder="1"/>
    <xf numFmtId="7" fontId="2" fillId="0" borderId="0" xfId="64" applyNumberFormat="1" applyFont="1" applyFill="1" applyBorder="1" applyAlignment="1" applyProtection="1">
      <alignment horizontal="right"/>
    </xf>
    <xf numFmtId="7" fontId="44" fillId="0" borderId="0" xfId="0" applyNumberFormat="1" applyFont="1" applyFill="1"/>
    <xf numFmtId="165" fontId="2" fillId="0" borderId="0" xfId="69" applyNumberFormat="1" applyFont="1" applyFill="1" applyBorder="1" applyAlignment="1" applyProtection="1">
      <alignment horizontal="right"/>
    </xf>
    <xf numFmtId="165" fontId="2" fillId="0" borderId="19" xfId="69" applyNumberFormat="1" applyFont="1" applyFill="1" applyBorder="1" applyAlignment="1" applyProtection="1">
      <alignment horizontal="right"/>
    </xf>
    <xf numFmtId="165" fontId="44" fillId="0" borderId="0" xfId="0" applyNumberFormat="1" applyFont="1" applyFill="1"/>
    <xf numFmtId="7" fontId="56" fillId="0" borderId="24" xfId="0" applyNumberFormat="1" applyFont="1" applyFill="1" applyBorder="1" applyAlignment="1" applyProtection="1">
      <alignment horizontal="left"/>
    </xf>
    <xf numFmtId="7" fontId="56" fillId="0" borderId="20" xfId="0" applyNumberFormat="1" applyFont="1" applyFill="1" applyBorder="1" applyAlignment="1" applyProtection="1">
      <alignment horizontal="left"/>
    </xf>
    <xf numFmtId="7" fontId="2" fillId="0" borderId="20" xfId="57" applyNumberFormat="1" applyFont="1" applyFill="1" applyBorder="1"/>
    <xf numFmtId="7" fontId="2" fillId="0" borderId="25" xfId="57" applyNumberFormat="1" applyFont="1" applyFill="1" applyBorder="1"/>
    <xf numFmtId="7" fontId="2" fillId="0" borderId="25" xfId="38" applyNumberFormat="1" applyFont="1" applyFill="1" applyBorder="1" applyAlignment="1" applyProtection="1">
      <alignment horizontal="right"/>
    </xf>
    <xf numFmtId="0" fontId="56" fillId="0" borderId="0" xfId="0" quotePrefix="1" applyFont="1" applyFill="1" applyAlignment="1" applyProtection="1">
      <alignment horizontal="left"/>
    </xf>
    <xf numFmtId="0" fontId="83" fillId="17" borderId="0" xfId="74" applyFont="1" applyFill="1" applyBorder="1">
      <protection locked="0"/>
    </xf>
    <xf numFmtId="0" fontId="43" fillId="17" borderId="0" xfId="74" applyFont="1" applyFill="1" applyBorder="1">
      <protection locked="0"/>
    </xf>
    <xf numFmtId="0" fontId="2" fillId="17" borderId="0" xfId="64" applyFont="1" applyFill="1" applyBorder="1" applyAlignment="1" applyProtection="1">
      <alignment horizontal="right"/>
    </xf>
    <xf numFmtId="170" fontId="44" fillId="17" borderId="0" xfId="36" applyNumberFormat="1" applyFont="1" applyFill="1"/>
    <xf numFmtId="0" fontId="44" fillId="17" borderId="0" xfId="0" applyFont="1" applyFill="1"/>
    <xf numFmtId="0" fontId="2" fillId="0" borderId="26" xfId="74" applyFont="1" applyFill="1" applyBorder="1">
      <protection locked="0"/>
    </xf>
    <xf numFmtId="0" fontId="2" fillId="0" borderId="23" xfId="74" applyFont="1" applyFill="1" applyBorder="1">
      <protection locked="0"/>
    </xf>
    <xf numFmtId="0" fontId="2" fillId="0" borderId="23" xfId="64" applyFont="1" applyFill="1" applyBorder="1" applyAlignment="1" applyProtection="1">
      <alignment horizontal="right"/>
    </xf>
    <xf numFmtId="170" fontId="44" fillId="0" borderId="23" xfId="36" applyNumberFormat="1" applyFont="1" applyFill="1" applyBorder="1"/>
    <xf numFmtId="0" fontId="2" fillId="0" borderId="26" xfId="64" applyFont="1" applyFill="1" applyBorder="1" applyAlignment="1" applyProtection="1">
      <alignment horizontal="right"/>
    </xf>
    <xf numFmtId="170" fontId="44" fillId="0" borderId="26" xfId="36" applyNumberFormat="1" applyFont="1" applyFill="1" applyBorder="1"/>
    <xf numFmtId="0" fontId="44" fillId="0" borderId="26" xfId="0" applyFont="1" applyFill="1" applyBorder="1"/>
    <xf numFmtId="0" fontId="2" fillId="0" borderId="19" xfId="74" applyFont="1" applyFill="1" applyBorder="1">
      <protection locked="0"/>
    </xf>
    <xf numFmtId="41" fontId="2" fillId="0" borderId="0" xfId="74" applyNumberFormat="1" applyFont="1" applyFill="1" applyBorder="1">
      <protection locked="0"/>
    </xf>
    <xf numFmtId="174" fontId="24" fillId="0" borderId="0" xfId="74" applyNumberFormat="1" applyFont="1" applyFill="1" applyBorder="1" applyAlignment="1">
      <protection locked="0"/>
    </xf>
    <xf numFmtId="174" fontId="2" fillId="0" borderId="0" xfId="74" applyNumberFormat="1" applyFont="1" applyFill="1" applyBorder="1" applyAlignment="1">
      <protection locked="0"/>
    </xf>
    <xf numFmtId="174" fontId="2" fillId="0" borderId="19" xfId="74" applyNumberFormat="1" applyFont="1" applyFill="1" applyBorder="1" applyAlignment="1">
      <protection locked="0"/>
    </xf>
    <xf numFmtId="174" fontId="2" fillId="0" borderId="11" xfId="64" applyNumberFormat="1" applyFont="1" applyFill="1" applyBorder="1" applyAlignment="1" applyProtection="1"/>
    <xf numFmtId="174" fontId="2" fillId="0" borderId="19" xfId="36" applyNumberFormat="1" applyFont="1" applyFill="1" applyBorder="1" applyAlignment="1"/>
    <xf numFmtId="174" fontId="44" fillId="0" borderId="19" xfId="0" applyNumberFormat="1" applyFont="1" applyFill="1" applyBorder="1" applyAlignment="1"/>
    <xf numFmtId="0" fontId="2" fillId="0" borderId="19" xfId="74" applyFont="1" applyFill="1" applyBorder="1" applyAlignment="1">
      <alignment horizontal="left" indent="1"/>
      <protection locked="0"/>
    </xf>
    <xf numFmtId="41" fontId="2" fillId="0" borderId="0" xfId="74" applyNumberFormat="1" applyFont="1" applyFill="1" applyBorder="1" applyAlignment="1">
      <alignment horizontal="left" indent="1"/>
      <protection locked="0"/>
    </xf>
    <xf numFmtId="174" fontId="24" fillId="0" borderId="19" xfId="74" applyNumberFormat="1" applyFont="1" applyFill="1" applyBorder="1" applyAlignment="1">
      <protection locked="0"/>
    </xf>
    <xf numFmtId="174" fontId="24" fillId="0" borderId="0" xfId="64" applyNumberFormat="1" applyFont="1" applyFill="1" applyBorder="1" applyAlignment="1" applyProtection="1"/>
    <xf numFmtId="174" fontId="24" fillId="0" borderId="11" xfId="64" applyNumberFormat="1" applyFont="1" applyFill="1" applyBorder="1" applyAlignment="1" applyProtection="1"/>
    <xf numFmtId="174" fontId="24" fillId="0" borderId="19" xfId="64" applyNumberFormat="1" applyFont="1" applyFill="1" applyBorder="1" applyAlignment="1" applyProtection="1"/>
    <xf numFmtId="174" fontId="24" fillId="0" borderId="19" xfId="36" applyNumberFormat="1" applyFont="1" applyFill="1" applyBorder="1" applyAlignment="1"/>
    <xf numFmtId="174" fontId="24" fillId="0" borderId="19" xfId="0" applyNumberFormat="1" applyFont="1" applyFill="1" applyBorder="1" applyAlignment="1"/>
    <xf numFmtId="0" fontId="2" fillId="0" borderId="25" xfId="74" applyFont="1" applyFill="1" applyBorder="1" applyAlignment="1">
      <alignment horizontal="left" indent="1"/>
      <protection locked="0"/>
    </xf>
    <xf numFmtId="41" fontId="2" fillId="0" borderId="20" xfId="74" applyNumberFormat="1" applyFont="1" applyFill="1" applyBorder="1" applyAlignment="1">
      <alignment horizontal="left" indent="1"/>
      <protection locked="0"/>
    </xf>
    <xf numFmtId="174" fontId="24" fillId="0" borderId="20" xfId="74" applyNumberFormat="1" applyFont="1" applyFill="1" applyBorder="1" applyAlignment="1">
      <protection locked="0"/>
    </xf>
    <xf numFmtId="174" fontId="24" fillId="0" borderId="25" xfId="74" applyNumberFormat="1" applyFont="1" applyFill="1" applyBorder="1" applyAlignment="1">
      <protection locked="0"/>
    </xf>
    <xf numFmtId="174" fontId="2" fillId="0" borderId="20" xfId="74" applyNumberFormat="1" applyFont="1" applyFill="1" applyBorder="1" applyAlignment="1">
      <protection locked="0"/>
    </xf>
    <xf numFmtId="174" fontId="24" fillId="0" borderId="20" xfId="64" applyNumberFormat="1" applyFont="1" applyFill="1" applyBorder="1" applyAlignment="1" applyProtection="1"/>
    <xf numFmtId="174" fontId="24" fillId="0" borderId="21" xfId="64" applyNumberFormat="1" applyFont="1" applyFill="1" applyBorder="1" applyAlignment="1" applyProtection="1"/>
    <xf numFmtId="174" fontId="24" fillId="0" borderId="25" xfId="64" applyNumberFormat="1" applyFont="1" applyFill="1" applyBorder="1" applyAlignment="1" applyProtection="1"/>
    <xf numFmtId="174" fontId="24" fillId="0" borderId="25" xfId="36" applyNumberFormat="1" applyFont="1" applyFill="1" applyBorder="1" applyAlignment="1"/>
    <xf numFmtId="174" fontId="24" fillId="0" borderId="20" xfId="36" applyNumberFormat="1" applyFont="1" applyFill="1" applyBorder="1" applyAlignment="1"/>
    <xf numFmtId="174" fontId="24" fillId="0" borderId="25" xfId="0" applyNumberFormat="1" applyFont="1" applyFill="1" applyBorder="1" applyAlignment="1"/>
    <xf numFmtId="174" fontId="2" fillId="0" borderId="25" xfId="0" applyNumberFormat="1" applyFont="1" applyFill="1" applyBorder="1" applyAlignment="1" applyProtection="1"/>
    <xf numFmtId="174" fontId="44" fillId="0" borderId="20" xfId="36" applyNumberFormat="1" applyFont="1" applyFill="1" applyBorder="1" applyAlignment="1"/>
    <xf numFmtId="0" fontId="43" fillId="0" borderId="19" xfId="74" applyFont="1" applyFill="1" applyBorder="1">
      <protection locked="0"/>
    </xf>
    <xf numFmtId="41" fontId="43" fillId="0" borderId="0" xfId="74" applyNumberFormat="1" applyFont="1" applyFill="1" applyBorder="1">
      <protection locked="0"/>
    </xf>
    <xf numFmtId="174" fontId="43" fillId="0" borderId="0" xfId="74" applyNumberFormat="1" applyFont="1" applyFill="1" applyBorder="1" applyAlignment="1">
      <protection locked="0"/>
    </xf>
    <xf numFmtId="174" fontId="43" fillId="0" borderId="19" xfId="74" applyNumberFormat="1" applyFont="1" applyFill="1" applyBorder="1" applyAlignment="1">
      <protection locked="0"/>
    </xf>
    <xf numFmtId="174" fontId="43" fillId="0" borderId="0" xfId="64" applyNumberFormat="1" applyFont="1" applyFill="1" applyBorder="1" applyAlignment="1" applyProtection="1"/>
    <xf numFmtId="174" fontId="46" fillId="0" borderId="0" xfId="36" applyNumberFormat="1" applyFont="1" applyFill="1" applyBorder="1" applyAlignment="1"/>
    <xf numFmtId="174" fontId="43" fillId="0" borderId="19" xfId="64" applyNumberFormat="1" applyFont="1" applyFill="1" applyBorder="1" applyAlignment="1" applyProtection="1"/>
    <xf numFmtId="174" fontId="46" fillId="0" borderId="19" xfId="36" applyNumberFormat="1" applyFont="1" applyFill="1" applyBorder="1" applyAlignment="1"/>
    <xf numFmtId="7" fontId="24" fillId="0" borderId="0" xfId="74" applyNumberFormat="1" applyFont="1" applyFill="1" applyBorder="1">
      <protection locked="0"/>
    </xf>
    <xf numFmtId="7" fontId="24" fillId="0" borderId="19" xfId="74" applyNumberFormat="1" applyFont="1" applyFill="1" applyBorder="1">
      <protection locked="0"/>
    </xf>
    <xf numFmtId="7" fontId="24" fillId="0" borderId="0" xfId="64" applyNumberFormat="1" applyFont="1" applyFill="1" applyBorder="1" applyAlignment="1" applyProtection="1">
      <alignment horizontal="right"/>
    </xf>
    <xf numFmtId="7" fontId="24" fillId="0" borderId="0" xfId="36" applyNumberFormat="1" applyFont="1" applyFill="1" applyBorder="1"/>
    <xf numFmtId="7" fontId="24" fillId="0" borderId="19" xfId="64" applyNumberFormat="1" applyFont="1" applyFill="1" applyBorder="1" applyAlignment="1" applyProtection="1">
      <alignment horizontal="right"/>
    </xf>
    <xf numFmtId="7" fontId="24" fillId="0" borderId="19" xfId="38" applyNumberFormat="1" applyFont="1" applyFill="1" applyBorder="1"/>
    <xf numFmtId="7" fontId="24" fillId="0" borderId="0" xfId="38" applyNumberFormat="1" applyFont="1" applyFill="1" applyBorder="1"/>
    <xf numFmtId="7" fontId="2" fillId="0" borderId="0" xfId="38" applyNumberFormat="1" applyFont="1" applyFill="1" applyBorder="1"/>
    <xf numFmtId="7" fontId="44" fillId="0" borderId="19" xfId="0" applyNumberFormat="1" applyFont="1" applyFill="1" applyBorder="1"/>
    <xf numFmtId="0" fontId="79" fillId="0" borderId="19" xfId="74" applyFont="1" applyFill="1" applyBorder="1">
      <protection locked="0"/>
    </xf>
    <xf numFmtId="0" fontId="79" fillId="0" borderId="0" xfId="74" applyFont="1" applyFill="1" applyBorder="1">
      <protection locked="0"/>
    </xf>
    <xf numFmtId="170" fontId="44" fillId="0" borderId="0" xfId="36" applyNumberFormat="1" applyFont="1" applyFill="1" applyBorder="1"/>
    <xf numFmtId="0" fontId="2" fillId="0" borderId="19" xfId="64" applyFont="1" applyFill="1" applyBorder="1" applyAlignment="1" applyProtection="1">
      <alignment horizontal="right"/>
    </xf>
    <xf numFmtId="170" fontId="44" fillId="0" borderId="19" xfId="36" applyNumberFormat="1" applyFont="1" applyFill="1" applyBorder="1"/>
    <xf numFmtId="0" fontId="44" fillId="0" borderId="19" xfId="0" applyFont="1" applyFill="1" applyBorder="1"/>
    <xf numFmtId="0" fontId="2" fillId="0" borderId="0" xfId="74" applyFont="1" applyFill="1" applyBorder="1">
      <protection locked="0"/>
    </xf>
    <xf numFmtId="165" fontId="2" fillId="0" borderId="19" xfId="69" applyNumberFormat="1" applyFont="1" applyFill="1" applyBorder="1" applyProtection="1">
      <protection locked="0"/>
    </xf>
    <xf numFmtId="165" fontId="2" fillId="0" borderId="0" xfId="69" applyNumberFormat="1" applyFont="1" applyFill="1" applyBorder="1" applyProtection="1">
      <protection locked="0"/>
    </xf>
    <xf numFmtId="165" fontId="44" fillId="0" borderId="0" xfId="69" applyNumberFormat="1" applyFont="1" applyFill="1" applyBorder="1"/>
    <xf numFmtId="165" fontId="24" fillId="0" borderId="19" xfId="69" applyNumberFormat="1" applyFont="1" applyFill="1" applyBorder="1" applyAlignment="1" applyProtection="1">
      <alignment horizontal="right"/>
    </xf>
    <xf numFmtId="165" fontId="24" fillId="0" borderId="0" xfId="69" applyNumberFormat="1" applyFont="1" applyFill="1" applyBorder="1" applyAlignment="1" applyProtection="1">
      <alignment horizontal="right"/>
    </xf>
    <xf numFmtId="165" fontId="44" fillId="0" borderId="0" xfId="69" applyNumberFormat="1" applyFont="1" applyFill="1"/>
    <xf numFmtId="165" fontId="44" fillId="0" borderId="19" xfId="69" applyNumberFormat="1" applyFont="1" applyFill="1" applyBorder="1"/>
    <xf numFmtId="9" fontId="44" fillId="0" borderId="0" xfId="69" applyFont="1" applyFill="1" applyBorder="1"/>
    <xf numFmtId="41" fontId="2" fillId="0" borderId="19" xfId="74" applyNumberFormat="1" applyFont="1" applyFill="1" applyBorder="1">
      <protection locked="0"/>
    </xf>
    <xf numFmtId="41" fontId="44" fillId="0" borderId="0" xfId="36" applyNumberFormat="1" applyFont="1" applyFill="1" applyBorder="1"/>
    <xf numFmtId="41" fontId="2" fillId="0" borderId="19" xfId="0" applyNumberFormat="1" applyFont="1" applyFill="1" applyBorder="1" applyAlignment="1" applyProtection="1">
      <alignment horizontal="right"/>
    </xf>
    <xf numFmtId="0" fontId="2" fillId="0" borderId="25" xfId="74" applyFont="1" applyFill="1" applyBorder="1">
      <protection locked="0"/>
    </xf>
    <xf numFmtId="0" fontId="2" fillId="0" borderId="20" xfId="74" applyFont="1" applyFill="1" applyBorder="1">
      <protection locked="0"/>
    </xf>
    <xf numFmtId="170" fontId="44" fillId="0" borderId="20" xfId="36" applyNumberFormat="1" applyFont="1" applyFill="1" applyBorder="1"/>
    <xf numFmtId="170" fontId="44" fillId="0" borderId="25" xfId="36" applyNumberFormat="1" applyFont="1" applyFill="1" applyBorder="1"/>
    <xf numFmtId="0" fontId="83" fillId="17" borderId="19" xfId="74" applyFont="1" applyFill="1" applyBorder="1">
      <protection locked="0"/>
    </xf>
    <xf numFmtId="0" fontId="84" fillId="17" borderId="0" xfId="74" applyFont="1" applyFill="1" applyBorder="1">
      <protection locked="0"/>
    </xf>
    <xf numFmtId="0" fontId="84" fillId="17" borderId="19" xfId="74" applyFont="1" applyFill="1" applyBorder="1">
      <protection locked="0"/>
    </xf>
    <xf numFmtId="170" fontId="44" fillId="17" borderId="0" xfId="36" applyNumberFormat="1" applyFont="1" applyFill="1" applyBorder="1"/>
    <xf numFmtId="0" fontId="2" fillId="17" borderId="19" xfId="64" applyFont="1" applyFill="1" applyBorder="1" applyAlignment="1" applyProtection="1">
      <alignment horizontal="right"/>
    </xf>
    <xf numFmtId="170" fontId="44" fillId="17" borderId="19" xfId="36" applyNumberFormat="1" applyFont="1" applyFill="1" applyBorder="1"/>
    <xf numFmtId="0" fontId="44" fillId="17" borderId="19" xfId="0" applyFont="1" applyFill="1" applyBorder="1"/>
    <xf numFmtId="174" fontId="2" fillId="0" borderId="0" xfId="74" applyNumberFormat="1" applyFont="1" applyFill="1" applyBorder="1">
      <protection locked="0"/>
    </xf>
    <xf numFmtId="174" fontId="2" fillId="0" borderId="19" xfId="74" applyNumberFormat="1" applyFont="1" applyFill="1" applyBorder="1">
      <protection locked="0"/>
    </xf>
    <xf numFmtId="174" fontId="2" fillId="0" borderId="0" xfId="64" applyNumberFormat="1" applyFont="1" applyFill="1" applyBorder="1" applyAlignment="1" applyProtection="1">
      <alignment horizontal="right"/>
    </xf>
    <xf numFmtId="174" fontId="2" fillId="0" borderId="19" xfId="64" applyNumberFormat="1" applyFont="1" applyFill="1" applyBorder="1" applyAlignment="1" applyProtection="1">
      <alignment horizontal="right"/>
    </xf>
    <xf numFmtId="174" fontId="2" fillId="0" borderId="19" xfId="0" applyNumberFormat="1" applyFont="1" applyFill="1" applyBorder="1" applyAlignment="1" applyProtection="1">
      <alignment horizontal="right"/>
    </xf>
    <xf numFmtId="174" fontId="24" fillId="0" borderId="0" xfId="64" applyNumberFormat="1" applyFont="1" applyFill="1" applyBorder="1" applyAlignment="1" applyProtection="1">
      <alignment horizontal="right"/>
    </xf>
    <xf numFmtId="5" fontId="2" fillId="0" borderId="0" xfId="74" applyNumberFormat="1" applyFont="1" applyFill="1" applyBorder="1">
      <protection locked="0"/>
    </xf>
    <xf numFmtId="5" fontId="2" fillId="0" borderId="19" xfId="74" applyNumberFormat="1" applyFont="1" applyFill="1" applyBorder="1">
      <protection locked="0"/>
    </xf>
    <xf numFmtId="5" fontId="2" fillId="0" borderId="0" xfId="64" applyNumberFormat="1" applyFont="1" applyFill="1" applyBorder="1" applyAlignment="1" applyProtection="1">
      <alignment horizontal="right"/>
    </xf>
    <xf numFmtId="5" fontId="2" fillId="0" borderId="19" xfId="64" applyNumberFormat="1" applyFont="1" applyFill="1" applyBorder="1" applyAlignment="1" applyProtection="1">
      <alignment horizontal="right"/>
    </xf>
    <xf numFmtId="0" fontId="79" fillId="0" borderId="25" xfId="74" applyFont="1" applyFill="1" applyBorder="1" applyAlignment="1">
      <alignment horizontal="left" indent="1"/>
      <protection locked="0"/>
    </xf>
    <xf numFmtId="0" fontId="79" fillId="0" borderId="20" xfId="74" applyFont="1" applyFill="1" applyBorder="1" applyAlignment="1">
      <alignment horizontal="left" indent="1"/>
      <protection locked="0"/>
    </xf>
    <xf numFmtId="9" fontId="2" fillId="0" borderId="25" xfId="69" applyFont="1" applyFill="1" applyBorder="1" applyAlignment="1" applyProtection="1">
      <alignment horizontal="right"/>
    </xf>
    <xf numFmtId="0" fontId="2" fillId="0" borderId="20" xfId="64" applyFont="1" applyFill="1" applyBorder="1" applyAlignment="1" applyProtection="1">
      <alignment horizontal="right"/>
    </xf>
    <xf numFmtId="9" fontId="2" fillId="0" borderId="20" xfId="69" applyFont="1" applyFill="1" applyBorder="1" applyAlignment="1" applyProtection="1">
      <alignment horizontal="right"/>
    </xf>
    <xf numFmtId="9" fontId="2" fillId="0" borderId="21" xfId="69" applyFont="1" applyFill="1" applyBorder="1" applyAlignment="1" applyProtection="1">
      <alignment horizontal="right"/>
    </xf>
    <xf numFmtId="0" fontId="83" fillId="17" borderId="13" xfId="74" applyFont="1" applyFill="1" applyBorder="1">
      <protection locked="0"/>
    </xf>
    <xf numFmtId="0" fontId="44" fillId="17" borderId="23" xfId="0" applyFont="1" applyFill="1" applyBorder="1"/>
    <xf numFmtId="165" fontId="24" fillId="0" borderId="26" xfId="0" applyNumberFormat="1" applyFont="1" applyFill="1" applyBorder="1" applyAlignment="1">
      <alignment horizontal="right"/>
    </xf>
    <xf numFmtId="165" fontId="24" fillId="0" borderId="0" xfId="0" applyNumberFormat="1" applyFont="1" applyFill="1" applyBorder="1" applyAlignment="1">
      <alignment horizontal="right"/>
    </xf>
    <xf numFmtId="165" fontId="24" fillId="0" borderId="19" xfId="0" applyNumberFormat="1" applyFont="1" applyFill="1" applyBorder="1" applyAlignment="1">
      <alignment horizontal="right"/>
    </xf>
    <xf numFmtId="165" fontId="2" fillId="0" borderId="24" xfId="74" applyNumberFormat="1" applyFont="1" applyFill="1" applyBorder="1">
      <protection locked="0"/>
    </xf>
    <xf numFmtId="0" fontId="44" fillId="0" borderId="20" xfId="0" applyFont="1" applyFill="1" applyBorder="1"/>
    <xf numFmtId="0" fontId="44" fillId="0" borderId="25" xfId="0" applyFont="1" applyFill="1" applyBorder="1"/>
    <xf numFmtId="165" fontId="24" fillId="0" borderId="25" xfId="0" applyNumberFormat="1" applyFont="1" applyFill="1" applyBorder="1" applyAlignment="1">
      <alignment horizontal="right"/>
    </xf>
    <xf numFmtId="164" fontId="2" fillId="0" borderId="18" xfId="0" applyNumberFormat="1" applyFont="1" applyBorder="1"/>
    <xf numFmtId="164" fontId="2" fillId="0" borderId="19" xfId="0" applyNumberFormat="1" applyFont="1" applyBorder="1"/>
    <xf numFmtId="167" fontId="4" fillId="0" borderId="26" xfId="0" applyNumberFormat="1" applyFont="1" applyFill="1" applyBorder="1" applyAlignment="1">
      <alignment horizontal="right"/>
    </xf>
    <xf numFmtId="174" fontId="14" fillId="0" borderId="0" xfId="64" applyNumberFormat="1" applyFont="1" applyFill="1" applyBorder="1" applyAlignment="1" applyProtection="1">
      <alignment horizontal="right"/>
    </xf>
    <xf numFmtId="0" fontId="11" fillId="17" borderId="22" xfId="0" applyFont="1" applyFill="1" applyBorder="1"/>
    <xf numFmtId="0" fontId="16" fillId="17" borderId="23" xfId="0" applyFont="1" applyFill="1" applyBorder="1"/>
    <xf numFmtId="0" fontId="16" fillId="17" borderId="22" xfId="0" applyFont="1" applyFill="1" applyBorder="1"/>
    <xf numFmtId="0" fontId="16" fillId="17" borderId="27" xfId="0" applyFont="1" applyFill="1" applyBorder="1"/>
    <xf numFmtId="0" fontId="16" fillId="17" borderId="26" xfId="0" applyFont="1" applyFill="1" applyBorder="1"/>
    <xf numFmtId="0" fontId="2" fillId="18" borderId="18" xfId="0" applyFont="1" applyFill="1" applyBorder="1" applyAlignment="1">
      <alignment horizontal="left" indent="1"/>
    </xf>
    <xf numFmtId="0" fontId="2" fillId="0" borderId="24" xfId="0" applyFont="1" applyBorder="1" applyAlignment="1">
      <alignment horizontal="left" indent="2"/>
    </xf>
    <xf numFmtId="164" fontId="2" fillId="0" borderId="24" xfId="0" applyNumberFormat="1" applyFont="1" applyBorder="1"/>
    <xf numFmtId="164" fontId="2" fillId="0" borderId="20" xfId="0" applyNumberFormat="1" applyFont="1" applyBorder="1"/>
    <xf numFmtId="164" fontId="2" fillId="0" borderId="25" xfId="0" applyNumberFormat="1" applyFont="1" applyBorder="1"/>
    <xf numFmtId="165" fontId="27" fillId="18" borderId="18" xfId="0" applyNumberFormat="1" applyFont="1" applyFill="1" applyBorder="1"/>
    <xf numFmtId="165" fontId="27" fillId="18" borderId="0" xfId="0" applyNumberFormat="1" applyFont="1" applyFill="1" applyBorder="1"/>
    <xf numFmtId="165" fontId="27" fillId="18" borderId="19" xfId="0" applyNumberFormat="1" applyFont="1" applyFill="1" applyBorder="1"/>
    <xf numFmtId="0" fontId="2" fillId="19" borderId="18" xfId="0" applyFont="1" applyFill="1" applyBorder="1" applyAlignment="1">
      <alignment horizontal="left" indent="2"/>
    </xf>
    <xf numFmtId="0" fontId="2" fillId="19" borderId="0" xfId="0" applyFont="1" applyFill="1" applyBorder="1"/>
    <xf numFmtId="0" fontId="2" fillId="19" borderId="18" xfId="0" applyFont="1" applyFill="1" applyBorder="1"/>
    <xf numFmtId="0" fontId="2" fillId="19" borderId="19" xfId="0" applyFont="1" applyFill="1" applyBorder="1"/>
    <xf numFmtId="164" fontId="2" fillId="19" borderId="18" xfId="0" applyNumberFormat="1" applyFont="1" applyFill="1" applyBorder="1"/>
    <xf numFmtId="164" fontId="2" fillId="19" borderId="0" xfId="0" applyNumberFormat="1" applyFont="1" applyFill="1" applyBorder="1"/>
    <xf numFmtId="164" fontId="2" fillId="19" borderId="19" xfId="0" applyNumberFormat="1" applyFont="1" applyFill="1" applyBorder="1"/>
    <xf numFmtId="0" fontId="44" fillId="0" borderId="0" xfId="0" applyFont="1"/>
    <xf numFmtId="0" fontId="6" fillId="18" borderId="0" xfId="0" applyFont="1" applyFill="1"/>
    <xf numFmtId="164" fontId="6" fillId="18" borderId="14" xfId="0" applyNumberFormat="1" applyFont="1" applyFill="1" applyBorder="1"/>
    <xf numFmtId="0" fontId="6" fillId="18" borderId="13" xfId="0" applyFont="1" applyFill="1" applyBorder="1" applyAlignment="1">
      <alignment horizontal="left" indent="1"/>
    </xf>
    <xf numFmtId="0" fontId="6" fillId="18" borderId="12" xfId="0" applyFont="1" applyFill="1" applyBorder="1"/>
    <xf numFmtId="0" fontId="6" fillId="18" borderId="13" xfId="0" applyFont="1" applyFill="1" applyBorder="1"/>
    <xf numFmtId="0" fontId="6" fillId="18" borderId="14" xfId="0" applyFont="1" applyFill="1" applyBorder="1"/>
    <xf numFmtId="164" fontId="6" fillId="18" borderId="13" xfId="0" applyNumberFormat="1" applyFont="1" applyFill="1" applyBorder="1"/>
    <xf numFmtId="164" fontId="6" fillId="18" borderId="12" xfId="0" applyNumberFormat="1" applyFont="1" applyFill="1" applyBorder="1"/>
    <xf numFmtId="174" fontId="3" fillId="0" borderId="18" xfId="0" applyNumberFormat="1" applyFont="1" applyFill="1" applyBorder="1" applyAlignment="1">
      <alignment horizontal="left"/>
    </xf>
    <xf numFmtId="9" fontId="3" fillId="0" borderId="0" xfId="69" applyFont="1"/>
    <xf numFmtId="0" fontId="9" fillId="0" borderId="0" xfId="54" applyFont="1" applyFill="1" applyBorder="1" applyAlignment="1">
      <alignment horizontal="left"/>
    </xf>
    <xf numFmtId="41" fontId="6" fillId="0" borderId="0" xfId="0" applyNumberFormat="1" applyFont="1" applyAlignment="1">
      <alignment horizontal="center"/>
    </xf>
    <xf numFmtId="195" fontId="6" fillId="0" borderId="13" xfId="0" applyNumberFormat="1" applyFont="1" applyFill="1" applyBorder="1" applyAlignment="1">
      <alignment horizontal="centerContinuous"/>
    </xf>
    <xf numFmtId="178" fontId="6" fillId="0" borderId="12" xfId="0" applyNumberFormat="1" applyFont="1" applyFill="1" applyBorder="1" applyAlignment="1">
      <alignment horizontal="centerContinuous"/>
    </xf>
    <xf numFmtId="195" fontId="6" fillId="0" borderId="26" xfId="0" applyNumberFormat="1" applyFont="1" applyFill="1" applyBorder="1" applyAlignment="1">
      <alignment horizontal="center"/>
    </xf>
    <xf numFmtId="0" fontId="6" fillId="0" borderId="0" xfId="60" applyFont="1" applyFill="1" applyBorder="1" applyAlignment="1">
      <alignment horizontal="center"/>
    </xf>
    <xf numFmtId="178" fontId="6" fillId="0" borderId="29" xfId="0" applyNumberFormat="1" applyFont="1" applyFill="1" applyBorder="1" applyAlignment="1">
      <alignment horizontal="centerContinuous"/>
    </xf>
    <xf numFmtId="188" fontId="6" fillId="0" borderId="0" xfId="0" applyNumberFormat="1" applyFont="1" applyFill="1" applyBorder="1" applyAlignment="1">
      <alignment horizontal="right"/>
    </xf>
    <xf numFmtId="196" fontId="6" fillId="0" borderId="13" xfId="0" applyNumberFormat="1" applyFont="1" applyFill="1" applyBorder="1" applyAlignment="1">
      <alignment horizontal="centerContinuous"/>
    </xf>
    <xf numFmtId="196" fontId="6" fillId="0" borderId="26" xfId="0" applyNumberFormat="1" applyFont="1" applyFill="1" applyBorder="1" applyAlignment="1">
      <alignment horizontal="center"/>
    </xf>
    <xf numFmtId="41" fontId="6" fillId="0" borderId="0" xfId="0" applyNumberFormat="1" applyFont="1" applyFill="1" applyAlignment="1">
      <alignment horizontal="center"/>
    </xf>
    <xf numFmtId="0" fontId="6" fillId="0" borderId="0" xfId="0" applyFont="1" applyFill="1" applyAlignment="1">
      <alignment horizontal="center"/>
    </xf>
    <xf numFmtId="169" fontId="11" fillId="17" borderId="31" xfId="0" applyNumberFormat="1" applyFont="1" applyFill="1" applyBorder="1" applyAlignment="1">
      <alignment horizontal="center"/>
    </xf>
    <xf numFmtId="169" fontId="11" fillId="17" borderId="32" xfId="0" applyNumberFormat="1" applyFont="1" applyFill="1" applyBorder="1" applyAlignment="1">
      <alignment horizontal="center"/>
    </xf>
    <xf numFmtId="169" fontId="6" fillId="0" borderId="17" xfId="0" applyNumberFormat="1" applyFont="1" applyFill="1" applyBorder="1" applyAlignment="1">
      <alignment horizontal="right"/>
    </xf>
    <xf numFmtId="169" fontId="6" fillId="0" borderId="15" xfId="60" applyNumberFormat="1" applyFont="1" applyFill="1" applyBorder="1" applyAlignment="1">
      <alignment horizontal="center"/>
    </xf>
    <xf numFmtId="169" fontId="11" fillId="17" borderId="33" xfId="0" applyNumberFormat="1" applyFont="1" applyFill="1" applyBorder="1" applyAlignment="1">
      <alignment horizontal="center"/>
    </xf>
    <xf numFmtId="169" fontId="6" fillId="0" borderId="15" xfId="0" applyNumberFormat="1" applyFont="1" applyFill="1" applyBorder="1" applyAlignment="1">
      <alignment horizontal="right"/>
    </xf>
    <xf numFmtId="169" fontId="6" fillId="0" borderId="31" xfId="0" applyNumberFormat="1" applyFont="1" applyFill="1" applyBorder="1" applyAlignment="1">
      <alignment horizontal="center"/>
    </xf>
    <xf numFmtId="169" fontId="6" fillId="0" borderId="32" xfId="0" applyNumberFormat="1" applyFont="1" applyFill="1" applyBorder="1" applyAlignment="1">
      <alignment horizontal="center"/>
    </xf>
    <xf numFmtId="0" fontId="11" fillId="17" borderId="13" xfId="62" applyFont="1" applyFill="1" applyBorder="1" applyAlignment="1">
      <alignment vertical="center"/>
    </xf>
    <xf numFmtId="0" fontId="3" fillId="17" borderId="12" xfId="0" applyFont="1" applyFill="1" applyBorder="1"/>
    <xf numFmtId="0" fontId="3" fillId="17" borderId="13" xfId="0" applyFont="1" applyFill="1" applyBorder="1"/>
    <xf numFmtId="0" fontId="14" fillId="17" borderId="14" xfId="0" applyFont="1" applyFill="1" applyBorder="1"/>
    <xf numFmtId="0" fontId="3" fillId="17" borderId="29" xfId="0" applyFont="1" applyFill="1" applyBorder="1"/>
    <xf numFmtId="174" fontId="3" fillId="0" borderId="11" xfId="0" applyNumberFormat="1" applyFont="1" applyFill="1" applyBorder="1" applyAlignment="1">
      <alignment horizontal="right"/>
    </xf>
    <xf numFmtId="167" fontId="6" fillId="0" borderId="13" xfId="0" applyNumberFormat="1" applyFont="1" applyFill="1" applyBorder="1"/>
    <xf numFmtId="167" fontId="3" fillId="0" borderId="12" xfId="0" applyNumberFormat="1" applyFont="1" applyFill="1" applyBorder="1"/>
    <xf numFmtId="174" fontId="6" fillId="0" borderId="13" xfId="0" applyNumberFormat="1" applyFont="1" applyFill="1" applyBorder="1" applyAlignment="1">
      <alignment horizontal="right"/>
    </xf>
    <xf numFmtId="174" fontId="6" fillId="0" borderId="12" xfId="0" applyNumberFormat="1" applyFont="1" applyFill="1" applyBorder="1" applyAlignment="1">
      <alignment horizontal="right"/>
    </xf>
    <xf numFmtId="174" fontId="6" fillId="0" borderId="14" xfId="0" applyNumberFormat="1" applyFont="1" applyFill="1" applyBorder="1" applyAlignment="1">
      <alignment horizontal="right"/>
    </xf>
    <xf numFmtId="174" fontId="3" fillId="0" borderId="12" xfId="0" applyNumberFormat="1" applyFont="1" applyFill="1" applyBorder="1" applyAlignment="1">
      <alignment horizontal="right"/>
    </xf>
    <xf numFmtId="174" fontId="6" fillId="0" borderId="29" xfId="0" applyNumberFormat="1" applyFont="1" applyFill="1" applyBorder="1" applyAlignment="1">
      <alignment horizontal="right"/>
    </xf>
    <xf numFmtId="174" fontId="60" fillId="0" borderId="13" xfId="0" applyNumberFormat="1" applyFont="1" applyFill="1" applyBorder="1" applyAlignment="1">
      <alignment horizontal="right"/>
    </xf>
    <xf numFmtId="174" fontId="60" fillId="0" borderId="12" xfId="0" applyNumberFormat="1" applyFont="1" applyFill="1" applyBorder="1" applyAlignment="1">
      <alignment horizontal="right"/>
    </xf>
    <xf numFmtId="174" fontId="60" fillId="0" borderId="14" xfId="0" applyNumberFormat="1" applyFont="1" applyFill="1" applyBorder="1" applyAlignment="1">
      <alignment horizontal="right"/>
    </xf>
    <xf numFmtId="174" fontId="47" fillId="0" borderId="12" xfId="0" applyNumberFormat="1" applyFont="1" applyFill="1" applyBorder="1" applyAlignment="1">
      <alignment horizontal="right"/>
    </xf>
    <xf numFmtId="209" fontId="30" fillId="0" borderId="0" xfId="0" applyNumberFormat="1" applyFont="1" applyFill="1" applyAlignment="1">
      <alignment horizontal="center"/>
    </xf>
    <xf numFmtId="0" fontId="30" fillId="0" borderId="0" xfId="0" applyFont="1" applyFill="1" applyBorder="1"/>
    <xf numFmtId="165" fontId="11" fillId="17" borderId="13" xfId="62" applyNumberFormat="1" applyFont="1" applyFill="1" applyBorder="1" applyAlignment="1">
      <alignment vertical="center"/>
    </xf>
    <xf numFmtId="165" fontId="3" fillId="17" borderId="12" xfId="0" applyNumberFormat="1" applyFont="1" applyFill="1" applyBorder="1"/>
    <xf numFmtId="165" fontId="3" fillId="17" borderId="13" xfId="0" applyNumberFormat="1" applyFont="1" applyFill="1" applyBorder="1"/>
    <xf numFmtId="165" fontId="14" fillId="17" borderId="14" xfId="0" applyNumberFormat="1" applyFont="1" applyFill="1" applyBorder="1"/>
    <xf numFmtId="165" fontId="3" fillId="17" borderId="29" xfId="0" applyNumberFormat="1" applyFont="1" applyFill="1" applyBorder="1"/>
    <xf numFmtId="165" fontId="3" fillId="0" borderId="18" xfId="0" applyNumberFormat="1" applyFont="1" applyFill="1" applyBorder="1" applyAlignment="1">
      <alignment horizontal="left"/>
    </xf>
    <xf numFmtId="165" fontId="3" fillId="0" borderId="18" xfId="0" applyNumberFormat="1" applyFont="1" applyFill="1" applyBorder="1" applyAlignment="1">
      <alignment horizontal="right"/>
    </xf>
    <xf numFmtId="165" fontId="3" fillId="0" borderId="0" xfId="0" applyNumberFormat="1" applyFont="1" applyFill="1" applyBorder="1" applyAlignment="1">
      <alignment horizontal="right"/>
    </xf>
    <xf numFmtId="165" fontId="3" fillId="0" borderId="19" xfId="0" applyNumberFormat="1" applyFont="1" applyFill="1" applyBorder="1" applyAlignment="1">
      <alignment horizontal="right"/>
    </xf>
    <xf numFmtId="165" fontId="14" fillId="0" borderId="18" xfId="0" applyNumberFormat="1" applyFont="1" applyFill="1" applyBorder="1" applyAlignment="1">
      <alignment horizontal="right"/>
    </xf>
    <xf numFmtId="165" fontId="14" fillId="0" borderId="0" xfId="0" applyNumberFormat="1" applyFont="1" applyFill="1" applyBorder="1" applyAlignment="1">
      <alignment horizontal="right"/>
    </xf>
    <xf numFmtId="165" fontId="14" fillId="0" borderId="22" xfId="0" applyNumberFormat="1" applyFont="1" applyFill="1" applyBorder="1" applyAlignment="1">
      <alignment horizontal="right"/>
    </xf>
    <xf numFmtId="165" fontId="14" fillId="0" borderId="19" xfId="0" applyNumberFormat="1" applyFont="1" applyFill="1" applyBorder="1" applyAlignment="1">
      <alignment horizontal="right"/>
    </xf>
    <xf numFmtId="165" fontId="6" fillId="0" borderId="13" xfId="0" applyNumberFormat="1" applyFont="1" applyFill="1" applyBorder="1"/>
    <xf numFmtId="165" fontId="3" fillId="0" borderId="12" xfId="0" applyNumberFormat="1" applyFont="1" applyFill="1" applyBorder="1"/>
    <xf numFmtId="165" fontId="6" fillId="0" borderId="13" xfId="0" applyNumberFormat="1" applyFont="1" applyFill="1" applyBorder="1" applyAlignment="1">
      <alignment horizontal="right"/>
    </xf>
    <xf numFmtId="165" fontId="6" fillId="0" borderId="12" xfId="0" applyNumberFormat="1" applyFont="1" applyFill="1" applyBorder="1" applyAlignment="1">
      <alignment horizontal="right"/>
    </xf>
    <xf numFmtId="165" fontId="6" fillId="0" borderId="14" xfId="0" applyNumberFormat="1" applyFont="1" applyFill="1" applyBorder="1" applyAlignment="1">
      <alignment horizontal="right"/>
    </xf>
    <xf numFmtId="165" fontId="3" fillId="0" borderId="12" xfId="0" applyNumberFormat="1" applyFont="1" applyFill="1" applyBorder="1" applyAlignment="1">
      <alignment horizontal="right"/>
    </xf>
    <xf numFmtId="165" fontId="12" fillId="0" borderId="13" xfId="0" applyNumberFormat="1" applyFont="1" applyFill="1" applyBorder="1" applyAlignment="1">
      <alignment horizontal="right"/>
    </xf>
    <xf numFmtId="165" fontId="12" fillId="0" borderId="12" xfId="0" applyNumberFormat="1" applyFont="1" applyFill="1" applyBorder="1" applyAlignment="1">
      <alignment horizontal="right"/>
    </xf>
    <xf numFmtId="165" fontId="12" fillId="0" borderId="14" xfId="0" applyNumberFormat="1" applyFont="1" applyFill="1" applyBorder="1" applyAlignment="1">
      <alignment horizontal="right"/>
    </xf>
    <xf numFmtId="165" fontId="14" fillId="0" borderId="12" xfId="0" applyNumberFormat="1" applyFont="1" applyFill="1" applyBorder="1" applyAlignment="1">
      <alignment horizontal="right"/>
    </xf>
    <xf numFmtId="174" fontId="3" fillId="0" borderId="18" xfId="0" applyNumberFormat="1" applyFont="1" applyFill="1" applyBorder="1" applyAlignment="1">
      <alignment horizontal="left" indent="1"/>
    </xf>
    <xf numFmtId="167" fontId="3" fillId="0" borderId="18" xfId="62" applyNumberFormat="1" applyFont="1" applyFill="1" applyBorder="1" applyAlignment="1">
      <alignment horizontal="left" indent="1"/>
    </xf>
    <xf numFmtId="165" fontId="3" fillId="0" borderId="18" xfId="0" applyNumberFormat="1" applyFont="1" applyFill="1" applyBorder="1" applyAlignment="1">
      <alignment horizontal="left" indent="1"/>
    </xf>
    <xf numFmtId="165" fontId="3" fillId="0" borderId="18" xfId="62" applyNumberFormat="1" applyFont="1" applyFill="1" applyBorder="1" applyAlignment="1">
      <alignment horizontal="left" indent="1"/>
    </xf>
    <xf numFmtId="174" fontId="6" fillId="0" borderId="11" xfId="0" applyNumberFormat="1" applyFont="1" applyFill="1" applyBorder="1" applyAlignment="1">
      <alignment horizontal="right"/>
    </xf>
    <xf numFmtId="210" fontId="30" fillId="0" borderId="0" xfId="0" applyNumberFormat="1" applyFont="1" applyFill="1" applyAlignment="1">
      <alignment horizontal="center"/>
    </xf>
    <xf numFmtId="0" fontId="6" fillId="18" borderId="18" xfId="0" applyFont="1" applyFill="1" applyBorder="1" applyAlignment="1">
      <alignment horizontal="left"/>
    </xf>
    <xf numFmtId="0" fontId="6" fillId="18" borderId="19" xfId="0" applyFont="1" applyFill="1" applyBorder="1"/>
    <xf numFmtId="164" fontId="6" fillId="18" borderId="18" xfId="0" applyNumberFormat="1" applyFont="1" applyFill="1" applyBorder="1"/>
    <xf numFmtId="164" fontId="6" fillId="18" borderId="0" xfId="0" applyNumberFormat="1" applyFont="1" applyFill="1" applyBorder="1"/>
    <xf numFmtId="164" fontId="6" fillId="18" borderId="19" xfId="0" applyNumberFormat="1" applyFont="1" applyFill="1" applyBorder="1"/>
    <xf numFmtId="200" fontId="2" fillId="0" borderId="0" xfId="0" applyNumberFormat="1" applyFont="1"/>
    <xf numFmtId="164" fontId="2" fillId="0" borderId="18" xfId="0" applyNumberFormat="1" applyFont="1" applyFill="1" applyBorder="1"/>
    <xf numFmtId="164" fontId="2" fillId="0" borderId="19" xfId="0" applyNumberFormat="1" applyFont="1" applyFill="1" applyBorder="1"/>
    <xf numFmtId="165" fontId="6" fillId="0" borderId="24" xfId="0" applyNumberFormat="1" applyFont="1" applyFill="1" applyBorder="1"/>
    <xf numFmtId="165" fontId="3" fillId="0" borderId="20" xfId="0" applyNumberFormat="1" applyFont="1" applyFill="1" applyBorder="1"/>
    <xf numFmtId="165" fontId="3" fillId="0" borderId="20" xfId="0" applyNumberFormat="1" applyFont="1" applyFill="1" applyBorder="1" applyAlignment="1">
      <alignment horizontal="right"/>
    </xf>
    <xf numFmtId="165" fontId="3" fillId="0" borderId="18" xfId="69" applyNumberFormat="1" applyFont="1" applyFill="1" applyBorder="1" applyAlignment="1">
      <alignment horizontal="right"/>
    </xf>
    <xf numFmtId="43" fontId="30" fillId="0" borderId="0" xfId="36" applyNumberFormat="1" applyFont="1" applyFill="1" applyBorder="1" applyAlignment="1">
      <alignment horizontal="right"/>
    </xf>
    <xf numFmtId="172" fontId="30" fillId="0" borderId="0" xfId="36" applyNumberFormat="1" applyFont="1" applyFill="1" applyBorder="1" applyAlignment="1">
      <alignment horizontal="right"/>
    </xf>
    <xf numFmtId="169" fontId="86" fillId="20" borderId="32" xfId="0" applyNumberFormat="1" applyFont="1" applyFill="1" applyBorder="1" applyAlignment="1">
      <alignment horizontal="center"/>
    </xf>
    <xf numFmtId="174" fontId="87" fillId="0" borderId="0" xfId="36" applyNumberFormat="1" applyFont="1" applyFill="1" applyBorder="1" applyAlignment="1">
      <alignment horizontal="right"/>
    </xf>
    <xf numFmtId="174" fontId="88" fillId="0" borderId="0" xfId="0" applyNumberFormat="1" applyFont="1" applyFill="1" applyBorder="1" applyAlignment="1" applyProtection="1"/>
    <xf numFmtId="174" fontId="87" fillId="0" borderId="0" xfId="0" applyNumberFormat="1" applyFont="1" applyFill="1" applyBorder="1" applyAlignment="1" applyProtection="1"/>
    <xf numFmtId="174" fontId="87" fillId="0" borderId="0" xfId="36" applyNumberFormat="1" applyFont="1" applyFill="1" applyBorder="1" applyAlignment="1"/>
    <xf numFmtId="174" fontId="87" fillId="0" borderId="20" xfId="36" applyNumberFormat="1" applyFont="1" applyFill="1" applyBorder="1" applyAlignment="1"/>
    <xf numFmtId="7" fontId="87" fillId="0" borderId="0" xfId="36" applyNumberFormat="1" applyFont="1" applyFill="1" applyBorder="1"/>
    <xf numFmtId="168" fontId="41" fillId="0" borderId="0" xfId="36" applyNumberFormat="1" applyFont="1" applyFill="1" applyBorder="1" applyAlignment="1">
      <alignment horizontal="right"/>
    </xf>
    <xf numFmtId="174" fontId="87" fillId="0" borderId="0" xfId="0" applyNumberFormat="1" applyFont="1" applyFill="1" applyAlignment="1">
      <alignment horizontal="right"/>
    </xf>
    <xf numFmtId="169" fontId="86" fillId="20" borderId="30" xfId="0" applyNumberFormat="1" applyFont="1" applyFill="1" applyBorder="1" applyAlignment="1">
      <alignment horizontal="center"/>
    </xf>
    <xf numFmtId="165" fontId="87" fillId="0" borderId="0" xfId="0" applyNumberFormat="1" applyFont="1" applyFill="1" applyBorder="1"/>
    <xf numFmtId="186" fontId="37" fillId="0" borderId="0" xfId="0" applyNumberFormat="1" applyFont="1"/>
    <xf numFmtId="174" fontId="2" fillId="0" borderId="19" xfId="0" applyNumberFormat="1" applyFont="1" applyFill="1" applyBorder="1" applyAlignment="1">
      <alignment horizontal="right"/>
    </xf>
    <xf numFmtId="43" fontId="87" fillId="0" borderId="0" xfId="0" applyNumberFormat="1" applyFont="1" applyFill="1" applyBorder="1"/>
    <xf numFmtId="0" fontId="41" fillId="0" borderId="19" xfId="0" applyFont="1" applyFill="1" applyBorder="1"/>
    <xf numFmtId="168" fontId="7" fillId="0" borderId="0" xfId="0" applyNumberFormat="1" applyFont="1" applyFill="1" applyBorder="1"/>
    <xf numFmtId="164" fontId="2" fillId="0" borderId="0" xfId="0" applyNumberFormat="1" applyFont="1"/>
    <xf numFmtId="9" fontId="44" fillId="0" borderId="0" xfId="69" applyFont="1" applyFill="1"/>
    <xf numFmtId="43" fontId="44" fillId="0" borderId="0" xfId="36" applyNumberFormat="1" applyFont="1" applyFill="1" applyBorder="1"/>
    <xf numFmtId="194" fontId="2" fillId="0" borderId="19" xfId="0" applyNumberFormat="1" applyFont="1" applyFill="1" applyBorder="1" applyAlignment="1" applyProtection="1">
      <alignment horizontal="right"/>
    </xf>
    <xf numFmtId="0" fontId="11" fillId="0" borderId="0" xfId="61" applyFont="1" applyFill="1" applyBorder="1" applyAlignment="1">
      <alignment horizontal="left"/>
    </xf>
    <xf numFmtId="0" fontId="6" fillId="21" borderId="0" xfId="0" applyFont="1" applyFill="1" applyBorder="1"/>
    <xf numFmtId="169" fontId="11" fillId="21" borderId="0" xfId="0" applyNumberFormat="1" applyFont="1" applyFill="1" applyBorder="1" applyAlignment="1" applyProtection="1">
      <alignment horizontal="center"/>
    </xf>
    <xf numFmtId="165" fontId="2" fillId="0" borderId="0" xfId="0" applyNumberFormat="1" applyFont="1" applyFill="1" applyBorder="1" applyAlignment="1">
      <alignment horizontal="left"/>
    </xf>
    <xf numFmtId="199" fontId="2" fillId="0" borderId="0" xfId="0" applyNumberFormat="1" applyFont="1" applyFill="1" applyBorder="1" applyAlignment="1">
      <alignment horizontal="center"/>
    </xf>
    <xf numFmtId="165" fontId="6" fillId="0" borderId="0" xfId="0" applyNumberFormat="1" applyFont="1" applyFill="1" applyBorder="1" applyAlignment="1">
      <alignment horizontal="left"/>
    </xf>
    <xf numFmtId="199" fontId="6" fillId="0" borderId="0" xfId="0" applyNumberFormat="1" applyFont="1" applyFill="1" applyBorder="1" applyAlignment="1">
      <alignment horizontal="center"/>
    </xf>
    <xf numFmtId="199" fontId="2" fillId="23" borderId="0" xfId="0" applyNumberFormat="1" applyFont="1" applyFill="1" applyBorder="1" applyAlignment="1">
      <alignment horizontal="left"/>
    </xf>
    <xf numFmtId="199" fontId="2" fillId="23" borderId="0" xfId="0" applyNumberFormat="1" applyFont="1" applyFill="1" applyBorder="1" applyAlignment="1">
      <alignment horizontal="center"/>
    </xf>
    <xf numFmtId="0" fontId="7" fillId="0" borderId="22" xfId="0" applyFont="1" applyBorder="1"/>
    <xf numFmtId="0" fontId="7" fillId="0" borderId="18" xfId="0" applyFont="1" applyBorder="1"/>
    <xf numFmtId="0" fontId="2" fillId="0" borderId="18" xfId="0" applyFont="1" applyFill="1" applyBorder="1" applyAlignment="1">
      <alignment horizontal="left"/>
    </xf>
    <xf numFmtId="0" fontId="2" fillId="0" borderId="24" xfId="0" applyFont="1" applyFill="1" applyBorder="1" applyAlignment="1">
      <alignment horizontal="left"/>
    </xf>
    <xf numFmtId="165" fontId="2" fillId="0" borderId="18" xfId="0" applyNumberFormat="1" applyFont="1" applyFill="1" applyBorder="1" applyAlignment="1">
      <alignment horizontal="right"/>
    </xf>
    <xf numFmtId="165" fontId="2" fillId="0" borderId="19" xfId="0" applyNumberFormat="1" applyFont="1" applyFill="1" applyBorder="1" applyAlignment="1">
      <alignment horizontal="right"/>
    </xf>
    <xf numFmtId="165" fontId="2" fillId="0" borderId="24" xfId="0" applyNumberFormat="1" applyFont="1" applyFill="1" applyBorder="1" applyAlignment="1">
      <alignment horizontal="right"/>
    </xf>
    <xf numFmtId="165" fontId="2" fillId="0" borderId="20" xfId="0" applyNumberFormat="1" applyFont="1" applyFill="1" applyBorder="1" applyAlignment="1">
      <alignment horizontal="right"/>
    </xf>
    <xf numFmtId="165" fontId="2" fillId="0" borderId="25" xfId="0" applyNumberFormat="1" applyFont="1" applyFill="1" applyBorder="1" applyAlignment="1">
      <alignment horizontal="right"/>
    </xf>
    <xf numFmtId="0" fontId="41" fillId="0" borderId="0" xfId="0" applyFont="1" applyFill="1" applyBorder="1" applyAlignment="1">
      <alignment horizontal="center"/>
    </xf>
    <xf numFmtId="164" fontId="87" fillId="0" borderId="22" xfId="0" applyNumberFormat="1" applyFont="1" applyBorder="1"/>
    <xf numFmtId="164" fontId="87" fillId="0" borderId="23" xfId="0" applyNumberFormat="1" applyFont="1" applyBorder="1"/>
    <xf numFmtId="164" fontId="87" fillId="0" borderId="18" xfId="0" applyNumberFormat="1" applyFont="1" applyBorder="1"/>
    <xf numFmtId="164" fontId="87" fillId="0" borderId="0" xfId="0" applyNumberFormat="1" applyFont="1" applyBorder="1"/>
    <xf numFmtId="174" fontId="2" fillId="0" borderId="26" xfId="36" applyNumberFormat="1" applyFont="1" applyBorder="1"/>
    <xf numFmtId="174" fontId="2" fillId="0" borderId="19" xfId="36" applyNumberFormat="1" applyFont="1" applyBorder="1"/>
    <xf numFmtId="164" fontId="87" fillId="0" borderId="23" xfId="0" applyNumberFormat="1" applyFont="1" applyFill="1" applyBorder="1"/>
    <xf numFmtId="164" fontId="87" fillId="0" borderId="0" xfId="0" applyNumberFormat="1" applyFont="1" applyFill="1" applyBorder="1"/>
    <xf numFmtId="174" fontId="87" fillId="0" borderId="26" xfId="36" applyNumberFormat="1" applyFont="1" applyBorder="1"/>
    <xf numFmtId="174" fontId="87" fillId="0" borderId="19" xfId="36" applyNumberFormat="1" applyFont="1" applyBorder="1"/>
    <xf numFmtId="164" fontId="87" fillId="0" borderId="22" xfId="0" applyNumberFormat="1" applyFont="1" applyBorder="1" applyAlignment="1">
      <alignment horizontal="center"/>
    </xf>
    <xf numFmtId="164" fontId="87" fillId="0" borderId="23" xfId="0" applyNumberFormat="1" applyFont="1" applyBorder="1" applyAlignment="1">
      <alignment horizontal="center"/>
    </xf>
    <xf numFmtId="174" fontId="2" fillId="0" borderId="26" xfId="36" applyNumberFormat="1" applyFont="1" applyBorder="1" applyAlignment="1">
      <alignment horizontal="center"/>
    </xf>
    <xf numFmtId="164" fontId="87" fillId="0" borderId="18" xfId="0" applyNumberFormat="1" applyFont="1" applyBorder="1" applyAlignment="1">
      <alignment horizontal="center"/>
    </xf>
    <xf numFmtId="164" fontId="87" fillId="0" borderId="0" xfId="0" applyNumberFormat="1" applyFont="1" applyBorder="1" applyAlignment="1">
      <alignment horizontal="center"/>
    </xf>
    <xf numFmtId="174" fontId="2" fillId="0" borderId="19" xfId="36" applyNumberFormat="1" applyFont="1" applyBorder="1" applyAlignment="1">
      <alignment horizontal="center"/>
    </xf>
    <xf numFmtId="205" fontId="2" fillId="0" borderId="0" xfId="0" applyNumberFormat="1" applyFont="1"/>
    <xf numFmtId="43" fontId="2" fillId="0" borderId="0" xfId="36" applyFont="1"/>
    <xf numFmtId="165" fontId="2" fillId="0" borderId="18" xfId="0" applyNumberFormat="1" applyFont="1" applyFill="1" applyBorder="1" applyAlignment="1">
      <alignment horizontal="left"/>
    </xf>
    <xf numFmtId="165" fontId="14" fillId="0" borderId="0" xfId="0" quotePrefix="1" applyNumberFormat="1" applyFont="1" applyFill="1" applyBorder="1" applyAlignment="1">
      <alignment horizontal="right"/>
    </xf>
    <xf numFmtId="165" fontId="14" fillId="0" borderId="0" xfId="0" quotePrefix="1" applyNumberFormat="1" applyFont="1" applyFill="1" applyBorder="1" applyAlignment="1">
      <alignment horizontal="left"/>
    </xf>
    <xf numFmtId="165" fontId="14" fillId="0" borderId="18" xfId="0" applyNumberFormat="1" applyFont="1" applyFill="1" applyBorder="1" applyAlignment="1">
      <alignment horizontal="left"/>
    </xf>
    <xf numFmtId="165" fontId="14" fillId="0" borderId="24" xfId="0" applyNumberFormat="1" applyFont="1" applyFill="1" applyBorder="1" applyAlignment="1">
      <alignment horizontal="right"/>
    </xf>
    <xf numFmtId="165" fontId="14" fillId="0" borderId="20" xfId="0" applyNumberFormat="1" applyFont="1" applyFill="1" applyBorder="1" applyAlignment="1">
      <alignment horizontal="right"/>
    </xf>
    <xf numFmtId="165" fontId="14" fillId="0" borderId="20" xfId="0" quotePrefix="1" applyNumberFormat="1" applyFont="1" applyFill="1" applyBorder="1" applyAlignment="1">
      <alignment horizontal="right"/>
    </xf>
    <xf numFmtId="165" fontId="14" fillId="0" borderId="25" xfId="0" applyNumberFormat="1" applyFont="1" applyFill="1" applyBorder="1" applyAlignment="1">
      <alignment horizontal="right"/>
    </xf>
    <xf numFmtId="165" fontId="14" fillId="0" borderId="18" xfId="0" quotePrefix="1" applyNumberFormat="1" applyFont="1" applyFill="1" applyBorder="1" applyAlignment="1">
      <alignment horizontal="right"/>
    </xf>
    <xf numFmtId="165" fontId="14" fillId="0" borderId="24" xfId="0" quotePrefix="1" applyNumberFormat="1" applyFont="1" applyFill="1" applyBorder="1" applyAlignment="1">
      <alignment horizontal="right"/>
    </xf>
    <xf numFmtId="165" fontId="14" fillId="0" borderId="20" xfId="0" applyNumberFormat="1" applyFont="1" applyFill="1" applyBorder="1" applyAlignment="1">
      <alignment horizontal="left"/>
    </xf>
    <xf numFmtId="165" fontId="14" fillId="0" borderId="0" xfId="0" applyNumberFormat="1" applyFont="1" applyFill="1" applyBorder="1" applyAlignment="1">
      <alignment horizontal="left"/>
    </xf>
    <xf numFmtId="165" fontId="14" fillId="0" borderId="18" xfId="0" quotePrefix="1" applyNumberFormat="1" applyFont="1" applyFill="1" applyBorder="1" applyAlignment="1">
      <alignment horizontal="left"/>
    </xf>
    <xf numFmtId="165" fontId="14" fillId="0" borderId="24" xfId="0" quotePrefix="1" applyNumberFormat="1" applyFont="1" applyFill="1" applyBorder="1" applyAlignment="1">
      <alignment horizontal="left"/>
    </xf>
    <xf numFmtId="165" fontId="14" fillId="0" borderId="21" xfId="0" quotePrefix="1" applyNumberFormat="1" applyFont="1" applyFill="1" applyBorder="1" applyAlignment="1">
      <alignment horizontal="right"/>
    </xf>
    <xf numFmtId="165" fontId="2" fillId="0" borderId="25" xfId="0" quotePrefix="1" applyNumberFormat="1" applyFont="1" applyFill="1" applyBorder="1" applyAlignment="1">
      <alignment horizontal="right"/>
    </xf>
    <xf numFmtId="0" fontId="20" fillId="0" borderId="0" xfId="0" applyFont="1" applyFill="1" applyBorder="1"/>
    <xf numFmtId="9" fontId="20" fillId="0" borderId="0" xfId="0" applyNumberFormat="1" applyFont="1" applyFill="1" applyBorder="1" applyAlignment="1">
      <alignment horizontal="center"/>
    </xf>
    <xf numFmtId="169" fontId="16" fillId="0" borderId="0" xfId="61" applyNumberFormat="1" applyFont="1" applyFill="1" applyBorder="1" applyAlignment="1">
      <alignment horizontal="center"/>
    </xf>
    <xf numFmtId="169" fontId="11" fillId="17" borderId="22" xfId="0" applyNumberFormat="1" applyFont="1" applyFill="1" applyBorder="1" applyAlignment="1" applyProtection="1">
      <alignment horizontal="center"/>
    </xf>
    <xf numFmtId="169" fontId="11" fillId="17" borderId="23" xfId="0" applyNumberFormat="1" applyFont="1" applyFill="1" applyBorder="1" applyAlignment="1" applyProtection="1">
      <alignment horizontal="center"/>
    </xf>
    <xf numFmtId="169" fontId="6" fillId="0" borderId="19" xfId="0" applyNumberFormat="1" applyFont="1" applyFill="1" applyBorder="1" applyAlignment="1" applyProtection="1">
      <alignment horizontal="right"/>
    </xf>
    <xf numFmtId="169" fontId="6" fillId="0" borderId="0" xfId="60" applyNumberFormat="1" applyFont="1" applyFill="1" applyBorder="1" applyAlignment="1" applyProtection="1">
      <alignment horizontal="center"/>
    </xf>
    <xf numFmtId="169" fontId="6" fillId="0" borderId="0" xfId="0" applyNumberFormat="1" applyFont="1" applyFill="1" applyBorder="1" applyAlignment="1" applyProtection="1">
      <alignment horizontal="right"/>
    </xf>
    <xf numFmtId="169" fontId="6" fillId="0" borderId="23" xfId="0" applyNumberFormat="1" applyFont="1" applyFill="1" applyBorder="1" applyAlignment="1" applyProtection="1">
      <alignment horizontal="center"/>
    </xf>
    <xf numFmtId="169" fontId="6" fillId="0" borderId="22" xfId="0" applyNumberFormat="1" applyFont="1" applyFill="1" applyBorder="1" applyAlignment="1" applyProtection="1">
      <alignment horizontal="center"/>
    </xf>
    <xf numFmtId="165" fontId="14" fillId="0" borderId="18" xfId="69" applyNumberFormat="1" applyFont="1" applyFill="1" applyBorder="1" applyAlignment="1">
      <alignment horizontal="center"/>
    </xf>
    <xf numFmtId="165" fontId="14" fillId="0" borderId="0" xfId="69" applyNumberFormat="1" applyFont="1" applyFill="1" applyBorder="1" applyAlignment="1">
      <alignment horizontal="center"/>
    </xf>
    <xf numFmtId="165" fontId="14" fillId="0" borderId="24" xfId="0" applyNumberFormat="1" applyFont="1" applyFill="1" applyBorder="1" applyAlignment="1">
      <alignment horizontal="center"/>
    </xf>
    <xf numFmtId="165" fontId="14" fillId="0" borderId="20" xfId="0" applyNumberFormat="1" applyFont="1" applyFill="1" applyBorder="1" applyAlignment="1">
      <alignment horizontal="center"/>
    </xf>
    <xf numFmtId="164" fontId="7" fillId="0" borderId="0" xfId="0" applyNumberFormat="1" applyFont="1"/>
    <xf numFmtId="1" fontId="7" fillId="0" borderId="0" xfId="0" applyNumberFormat="1" applyFont="1"/>
    <xf numFmtId="0" fontId="2" fillId="0" borderId="0" xfId="0" applyFont="1" applyAlignment="1">
      <alignment horizontal="right"/>
    </xf>
    <xf numFmtId="0" fontId="6" fillId="0" borderId="18" xfId="61" applyFont="1" applyFill="1" applyBorder="1" applyAlignment="1">
      <alignment horizontal="left"/>
    </xf>
    <xf numFmtId="169" fontId="6" fillId="0" borderId="0" xfId="61" applyNumberFormat="1" applyFont="1" applyFill="1" applyBorder="1" applyAlignment="1">
      <alignment horizontal="center"/>
    </xf>
    <xf numFmtId="165" fontId="2" fillId="0" borderId="18" xfId="69" applyNumberFormat="1" applyFont="1" applyBorder="1"/>
    <xf numFmtId="43" fontId="11" fillId="24" borderId="22" xfId="36" applyFont="1" applyFill="1" applyBorder="1"/>
    <xf numFmtId="43" fontId="11" fillId="24" borderId="23" xfId="36" applyFont="1" applyFill="1" applyBorder="1"/>
    <xf numFmtId="43" fontId="23" fillId="24" borderId="23" xfId="36" applyFont="1" applyFill="1" applyBorder="1"/>
    <xf numFmtId="43" fontId="11" fillId="24" borderId="27" xfId="36" applyFont="1" applyFill="1" applyBorder="1" applyAlignment="1">
      <alignment horizontal="right"/>
    </xf>
    <xf numFmtId="43" fontId="16" fillId="24" borderId="23" xfId="36" applyFont="1" applyFill="1" applyBorder="1"/>
    <xf numFmtId="43" fontId="11" fillId="24" borderId="0" xfId="36" applyFont="1" applyFill="1" applyBorder="1" applyAlignment="1">
      <alignment horizontal="right"/>
    </xf>
    <xf numFmtId="169" fontId="11" fillId="24" borderId="0" xfId="36" applyNumberFormat="1" applyFont="1" applyFill="1" applyBorder="1" applyAlignment="1">
      <alignment horizontal="right"/>
    </xf>
    <xf numFmtId="165" fontId="11" fillId="24" borderId="0" xfId="36" applyNumberFormat="1" applyFont="1" applyFill="1" applyBorder="1" applyAlignment="1">
      <alignment horizontal="right"/>
    </xf>
    <xf numFmtId="170" fontId="14" fillId="0" borderId="0" xfId="36" applyNumberFormat="1" applyFont="1" applyFill="1" applyBorder="1" applyAlignment="1">
      <alignment horizontal="right" indent="1"/>
    </xf>
    <xf numFmtId="170" fontId="14" fillId="0" borderId="0" xfId="36" applyNumberFormat="1" applyFont="1" applyFill="1" applyBorder="1" applyAlignment="1">
      <alignment horizontal="right"/>
    </xf>
    <xf numFmtId="170" fontId="14" fillId="0" borderId="18" xfId="36" applyNumberFormat="1" applyFont="1" applyFill="1" applyBorder="1" applyAlignment="1">
      <alignment horizontal="right" indent="1"/>
    </xf>
    <xf numFmtId="170" fontId="3" fillId="0" borderId="19" xfId="36" applyNumberFormat="1" applyFont="1" applyFill="1" applyBorder="1" applyAlignment="1">
      <alignment horizontal="right" indent="1"/>
    </xf>
    <xf numFmtId="170" fontId="14" fillId="0" borderId="24" xfId="36" applyNumberFormat="1" applyFont="1" applyFill="1" applyBorder="1" applyAlignment="1">
      <alignment horizontal="right" indent="1"/>
    </xf>
    <xf numFmtId="170" fontId="14" fillId="0" borderId="20" xfId="36" applyNumberFormat="1" applyFont="1" applyFill="1" applyBorder="1" applyAlignment="1">
      <alignment horizontal="right" indent="1"/>
    </xf>
    <xf numFmtId="170" fontId="14" fillId="0" borderId="25" xfId="36" applyNumberFormat="1" applyFont="1" applyFill="1" applyBorder="1" applyAlignment="1">
      <alignment horizontal="right" indent="1"/>
    </xf>
    <xf numFmtId="170" fontId="14" fillId="0" borderId="20" xfId="36" applyNumberFormat="1" applyFont="1" applyFill="1" applyBorder="1"/>
    <xf numFmtId="174" fontId="14" fillId="0" borderId="24" xfId="36" applyNumberFormat="1" applyFont="1" applyFill="1" applyBorder="1"/>
    <xf numFmtId="174" fontId="14" fillId="0" borderId="20" xfId="36" applyNumberFormat="1" applyFont="1" applyFill="1" applyBorder="1"/>
    <xf numFmtId="174" fontId="3" fillId="0" borderId="20" xfId="36" applyNumberFormat="1" applyFont="1" applyFill="1" applyBorder="1"/>
    <xf numFmtId="174" fontId="14" fillId="0" borderId="20" xfId="0" applyNumberFormat="1" applyFont="1" applyFill="1" applyBorder="1"/>
    <xf numFmtId="174" fontId="14" fillId="0" borderId="25" xfId="36" applyNumberFormat="1" applyFont="1" applyFill="1" applyBorder="1"/>
    <xf numFmtId="174" fontId="3" fillId="0" borderId="25" xfId="36" applyNumberFormat="1" applyFont="1" applyFill="1" applyBorder="1"/>
    <xf numFmtId="174" fontId="3" fillId="0" borderId="24" xfId="36" applyNumberFormat="1" applyFont="1" applyFill="1" applyBorder="1"/>
    <xf numFmtId="43" fontId="23" fillId="0" borderId="20" xfId="36" applyFont="1" applyFill="1" applyBorder="1" applyAlignment="1">
      <alignment horizontal="left" indent="1"/>
    </xf>
    <xf numFmtId="43" fontId="30" fillId="0" borderId="20" xfId="36" applyFont="1" applyFill="1" applyBorder="1"/>
    <xf numFmtId="170" fontId="30" fillId="0" borderId="20" xfId="36" applyNumberFormat="1" applyFont="1" applyFill="1" applyBorder="1"/>
    <xf numFmtId="170" fontId="23" fillId="0" borderId="20" xfId="36" applyNumberFormat="1" applyFont="1" applyFill="1" applyBorder="1" applyAlignment="1">
      <alignment horizontal="left" indent="1"/>
    </xf>
    <xf numFmtId="165" fontId="30" fillId="0" borderId="20" xfId="36" applyNumberFormat="1" applyFont="1" applyFill="1" applyBorder="1"/>
    <xf numFmtId="165" fontId="30" fillId="0" borderId="20" xfId="69" applyNumberFormat="1" applyFont="1" applyFill="1" applyBorder="1"/>
    <xf numFmtId="204" fontId="30" fillId="0" borderId="20" xfId="36" applyNumberFormat="1" applyFont="1" applyFill="1" applyBorder="1"/>
    <xf numFmtId="44" fontId="12" fillId="0" borderId="25" xfId="0" applyNumberFormat="1" applyFont="1" applyFill="1" applyBorder="1"/>
    <xf numFmtId="44" fontId="6" fillId="0" borderId="20" xfId="38" applyNumberFormat="1" applyFont="1" applyFill="1" applyBorder="1" applyAlignment="1">
      <alignment horizontal="right"/>
    </xf>
    <xf numFmtId="44" fontId="6" fillId="0" borderId="21" xfId="38" applyNumberFormat="1" applyFont="1" applyFill="1" applyBorder="1" applyAlignment="1">
      <alignment horizontal="right"/>
    </xf>
    <xf numFmtId="44" fontId="6" fillId="0" borderId="25" xfId="38" applyNumberFormat="1" applyFont="1" applyFill="1" applyBorder="1" applyAlignment="1">
      <alignment horizontal="right"/>
    </xf>
    <xf numFmtId="44" fontId="12" fillId="0" borderId="25" xfId="0" applyNumberFormat="1" applyFont="1" applyFill="1" applyBorder="1" applyAlignment="1">
      <alignment horizontal="right"/>
    </xf>
    <xf numFmtId="44" fontId="12" fillId="0" borderId="24" xfId="0" applyNumberFormat="1" applyFont="1" applyFill="1" applyBorder="1" applyAlignment="1">
      <alignment horizontal="right"/>
    </xf>
    <xf numFmtId="44" fontId="6" fillId="0" borderId="24" xfId="38" applyNumberFormat="1" applyFont="1" applyFill="1" applyBorder="1" applyAlignment="1">
      <alignment horizontal="right"/>
    </xf>
    <xf numFmtId="44" fontId="4" fillId="0" borderId="24" xfId="0" applyNumberFormat="1" applyFont="1" applyFill="1" applyBorder="1" applyAlignment="1">
      <alignment horizontal="right"/>
    </xf>
    <xf numFmtId="165" fontId="2" fillId="0" borderId="0" xfId="69" applyNumberFormat="1" applyFont="1" applyFill="1" applyBorder="1" applyAlignment="1">
      <alignment horizontal="right"/>
    </xf>
    <xf numFmtId="165" fontId="2" fillId="0" borderId="18" xfId="69" applyNumberFormat="1" applyFont="1" applyFill="1" applyBorder="1" applyAlignment="1">
      <alignment horizontal="right"/>
    </xf>
    <xf numFmtId="165" fontId="2" fillId="0" borderId="19" xfId="69" applyNumberFormat="1" applyFont="1" applyFill="1" applyBorder="1" applyAlignment="1">
      <alignment horizontal="right"/>
    </xf>
    <xf numFmtId="43" fontId="14" fillId="0" borderId="0" xfId="36" applyFont="1" applyFill="1" applyBorder="1" applyAlignment="1">
      <alignment horizontal="right"/>
    </xf>
    <xf numFmtId="43" fontId="7" fillId="0" borderId="0" xfId="36" applyFont="1" applyFill="1" applyBorder="1" applyAlignment="1">
      <alignment horizontal="right"/>
    </xf>
    <xf numFmtId="165" fontId="14" fillId="0" borderId="18" xfId="69" applyNumberFormat="1" applyFont="1" applyFill="1" applyBorder="1" applyAlignment="1">
      <alignment horizontal="right"/>
    </xf>
    <xf numFmtId="9" fontId="2" fillId="0" borderId="0" xfId="69" applyFont="1" applyFill="1" applyBorder="1" applyAlignment="1">
      <alignment horizontal="right"/>
    </xf>
    <xf numFmtId="43" fontId="2" fillId="0" borderId="0" xfId="36" applyFont="1" applyFill="1" applyBorder="1" applyAlignment="1">
      <alignment horizontal="right"/>
    </xf>
    <xf numFmtId="43" fontId="2" fillId="0" borderId="18" xfId="36" applyFont="1" applyFill="1" applyBorder="1" applyAlignment="1">
      <alignment horizontal="right"/>
    </xf>
    <xf numFmtId="165" fontId="2" fillId="0" borderId="18" xfId="36" applyNumberFormat="1" applyFont="1" applyFill="1" applyBorder="1" applyAlignment="1">
      <alignment horizontal="right"/>
    </xf>
    <xf numFmtId="165" fontId="2" fillId="0" borderId="0" xfId="36" applyNumberFormat="1" applyFont="1" applyFill="1" applyBorder="1" applyAlignment="1">
      <alignment horizontal="right"/>
    </xf>
    <xf numFmtId="43" fontId="11" fillId="24" borderId="23" xfId="36" applyFont="1" applyFill="1" applyBorder="1" applyAlignment="1">
      <alignment horizontal="right"/>
    </xf>
    <xf numFmtId="43" fontId="14" fillId="0" borderId="18" xfId="36" applyFont="1" applyFill="1" applyBorder="1" applyAlignment="1">
      <alignment horizontal="right"/>
    </xf>
    <xf numFmtId="43" fontId="14" fillId="0" borderId="20" xfId="36" applyFont="1" applyFill="1" applyBorder="1" applyAlignment="1">
      <alignment horizontal="right"/>
    </xf>
    <xf numFmtId="43" fontId="14" fillId="0" borderId="24" xfId="36" applyFont="1" applyFill="1" applyBorder="1" applyAlignment="1">
      <alignment horizontal="right"/>
    </xf>
    <xf numFmtId="165" fontId="2" fillId="0" borderId="25" xfId="69" applyNumberFormat="1" applyFont="1" applyFill="1" applyBorder="1" applyAlignment="1">
      <alignment horizontal="right"/>
    </xf>
    <xf numFmtId="165" fontId="2" fillId="0" borderId="24" xfId="69" applyNumberFormat="1" applyFont="1" applyFill="1" applyBorder="1" applyAlignment="1">
      <alignment horizontal="right"/>
    </xf>
    <xf numFmtId="165" fontId="2" fillId="0" borderId="20" xfId="69" applyNumberFormat="1" applyFont="1" applyFill="1" applyBorder="1" applyAlignment="1">
      <alignment horizontal="right"/>
    </xf>
    <xf numFmtId="43" fontId="7" fillId="0" borderId="20" xfId="36" applyFont="1" applyFill="1" applyBorder="1" applyAlignment="1">
      <alignment horizontal="right"/>
    </xf>
    <xf numFmtId="174" fontId="2" fillId="0" borderId="11" xfId="36" applyNumberFormat="1" applyFont="1" applyFill="1" applyBorder="1" applyAlignment="1">
      <alignment horizontal="right"/>
    </xf>
    <xf numFmtId="174" fontId="2" fillId="0" borderId="19" xfId="36" applyNumberFormat="1" applyFont="1" applyFill="1" applyBorder="1" applyAlignment="1">
      <alignment horizontal="right"/>
    </xf>
    <xf numFmtId="167" fontId="14" fillId="16" borderId="19" xfId="0" applyNumberFormat="1" applyFont="1" applyFill="1" applyBorder="1"/>
    <xf numFmtId="167" fontId="2" fillId="0" borderId="18" xfId="36" applyNumberFormat="1" applyFont="1" applyFill="1" applyBorder="1" applyAlignment="1">
      <alignment horizontal="right"/>
    </xf>
    <xf numFmtId="167" fontId="2" fillId="0" borderId="0" xfId="36" applyNumberFormat="1" applyFont="1" applyFill="1" applyBorder="1" applyAlignment="1">
      <alignment horizontal="right"/>
    </xf>
    <xf numFmtId="167" fontId="2" fillId="0" borderId="19" xfId="36" applyNumberFormat="1" applyFont="1" applyFill="1" applyBorder="1" applyAlignment="1">
      <alignment horizontal="right"/>
    </xf>
    <xf numFmtId="167" fontId="14" fillId="0" borderId="19" xfId="0" applyNumberFormat="1" applyFont="1" applyFill="1" applyBorder="1" applyAlignment="1">
      <alignment horizontal="right"/>
    </xf>
    <xf numFmtId="167" fontId="2" fillId="0" borderId="11" xfId="36" applyNumberFormat="1" applyFont="1" applyFill="1" applyBorder="1" applyAlignment="1">
      <alignment horizontal="right"/>
    </xf>
    <xf numFmtId="174" fontId="2" fillId="0" borderId="18" xfId="36" applyNumberFormat="1" applyFont="1" applyFill="1" applyBorder="1" applyAlignment="1">
      <alignment horizontal="right"/>
    </xf>
    <xf numFmtId="174" fontId="2" fillId="0" borderId="0" xfId="36" applyNumberFormat="1" applyFont="1" applyFill="1" applyBorder="1" applyAlignment="1">
      <alignment horizontal="right"/>
    </xf>
    <xf numFmtId="167" fontId="6" fillId="0" borderId="19" xfId="38" applyNumberFormat="1" applyFont="1" applyFill="1" applyBorder="1" applyAlignment="1">
      <alignment horizontal="right"/>
    </xf>
    <xf numFmtId="167" fontId="6" fillId="0" borderId="0" xfId="38" applyNumberFormat="1" applyFont="1" applyFill="1" applyBorder="1" applyAlignment="1">
      <alignment horizontal="right"/>
    </xf>
    <xf numFmtId="167" fontId="6" fillId="0" borderId="11" xfId="38" applyNumberFormat="1" applyFont="1" applyFill="1" applyBorder="1" applyAlignment="1">
      <alignment horizontal="right"/>
    </xf>
    <xf numFmtId="167" fontId="6" fillId="0" borderId="18" xfId="38" applyNumberFormat="1" applyFont="1" applyFill="1" applyBorder="1" applyAlignment="1">
      <alignment horizontal="right"/>
    </xf>
    <xf numFmtId="174" fontId="2" fillId="0" borderId="20" xfId="0" applyNumberFormat="1" applyFont="1" applyFill="1" applyBorder="1"/>
    <xf numFmtId="174" fontId="14" fillId="16" borderId="25" xfId="0" applyNumberFormat="1" applyFont="1" applyFill="1" applyBorder="1"/>
    <xf numFmtId="174" fontId="14" fillId="0" borderId="24" xfId="36" applyNumberFormat="1" applyFont="1" applyFill="1" applyBorder="1" applyAlignment="1">
      <alignment horizontal="right"/>
    </xf>
    <xf numFmtId="174" fontId="14" fillId="0" borderId="20" xfId="36" applyNumberFormat="1" applyFont="1" applyFill="1" applyBorder="1" applyAlignment="1">
      <alignment horizontal="right"/>
    </xf>
    <xf numFmtId="174" fontId="14" fillId="0" borderId="21" xfId="36" applyNumberFormat="1" applyFont="1" applyFill="1" applyBorder="1" applyAlignment="1">
      <alignment horizontal="right"/>
    </xf>
    <xf numFmtId="174" fontId="2" fillId="0" borderId="21" xfId="36" applyNumberFormat="1" applyFont="1" applyFill="1" applyBorder="1" applyAlignment="1">
      <alignment horizontal="right"/>
    </xf>
    <xf numFmtId="174" fontId="14" fillId="0" borderId="25" xfId="0" applyNumberFormat="1" applyFont="1" applyFill="1" applyBorder="1" applyAlignment="1">
      <alignment horizontal="right"/>
    </xf>
    <xf numFmtId="174" fontId="2" fillId="0" borderId="25" xfId="36" applyNumberFormat="1" applyFont="1" applyFill="1" applyBorder="1" applyAlignment="1">
      <alignment horizontal="right"/>
    </xf>
    <xf numFmtId="185" fontId="14" fillId="0" borderId="20" xfId="36" applyNumberFormat="1" applyFont="1" applyFill="1" applyBorder="1" applyAlignment="1">
      <alignment horizontal="right"/>
    </xf>
    <xf numFmtId="185" fontId="14" fillId="0" borderId="21" xfId="36" applyNumberFormat="1" applyFont="1" applyFill="1" applyBorder="1" applyAlignment="1">
      <alignment horizontal="right"/>
    </xf>
    <xf numFmtId="185" fontId="2" fillId="0" borderId="25" xfId="36" applyNumberFormat="1" applyFont="1" applyFill="1" applyBorder="1" applyAlignment="1">
      <alignment horizontal="right"/>
    </xf>
    <xf numFmtId="185" fontId="7" fillId="0" borderId="24" xfId="0" applyNumberFormat="1" applyFont="1" applyFill="1" applyBorder="1" applyAlignment="1">
      <alignment horizontal="right"/>
    </xf>
    <xf numFmtId="185" fontId="87" fillId="0" borderId="20" xfId="36" applyNumberFormat="1" applyFont="1" applyFill="1" applyBorder="1" applyAlignment="1">
      <alignment horizontal="right"/>
    </xf>
    <xf numFmtId="185" fontId="2" fillId="0" borderId="20" xfId="36" applyNumberFormat="1" applyFont="1" applyFill="1" applyBorder="1" applyAlignment="1">
      <alignment horizontal="right"/>
    </xf>
    <xf numFmtId="185" fontId="2" fillId="0" borderId="24" xfId="36" applyNumberFormat="1" applyFont="1" applyFill="1" applyBorder="1" applyAlignment="1">
      <alignment horizontal="right"/>
    </xf>
    <xf numFmtId="165" fontId="61" fillId="0" borderId="0" xfId="69" applyNumberFormat="1" applyFont="1" applyFill="1" applyBorder="1" applyAlignment="1">
      <alignment horizontal="right"/>
    </xf>
    <xf numFmtId="174" fontId="3" fillId="0" borderId="19" xfId="0" applyNumberFormat="1" applyFont="1" applyFill="1" applyBorder="1" applyAlignment="1">
      <alignment horizontal="left" indent="1"/>
    </xf>
    <xf numFmtId="167" fontId="6" fillId="0" borderId="19" xfId="0" applyNumberFormat="1" applyFont="1" applyFill="1" applyBorder="1"/>
    <xf numFmtId="165" fontId="3" fillId="0" borderId="19" xfId="0" applyNumberFormat="1" applyFont="1" applyFill="1" applyBorder="1" applyAlignment="1">
      <alignment horizontal="left"/>
    </xf>
    <xf numFmtId="165" fontId="3" fillId="0" borderId="19" xfId="0" applyNumberFormat="1" applyFont="1" applyFill="1" applyBorder="1" applyAlignment="1">
      <alignment horizontal="left" indent="1"/>
    </xf>
    <xf numFmtId="165" fontId="6" fillId="0" borderId="25" xfId="0" applyNumberFormat="1" applyFont="1" applyFill="1" applyBorder="1"/>
    <xf numFmtId="0" fontId="7" fillId="0" borderId="18" xfId="0" applyFont="1" applyFill="1" applyBorder="1" applyAlignment="1">
      <alignment horizontal="left" indent="2"/>
    </xf>
    <xf numFmtId="0" fontId="2" fillId="0" borderId="18" xfId="0" applyFont="1" applyFill="1" applyBorder="1" applyAlignment="1">
      <alignment horizontal="left" indent="2"/>
    </xf>
    <xf numFmtId="174" fontId="91" fillId="0" borderId="0" xfId="0" applyNumberFormat="1" applyFont="1" applyFill="1" applyBorder="1" applyAlignment="1">
      <alignment horizontal="right"/>
    </xf>
    <xf numFmtId="165" fontId="91" fillId="0" borderId="0" xfId="0" applyNumberFormat="1" applyFont="1" applyFill="1" applyBorder="1"/>
    <xf numFmtId="0" fontId="6" fillId="0" borderId="0" xfId="52" applyFont="1" applyFill="1" applyBorder="1" applyAlignment="1" applyProtection="1">
      <alignment horizontal="left"/>
    </xf>
    <xf numFmtId="0" fontId="6" fillId="0" borderId="20" xfId="52" applyFont="1" applyFill="1" applyBorder="1" applyAlignment="1" applyProtection="1">
      <alignment horizontal="left"/>
    </xf>
    <xf numFmtId="0" fontId="9" fillId="0" borderId="0" xfId="54" applyFont="1" applyFill="1" applyBorder="1" applyAlignment="1" applyProtection="1">
      <alignment horizontal="left"/>
    </xf>
    <xf numFmtId="44" fontId="3" fillId="0" borderId="0" xfId="0" applyNumberFormat="1" applyFont="1"/>
    <xf numFmtId="4" fontId="30" fillId="0" borderId="20" xfId="36" applyNumberFormat="1" applyFont="1" applyFill="1" applyBorder="1"/>
    <xf numFmtId="174" fontId="2" fillId="0" borderId="15" xfId="36" applyNumberFormat="1" applyFont="1" applyFill="1" applyBorder="1"/>
    <xf numFmtId="174" fontId="2" fillId="0" borderId="17" xfId="36" applyNumberFormat="1" applyFont="1" applyFill="1" applyBorder="1"/>
    <xf numFmtId="174" fontId="2" fillId="0" borderId="12" xfId="0" applyNumberFormat="1" applyFont="1" applyFill="1" applyBorder="1"/>
    <xf numFmtId="174" fontId="2" fillId="0" borderId="14" xfId="36" applyNumberFormat="1" applyFont="1" applyFill="1" applyBorder="1"/>
    <xf numFmtId="44" fontId="2" fillId="0" borderId="12" xfId="38" applyFont="1" applyFill="1" applyBorder="1"/>
    <xf numFmtId="44" fontId="2" fillId="0" borderId="14" xfId="38" applyFont="1" applyFill="1" applyBorder="1"/>
    <xf numFmtId="174" fontId="6" fillId="0" borderId="0" xfId="0" applyNumberFormat="1" applyFont="1" applyFill="1" applyBorder="1" applyAlignment="1" applyProtection="1"/>
    <xf numFmtId="174" fontId="9" fillId="0" borderId="0" xfId="0" applyNumberFormat="1" applyFont="1" applyFill="1" applyBorder="1" applyAlignment="1" applyProtection="1"/>
    <xf numFmtId="174" fontId="6" fillId="0" borderId="12" xfId="0" applyNumberFormat="1" applyFont="1" applyFill="1" applyBorder="1" applyAlignment="1" applyProtection="1">
      <alignment vertical="center"/>
    </xf>
    <xf numFmtId="174" fontId="6" fillId="0" borderId="0" xfId="0" applyNumberFormat="1" applyFont="1" applyFill="1" applyBorder="1" applyAlignment="1" applyProtection="1">
      <alignment vertical="center"/>
    </xf>
    <xf numFmtId="174" fontId="6" fillId="0" borderId="19" xfId="0" applyNumberFormat="1" applyFont="1" applyFill="1" applyBorder="1" applyAlignment="1" applyProtection="1">
      <alignment vertical="center"/>
    </xf>
    <xf numFmtId="174" fontId="6" fillId="0" borderId="19" xfId="0" applyNumberFormat="1" applyFont="1" applyFill="1" applyBorder="1" applyAlignment="1" applyProtection="1"/>
    <xf numFmtId="174" fontId="6" fillId="0" borderId="14" xfId="0" applyNumberFormat="1" applyFont="1" applyFill="1" applyBorder="1" applyAlignment="1" applyProtection="1">
      <alignment vertical="center"/>
    </xf>
    <xf numFmtId="174" fontId="6" fillId="0" borderId="12" xfId="0" applyNumberFormat="1" applyFont="1" applyFill="1" applyBorder="1" applyAlignment="1" applyProtection="1"/>
    <xf numFmtId="39" fontId="6" fillId="0" borderId="14" xfId="0" applyNumberFormat="1" applyFont="1" applyFill="1" applyBorder="1" applyAlignment="1" applyProtection="1"/>
    <xf numFmtId="174" fontId="14" fillId="0" borderId="0" xfId="0" applyNumberFormat="1" applyFont="1" applyFill="1" applyBorder="1" applyAlignment="1" applyProtection="1"/>
    <xf numFmtId="174" fontId="6" fillId="0" borderId="32" xfId="0" applyNumberFormat="1" applyFont="1" applyFill="1" applyBorder="1" applyAlignment="1" applyProtection="1"/>
    <xf numFmtId="174" fontId="6" fillId="0" borderId="57" xfId="0" applyNumberFormat="1" applyFont="1" applyFill="1" applyBorder="1" applyAlignment="1" applyProtection="1"/>
    <xf numFmtId="174" fontId="6" fillId="0" borderId="20" xfId="59" applyNumberFormat="1" applyFont="1" applyFill="1" applyBorder="1" applyAlignment="1" applyProtection="1">
      <protection locked="0"/>
    </xf>
    <xf numFmtId="174" fontId="6" fillId="0" borderId="25" xfId="59" applyNumberFormat="1" applyFont="1" applyFill="1" applyBorder="1" applyAlignment="1" applyProtection="1">
      <protection locked="0"/>
    </xf>
    <xf numFmtId="174" fontId="7" fillId="0" borderId="0" xfId="36" applyNumberFormat="1" applyFont="1" applyFill="1" applyBorder="1" applyAlignment="1"/>
    <xf numFmtId="174" fontId="7" fillId="0" borderId="19" xfId="0" applyNumberFormat="1" applyFont="1" applyFill="1" applyBorder="1" applyAlignment="1"/>
    <xf numFmtId="174" fontId="4" fillId="0" borderId="0" xfId="36" applyNumberFormat="1" applyFont="1" applyFill="1" applyBorder="1" applyAlignment="1"/>
    <xf numFmtId="7" fontId="7" fillId="0" borderId="19" xfId="0" applyNumberFormat="1" applyFont="1" applyFill="1" applyBorder="1"/>
    <xf numFmtId="170" fontId="7" fillId="0" borderId="0" xfId="36" applyNumberFormat="1" applyFont="1" applyFill="1" applyBorder="1"/>
    <xf numFmtId="165" fontId="14" fillId="0" borderId="0" xfId="69" applyNumberFormat="1" applyFont="1" applyFill="1" applyBorder="1" applyAlignment="1" applyProtection="1">
      <alignment horizontal="right"/>
    </xf>
    <xf numFmtId="165" fontId="14" fillId="0" borderId="19" xfId="69" applyNumberFormat="1" applyFont="1" applyFill="1" applyBorder="1" applyAlignment="1" applyProtection="1">
      <alignment horizontal="right"/>
    </xf>
    <xf numFmtId="165" fontId="14" fillId="0" borderId="19" xfId="69" applyNumberFormat="1" applyFont="1" applyFill="1" applyBorder="1"/>
    <xf numFmtId="43" fontId="7" fillId="0" borderId="0" xfId="36" applyNumberFormat="1" applyFont="1" applyFill="1" applyBorder="1"/>
    <xf numFmtId="170" fontId="7" fillId="0" borderId="20" xfId="36" applyNumberFormat="1" applyFont="1" applyFill="1" applyBorder="1"/>
    <xf numFmtId="170" fontId="7" fillId="0" borderId="25" xfId="36" applyNumberFormat="1" applyFont="1" applyFill="1" applyBorder="1"/>
    <xf numFmtId="170" fontId="7" fillId="17" borderId="0" xfId="36" applyNumberFormat="1" applyFont="1" applyFill="1" applyBorder="1"/>
    <xf numFmtId="0" fontId="7" fillId="17" borderId="19" xfId="0" applyFont="1" applyFill="1" applyBorder="1"/>
    <xf numFmtId="9" fontId="2" fillId="0" borderId="0" xfId="69" applyNumberFormat="1" applyFont="1" applyFill="1" applyBorder="1" applyAlignment="1">
      <alignment horizontal="right"/>
    </xf>
    <xf numFmtId="174" fontId="2" fillId="0" borderId="0" xfId="64" applyNumberFormat="1" applyFont="1" applyFill="1" applyBorder="1" applyAlignment="1" applyProtection="1">
      <alignment horizontal="center"/>
    </xf>
    <xf numFmtId="195" fontId="6" fillId="0" borderId="22" xfId="0" applyNumberFormat="1" applyFont="1" applyFill="1" applyBorder="1" applyAlignment="1">
      <alignment horizontal="centerContinuous"/>
    </xf>
    <xf numFmtId="195" fontId="6" fillId="0" borderId="12" xfId="0" applyNumberFormat="1" applyFont="1" applyFill="1" applyBorder="1" applyAlignment="1">
      <alignment horizontal="centerContinuous"/>
    </xf>
    <xf numFmtId="169" fontId="11" fillId="17" borderId="37" xfId="0" applyNumberFormat="1" applyFont="1" applyFill="1" applyBorder="1" applyAlignment="1">
      <alignment horizontal="right"/>
    </xf>
    <xf numFmtId="0" fontId="6" fillId="0" borderId="38" xfId="0" applyNumberFormat="1" applyFont="1" applyFill="1" applyBorder="1" applyAlignment="1">
      <alignment horizontal="right"/>
    </xf>
    <xf numFmtId="174" fontId="6" fillId="0" borderId="43" xfId="0" applyNumberFormat="1" applyFont="1" applyFill="1" applyBorder="1" applyAlignment="1">
      <alignment horizontal="right"/>
    </xf>
    <xf numFmtId="174" fontId="6" fillId="0" borderId="45" xfId="0" applyNumberFormat="1" applyFont="1" applyFill="1" applyBorder="1" applyAlignment="1">
      <alignment horizontal="right"/>
    </xf>
    <xf numFmtId="41" fontId="92" fillId="0" borderId="36" xfId="0" applyNumberFormat="1" applyFont="1" applyFill="1" applyBorder="1" applyAlignment="1" applyProtection="1">
      <alignment horizontal="left"/>
    </xf>
    <xf numFmtId="41" fontId="93" fillId="0" borderId="36" xfId="0" applyNumberFormat="1" applyFont="1" applyFill="1" applyBorder="1" applyAlignment="1">
      <alignment horizontal="right"/>
    </xf>
    <xf numFmtId="41" fontId="92" fillId="0" borderId="36" xfId="0" applyNumberFormat="1" applyFont="1" applyFill="1" applyBorder="1" applyAlignment="1" applyProtection="1">
      <alignment horizontal="right"/>
    </xf>
    <xf numFmtId="194" fontId="93" fillId="0" borderId="36" xfId="0" applyNumberFormat="1" applyFont="1" applyFill="1" applyBorder="1" applyAlignment="1">
      <alignment horizontal="right"/>
    </xf>
    <xf numFmtId="213" fontId="93" fillId="0" borderId="36" xfId="0" applyNumberFormat="1" applyFont="1" applyFill="1" applyBorder="1" applyAlignment="1">
      <alignment horizontal="right"/>
    </xf>
    <xf numFmtId="165" fontId="3" fillId="0" borderId="24" xfId="0" applyNumberFormat="1" applyFont="1" applyFill="1" applyBorder="1" applyAlignment="1">
      <alignment horizontal="right"/>
    </xf>
    <xf numFmtId="165" fontId="3" fillId="0" borderId="25" xfId="0" applyNumberFormat="1" applyFont="1" applyFill="1" applyBorder="1" applyAlignment="1">
      <alignment horizontal="right"/>
    </xf>
    <xf numFmtId="174" fontId="2" fillId="0" borderId="25" xfId="0" applyNumberFormat="1" applyFont="1" applyFill="1" applyBorder="1"/>
    <xf numFmtId="41" fontId="6" fillId="0" borderId="19" xfId="0" applyNumberFormat="1" applyFont="1" applyFill="1" applyBorder="1" applyAlignment="1">
      <alignment horizontal="left" indent="1"/>
    </xf>
    <xf numFmtId="41" fontId="3" fillId="0" borderId="19" xfId="0" applyNumberFormat="1" applyFont="1" applyFill="1" applyBorder="1" applyAlignment="1">
      <alignment horizontal="left" indent="2"/>
    </xf>
    <xf numFmtId="167" fontId="2" fillId="0" borderId="19" xfId="0" applyNumberFormat="1" applyFont="1" applyFill="1" applyBorder="1" applyAlignment="1">
      <alignment horizontal="left"/>
    </xf>
    <xf numFmtId="0" fontId="3" fillId="0" borderId="19" xfId="0" applyNumberFormat="1" applyFont="1" applyFill="1" applyBorder="1" applyAlignment="1">
      <alignment horizontal="left"/>
    </xf>
    <xf numFmtId="0" fontId="6" fillId="0" borderId="25" xfId="0" applyNumberFormat="1" applyFont="1" applyFill="1" applyBorder="1" applyAlignment="1">
      <alignment horizontal="left"/>
    </xf>
    <xf numFmtId="41" fontId="3" fillId="0" borderId="19" xfId="0" applyNumberFormat="1" applyFont="1" applyFill="1" applyBorder="1" applyAlignment="1">
      <alignment horizontal="left" indent="1"/>
    </xf>
    <xf numFmtId="167" fontId="6" fillId="0" borderId="19" xfId="0" applyNumberFormat="1" applyFont="1" applyFill="1" applyBorder="1" applyAlignment="1">
      <alignment horizontal="left"/>
    </xf>
    <xf numFmtId="41" fontId="3" fillId="0" borderId="19" xfId="0" applyNumberFormat="1" applyFont="1" applyFill="1" applyBorder="1" applyAlignment="1">
      <alignment horizontal="left"/>
    </xf>
    <xf numFmtId="41" fontId="9" fillId="0" borderId="19" xfId="0" applyNumberFormat="1" applyFont="1" applyFill="1" applyBorder="1" applyAlignment="1">
      <alignment horizontal="left" indent="1"/>
    </xf>
    <xf numFmtId="41" fontId="6" fillId="0" borderId="19" xfId="0" applyNumberFormat="1" applyFont="1" applyFill="1" applyBorder="1" applyAlignment="1">
      <alignment horizontal="left"/>
    </xf>
    <xf numFmtId="41" fontId="6" fillId="0" borderId="25" xfId="0" applyNumberFormat="1" applyFont="1" applyFill="1" applyBorder="1" applyAlignment="1">
      <alignment horizontal="left"/>
    </xf>
    <xf numFmtId="167" fontId="47" fillId="0" borderId="18" xfId="36" applyNumberFormat="1" applyFont="1" applyFill="1" applyBorder="1" applyAlignment="1">
      <alignment horizontal="right"/>
    </xf>
    <xf numFmtId="167" fontId="47" fillId="0" borderId="0" xfId="36" applyNumberFormat="1" applyFont="1" applyFill="1" applyBorder="1" applyAlignment="1">
      <alignment horizontal="right"/>
    </xf>
    <xf numFmtId="169" fontId="6" fillId="0" borderId="25" xfId="0" applyNumberFormat="1" applyFont="1" applyFill="1" applyBorder="1" applyAlignment="1" applyProtection="1">
      <alignment horizontal="right"/>
    </xf>
    <xf numFmtId="169" fontId="6" fillId="0" borderId="20" xfId="0" applyNumberFormat="1" applyFont="1" applyFill="1" applyBorder="1" applyAlignment="1" applyProtection="1">
      <alignment horizontal="right"/>
    </xf>
    <xf numFmtId="169" fontId="11" fillId="17" borderId="13" xfId="0" applyNumberFormat="1" applyFont="1" applyFill="1" applyBorder="1" applyAlignment="1" applyProtection="1">
      <alignment horizontal="center"/>
    </xf>
    <xf numFmtId="169" fontId="11" fillId="17" borderId="12" xfId="0" applyNumberFormat="1" applyFont="1" applyFill="1" applyBorder="1" applyAlignment="1" applyProtection="1">
      <alignment horizontal="center"/>
    </xf>
    <xf numFmtId="169" fontId="86" fillId="20" borderId="12" xfId="0" applyNumberFormat="1" applyFont="1" applyFill="1" applyBorder="1" applyAlignment="1" applyProtection="1">
      <alignment horizontal="center"/>
    </xf>
    <xf numFmtId="169" fontId="6" fillId="0" borderId="13" xfId="0" applyNumberFormat="1" applyFont="1" applyFill="1" applyBorder="1" applyAlignment="1" applyProtection="1">
      <alignment horizontal="center"/>
    </xf>
    <xf numFmtId="169" fontId="6" fillId="0" borderId="12" xfId="0" applyNumberFormat="1" applyFont="1" applyFill="1" applyBorder="1" applyAlignment="1" applyProtection="1">
      <alignment horizontal="center"/>
    </xf>
    <xf numFmtId="169" fontId="6" fillId="0" borderId="29" xfId="0" applyNumberFormat="1" applyFont="1" applyFill="1" applyBorder="1" applyAlignment="1" applyProtection="1">
      <alignment horizontal="center"/>
    </xf>
    <xf numFmtId="165" fontId="9" fillId="0" borderId="18" xfId="74" applyNumberFormat="1" applyFont="1" applyFill="1" applyBorder="1" applyAlignment="1">
      <alignment horizontal="left" indent="2"/>
      <protection locked="0"/>
    </xf>
    <xf numFmtId="165" fontId="7" fillId="0" borderId="0" xfId="0" applyNumberFormat="1" applyFont="1" applyFill="1" applyBorder="1"/>
    <xf numFmtId="165" fontId="9" fillId="0" borderId="0" xfId="74" applyNumberFormat="1" applyFont="1" applyFill="1" applyBorder="1" applyAlignment="1">
      <alignment horizontal="right" indent="2"/>
      <protection locked="0"/>
    </xf>
    <xf numFmtId="165" fontId="62" fillId="0" borderId="0" xfId="74" applyNumberFormat="1" applyFont="1" applyFill="1" applyBorder="1" applyAlignment="1">
      <alignment horizontal="right" indent="2"/>
      <protection locked="0"/>
    </xf>
    <xf numFmtId="165" fontId="7" fillId="0" borderId="0" xfId="0" applyNumberFormat="1" applyFont="1"/>
    <xf numFmtId="41" fontId="2" fillId="0" borderId="0" xfId="0" applyNumberFormat="1" applyFont="1" applyFill="1" applyBorder="1" applyAlignment="1" applyProtection="1">
      <alignment horizontal="left" indent="1"/>
    </xf>
    <xf numFmtId="10" fontId="7" fillId="0" borderId="0" xfId="0" applyNumberFormat="1" applyFont="1" applyFill="1" applyBorder="1"/>
    <xf numFmtId="43" fontId="11" fillId="24" borderId="11" xfId="36" applyFont="1" applyFill="1" applyBorder="1" applyAlignment="1">
      <alignment horizontal="right"/>
    </xf>
    <xf numFmtId="169" fontId="11" fillId="24" borderId="23" xfId="36" applyNumberFormat="1" applyFont="1" applyFill="1" applyBorder="1" applyAlignment="1">
      <alignment horizontal="right"/>
    </xf>
    <xf numFmtId="165" fontId="11" fillId="24" borderId="23" xfId="36" applyNumberFormat="1" applyFont="1" applyFill="1" applyBorder="1" applyAlignment="1">
      <alignment horizontal="right"/>
    </xf>
    <xf numFmtId="43" fontId="11" fillId="24" borderId="18" xfId="36" applyFont="1" applyFill="1" applyBorder="1"/>
    <xf numFmtId="43" fontId="23" fillId="24" borderId="0" xfId="36" applyFont="1" applyFill="1" applyBorder="1" applyAlignment="1">
      <alignment horizontal="right"/>
    </xf>
    <xf numFmtId="43" fontId="11" fillId="24" borderId="18" xfId="36" applyFont="1" applyFill="1" applyBorder="1" applyAlignment="1">
      <alignment horizontal="right"/>
    </xf>
    <xf numFmtId="43" fontId="16" fillId="24" borderId="0" xfId="36" applyFont="1" applyFill="1" applyBorder="1" applyAlignment="1">
      <alignment horizontal="right"/>
    </xf>
    <xf numFmtId="174" fontId="3" fillId="0" borderId="22" xfId="62" applyNumberFormat="1" applyFont="1" applyFill="1" applyBorder="1" applyProtection="1"/>
    <xf numFmtId="37" fontId="9" fillId="0" borderId="18" xfId="63" applyNumberFormat="1" applyFont="1" applyFill="1" applyBorder="1" applyAlignment="1">
      <alignment horizontal="left" indent="1"/>
    </xf>
    <xf numFmtId="7" fontId="9" fillId="0" borderId="18" xfId="63" applyNumberFormat="1" applyFont="1" applyFill="1" applyBorder="1" applyAlignment="1">
      <alignment horizontal="left" indent="1"/>
    </xf>
    <xf numFmtId="165" fontId="3" fillId="0" borderId="24" xfId="0" applyNumberFormat="1" applyFont="1" applyFill="1" applyBorder="1"/>
    <xf numFmtId="43" fontId="92" fillId="0" borderId="0" xfId="36" applyFont="1" applyFill="1" applyBorder="1"/>
    <xf numFmtId="165" fontId="14" fillId="0" borderId="0" xfId="0" applyNumberFormat="1" applyFont="1" applyFill="1" applyBorder="1"/>
    <xf numFmtId="0" fontId="2" fillId="0" borderId="26" xfId="0" applyFont="1" applyFill="1" applyBorder="1"/>
    <xf numFmtId="174" fontId="2" fillId="0" borderId="22" xfId="0" applyNumberFormat="1" applyFont="1" applyFill="1" applyBorder="1"/>
    <xf numFmtId="174" fontId="2" fillId="0" borderId="23" xfId="0" applyNumberFormat="1" applyFont="1" applyFill="1" applyBorder="1"/>
    <xf numFmtId="174" fontId="2" fillId="0" borderId="26" xfId="0" applyNumberFormat="1" applyFont="1" applyFill="1" applyBorder="1"/>
    <xf numFmtId="174" fontId="2" fillId="0" borderId="27" xfId="0" applyNumberFormat="1" applyFont="1" applyFill="1" applyBorder="1"/>
    <xf numFmtId="9" fontId="59" fillId="17" borderId="0" xfId="69" applyFont="1" applyFill="1" applyAlignment="1">
      <alignment horizontal="center" vertical="center"/>
    </xf>
    <xf numFmtId="43" fontId="93" fillId="0" borderId="0" xfId="36" applyNumberFormat="1" applyFont="1" applyFill="1" applyBorder="1"/>
    <xf numFmtId="165" fontId="93" fillId="0" borderId="0" xfId="0" applyNumberFormat="1" applyFont="1" applyFill="1" applyBorder="1"/>
    <xf numFmtId="0" fontId="94" fillId="0" borderId="0" xfId="0" applyFont="1" applyFill="1" applyBorder="1"/>
    <xf numFmtId="170" fontId="94" fillId="0" borderId="0" xfId="36" applyNumberFormat="1" applyFont="1" applyFill="1" applyBorder="1"/>
    <xf numFmtId="170" fontId="94" fillId="0" borderId="0" xfId="36" applyNumberFormat="1" applyFont="1"/>
    <xf numFmtId="165" fontId="94" fillId="0" borderId="36" xfId="69" applyNumberFormat="1" applyFont="1" applyFill="1" applyBorder="1"/>
    <xf numFmtId="174" fontId="43" fillId="0" borderId="26" xfId="0" applyNumberFormat="1" applyFont="1" applyFill="1" applyBorder="1"/>
    <xf numFmtId="174" fontId="14" fillId="0" borderId="18" xfId="0" applyNumberFormat="1" applyFont="1" applyFill="1" applyBorder="1"/>
    <xf numFmtId="174" fontId="3" fillId="0" borderId="18" xfId="0" applyNumberFormat="1" applyFont="1" applyFill="1" applyBorder="1"/>
    <xf numFmtId="174" fontId="43" fillId="0" borderId="19" xfId="0" applyNumberFormat="1" applyFont="1" applyFill="1" applyBorder="1"/>
    <xf numFmtId="174" fontId="3" fillId="22" borderId="19" xfId="0" applyNumberFormat="1" applyFont="1" applyFill="1" applyBorder="1"/>
    <xf numFmtId="10" fontId="59" fillId="17" borderId="0" xfId="69" applyNumberFormat="1" applyFont="1" applyFill="1" applyAlignment="1">
      <alignment horizontal="center" vertical="center"/>
    </xf>
    <xf numFmtId="174" fontId="2" fillId="0" borderId="11" xfId="0" applyNumberFormat="1" applyFont="1" applyFill="1" applyBorder="1"/>
    <xf numFmtId="165" fontId="24" fillId="0" borderId="11" xfId="0" applyNumberFormat="1" applyFont="1" applyFill="1" applyBorder="1"/>
    <xf numFmtId="185" fontId="87" fillId="0" borderId="24" xfId="36" applyNumberFormat="1" applyFont="1" applyFill="1" applyBorder="1" applyAlignment="1">
      <alignment horizontal="right"/>
    </xf>
    <xf numFmtId="174" fontId="87" fillId="0" borderId="24" xfId="36" applyNumberFormat="1" applyFont="1" applyFill="1" applyBorder="1"/>
    <xf numFmtId="165" fontId="87" fillId="0" borderId="18" xfId="0" applyNumberFormat="1" applyFont="1" applyFill="1" applyBorder="1"/>
    <xf numFmtId="10" fontId="7" fillId="0" borderId="0" xfId="36" applyNumberFormat="1" applyFont="1" applyFill="1" applyBorder="1"/>
    <xf numFmtId="165" fontId="14" fillId="0" borderId="18" xfId="0" applyNumberFormat="1" applyFont="1" applyFill="1" applyBorder="1"/>
    <xf numFmtId="4" fontId="2" fillId="0" borderId="36" xfId="69" applyNumberFormat="1" applyFont="1" applyFill="1" applyBorder="1"/>
    <xf numFmtId="165" fontId="2" fillId="0" borderId="36" xfId="69" applyNumberFormat="1" applyFont="1" applyFill="1" applyBorder="1"/>
    <xf numFmtId="0" fontId="92" fillId="0" borderId="0" xfId="0" applyFont="1" applyFill="1" applyAlignment="1">
      <alignment horizontal="center"/>
    </xf>
    <xf numFmtId="174" fontId="14" fillId="0" borderId="18" xfId="0" applyNumberFormat="1" applyFont="1" applyFill="1" applyBorder="1" applyAlignment="1" applyProtection="1"/>
    <xf numFmtId="174" fontId="12" fillId="0" borderId="18" xfId="0" applyNumberFormat="1" applyFont="1" applyFill="1" applyBorder="1" applyAlignment="1" applyProtection="1"/>
    <xf numFmtId="174" fontId="6" fillId="0" borderId="18" xfId="0" applyNumberFormat="1" applyFont="1" applyFill="1" applyBorder="1" applyAlignment="1" applyProtection="1"/>
    <xf numFmtId="174" fontId="9" fillId="0" borderId="18" xfId="0" applyNumberFormat="1" applyFont="1" applyFill="1" applyBorder="1" applyAlignment="1" applyProtection="1"/>
    <xf numFmtId="174" fontId="6" fillId="0" borderId="13" xfId="0" applyNumberFormat="1" applyFont="1" applyFill="1" applyBorder="1" applyAlignment="1" applyProtection="1">
      <alignment vertical="center"/>
    </xf>
    <xf numFmtId="174" fontId="6" fillId="0" borderId="18" xfId="0" applyNumberFormat="1" applyFont="1" applyFill="1" applyBorder="1" applyAlignment="1" applyProtection="1">
      <alignment vertical="center"/>
    </xf>
    <xf numFmtId="174" fontId="6" fillId="0" borderId="13" xfId="0" applyNumberFormat="1" applyFont="1" applyFill="1" applyBorder="1" applyAlignment="1" applyProtection="1"/>
    <xf numFmtId="174" fontId="14" fillId="0" borderId="0" xfId="36" applyNumberFormat="1" applyFont="1" applyFill="1" applyBorder="1" applyAlignment="1"/>
    <xf numFmtId="174" fontId="14" fillId="0" borderId="20" xfId="36" applyNumberFormat="1" applyFont="1" applyFill="1" applyBorder="1" applyAlignment="1"/>
    <xf numFmtId="7" fontId="14" fillId="0" borderId="0" xfId="38" applyNumberFormat="1" applyFont="1" applyFill="1" applyBorder="1"/>
    <xf numFmtId="43" fontId="2" fillId="0" borderId="0" xfId="36" applyFont="1" applyFill="1" applyBorder="1"/>
    <xf numFmtId="174" fontId="14" fillId="0" borderId="42" xfId="0" applyNumberFormat="1" applyFont="1" applyFill="1" applyBorder="1" applyAlignment="1">
      <alignment horizontal="right"/>
    </xf>
    <xf numFmtId="165" fontId="14" fillId="0" borderId="22" xfId="0" quotePrefix="1" applyNumberFormat="1" applyFont="1" applyFill="1" applyBorder="1" applyAlignment="1">
      <alignment horizontal="right"/>
    </xf>
    <xf numFmtId="41" fontId="92" fillId="0" borderId="0" xfId="0" applyNumberFormat="1" applyFont="1" applyFill="1" applyBorder="1" applyAlignment="1" applyProtection="1">
      <alignment horizontal="left"/>
    </xf>
    <xf numFmtId="0" fontId="6" fillId="0" borderId="26" xfId="0" applyFont="1" applyFill="1" applyBorder="1" applyAlignment="1" applyProtection="1">
      <alignment horizontal="left"/>
    </xf>
    <xf numFmtId="0" fontId="3" fillId="0" borderId="19" xfId="0" applyFont="1" applyFill="1" applyBorder="1" applyAlignment="1" applyProtection="1">
      <alignment horizontal="left"/>
    </xf>
    <xf numFmtId="0" fontId="6" fillId="0" borderId="14" xfId="0" applyFont="1" applyFill="1" applyBorder="1" applyAlignment="1" applyProtection="1">
      <alignment horizontal="left"/>
    </xf>
    <xf numFmtId="0" fontId="3" fillId="0" borderId="19" xfId="64" applyFont="1" applyFill="1" applyBorder="1"/>
    <xf numFmtId="0" fontId="6" fillId="0" borderId="14" xfId="64" applyFont="1" applyFill="1" applyBorder="1" applyAlignment="1" applyProtection="1">
      <alignment horizontal="left"/>
    </xf>
    <xf numFmtId="178" fontId="43" fillId="0" borderId="26" xfId="0" applyNumberFormat="1" applyFont="1" applyFill="1" applyBorder="1" applyAlignment="1" applyProtection="1">
      <alignment horizontal="left"/>
    </xf>
    <xf numFmtId="178" fontId="2" fillId="0" borderId="19" xfId="0" applyNumberFormat="1" applyFont="1" applyFill="1" applyBorder="1" applyAlignment="1" applyProtection="1">
      <alignment horizontal="left" indent="1"/>
    </xf>
    <xf numFmtId="178" fontId="43" fillId="0" borderId="19" xfId="0" applyNumberFormat="1" applyFont="1" applyFill="1" applyBorder="1" applyAlignment="1" applyProtection="1">
      <alignment horizontal="left"/>
    </xf>
    <xf numFmtId="178" fontId="43" fillId="0" borderId="14" xfId="0" applyNumberFormat="1" applyFont="1" applyFill="1" applyBorder="1" applyAlignment="1" applyProtection="1">
      <alignment horizontal="left" vertical="center"/>
    </xf>
    <xf numFmtId="178" fontId="43" fillId="0" borderId="19" xfId="0" applyNumberFormat="1" applyFont="1" applyFill="1" applyBorder="1" applyAlignment="1" applyProtection="1">
      <alignment horizontal="left" vertical="center"/>
    </xf>
    <xf numFmtId="178" fontId="2" fillId="0" borderId="19" xfId="0" applyNumberFormat="1" applyFont="1" applyFill="1" applyBorder="1" applyAlignment="1" applyProtection="1">
      <alignment horizontal="left"/>
    </xf>
    <xf numFmtId="44" fontId="11" fillId="17" borderId="23" xfId="38" applyFont="1" applyFill="1" applyBorder="1"/>
    <xf numFmtId="174" fontId="87" fillId="0" borderId="18" xfId="0" applyNumberFormat="1" applyFont="1" applyFill="1" applyBorder="1" applyAlignment="1">
      <alignment horizontal="right"/>
    </xf>
    <xf numFmtId="174" fontId="87" fillId="0" borderId="0" xfId="0" applyNumberFormat="1" applyFont="1" applyFill="1" applyBorder="1" applyAlignment="1">
      <alignment horizontal="right"/>
    </xf>
    <xf numFmtId="174" fontId="87" fillId="0" borderId="59" xfId="0" applyNumberFormat="1" applyFont="1" applyFill="1" applyBorder="1" applyAlignment="1">
      <alignment horizontal="right"/>
    </xf>
    <xf numFmtId="164" fontId="2" fillId="25" borderId="18" xfId="55" applyNumberFormat="1" applyFont="1" applyFill="1" applyBorder="1"/>
    <xf numFmtId="41" fontId="14" fillId="25" borderId="0" xfId="0" applyNumberFormat="1" applyFont="1" applyFill="1" applyBorder="1"/>
    <xf numFmtId="41" fontId="14" fillId="25" borderId="0" xfId="55" applyNumberFormat="1" applyFont="1" applyFill="1" applyBorder="1"/>
    <xf numFmtId="41" fontId="7" fillId="25" borderId="0" xfId="0" applyNumberFormat="1" applyFont="1" applyFill="1" applyBorder="1"/>
    <xf numFmtId="41" fontId="2" fillId="25" borderId="0" xfId="55" applyNumberFormat="1" applyFont="1" applyFill="1" applyBorder="1"/>
    <xf numFmtId="164" fontId="3" fillId="25" borderId="24" xfId="55" applyNumberFormat="1" applyFont="1" applyFill="1" applyBorder="1"/>
    <xf numFmtId="41" fontId="4" fillId="25" borderId="20" xfId="0" applyNumberFormat="1" applyFont="1" applyFill="1" applyBorder="1"/>
    <xf numFmtId="41" fontId="3" fillId="25" borderId="20" xfId="55" applyNumberFormat="1" applyFont="1" applyFill="1" applyBorder="1"/>
    <xf numFmtId="41" fontId="2" fillId="25" borderId="19" xfId="0" applyNumberFormat="1" applyFont="1" applyFill="1" applyBorder="1"/>
    <xf numFmtId="194" fontId="2" fillId="25" borderId="25" xfId="0" applyNumberFormat="1" applyFont="1" applyFill="1" applyBorder="1"/>
    <xf numFmtId="41" fontId="2" fillId="25" borderId="0" xfId="0" applyNumberFormat="1" applyFont="1" applyFill="1" applyBorder="1"/>
    <xf numFmtId="194" fontId="2" fillId="25" borderId="20" xfId="0" applyNumberFormat="1" applyFont="1" applyFill="1" applyBorder="1"/>
    <xf numFmtId="170" fontId="6" fillId="0" borderId="0" xfId="36" applyNumberFormat="1" applyFont="1" applyFill="1" applyBorder="1" applyAlignment="1" applyProtection="1">
      <alignment horizontal="left"/>
    </xf>
    <xf numFmtId="0" fontId="2" fillId="0" borderId="0" xfId="0" applyFont="1" applyFill="1" applyBorder="1" applyProtection="1"/>
    <xf numFmtId="10" fontId="30" fillId="0" borderId="20" xfId="36" applyNumberFormat="1" applyFont="1" applyFill="1" applyBorder="1"/>
    <xf numFmtId="9" fontId="3" fillId="0" borderId="0" xfId="36" applyNumberFormat="1" applyFont="1" applyFill="1" applyBorder="1"/>
    <xf numFmtId="10" fontId="3" fillId="0" borderId="0" xfId="36" applyNumberFormat="1" applyFont="1" applyFill="1" applyBorder="1" applyAlignment="1">
      <alignment horizontal="left" indent="2"/>
    </xf>
    <xf numFmtId="174" fontId="87" fillId="0" borderId="20" xfId="36" applyNumberFormat="1" applyFont="1" applyFill="1" applyBorder="1"/>
    <xf numFmtId="174" fontId="87" fillId="0" borderId="0" xfId="36" applyNumberFormat="1" applyFont="1" applyFill="1" applyBorder="1"/>
    <xf numFmtId="9" fontId="94" fillId="0" borderId="0" xfId="69" applyFont="1" applyFill="1" applyBorder="1"/>
    <xf numFmtId="9" fontId="59" fillId="17" borderId="0" xfId="69" applyFont="1" applyFill="1"/>
    <xf numFmtId="43" fontId="7" fillId="0" borderId="19" xfId="36" applyFont="1" applyFill="1" applyBorder="1" applyAlignment="1">
      <alignment horizontal="right"/>
    </xf>
    <xf numFmtId="174" fontId="3" fillId="22" borderId="18" xfId="0" applyNumberFormat="1" applyFont="1" applyFill="1" applyBorder="1"/>
    <xf numFmtId="174" fontId="3" fillId="22" borderId="0" xfId="0" applyNumberFormat="1" applyFont="1" applyFill="1" applyBorder="1"/>
    <xf numFmtId="165" fontId="2" fillId="0" borderId="22" xfId="0" applyNumberFormat="1" applyFont="1" applyFill="1" applyBorder="1" applyAlignment="1">
      <alignment horizontal="right"/>
    </xf>
    <xf numFmtId="165" fontId="2" fillId="0" borderId="0" xfId="0" quotePrefix="1" applyNumberFormat="1" applyFont="1" applyFill="1" applyBorder="1" applyAlignment="1">
      <alignment horizontal="right"/>
    </xf>
    <xf numFmtId="165" fontId="2" fillId="0" borderId="24" xfId="0" quotePrefix="1" applyNumberFormat="1" applyFont="1" applyFill="1" applyBorder="1" applyAlignment="1">
      <alignment horizontal="right"/>
    </xf>
    <xf numFmtId="165" fontId="2" fillId="0" borderId="20" xfId="0" quotePrefix="1" applyNumberFormat="1" applyFont="1" applyFill="1" applyBorder="1" applyAlignment="1">
      <alignment horizontal="right"/>
    </xf>
    <xf numFmtId="165" fontId="87" fillId="0" borderId="25" xfId="0" quotePrefix="1" applyNumberFormat="1" applyFont="1" applyFill="1" applyBorder="1" applyAlignment="1">
      <alignment horizontal="right"/>
    </xf>
    <xf numFmtId="37" fontId="43" fillId="0" borderId="19" xfId="0" applyNumberFormat="1" applyFont="1" applyFill="1" applyBorder="1" applyAlignment="1" applyProtection="1">
      <alignment vertical="center"/>
    </xf>
    <xf numFmtId="200" fontId="44" fillId="0" borderId="19" xfId="0" applyNumberFormat="1" applyFont="1" applyFill="1" applyBorder="1" applyAlignment="1"/>
    <xf numFmtId="200" fontId="88" fillId="0" borderId="19" xfId="36" applyNumberFormat="1" applyFont="1" applyFill="1" applyBorder="1" applyAlignment="1"/>
    <xf numFmtId="200" fontId="2" fillId="0" borderId="19" xfId="0" applyNumberFormat="1" applyFont="1" applyFill="1" applyBorder="1" applyAlignment="1" applyProtection="1"/>
    <xf numFmtId="200" fontId="2" fillId="0" borderId="25" xfId="0" applyNumberFormat="1" applyFont="1" applyFill="1" applyBorder="1" applyAlignment="1" applyProtection="1"/>
    <xf numFmtId="186" fontId="6" fillId="0" borderId="24" xfId="36" applyNumberFormat="1" applyFont="1" applyFill="1" applyBorder="1"/>
    <xf numFmtId="39" fontId="2" fillId="0" borderId="0" xfId="0" applyNumberFormat="1" applyFont="1"/>
    <xf numFmtId="174" fontId="95" fillId="0" borderId="0" xfId="0" applyNumberFormat="1" applyFont="1" applyFill="1" applyBorder="1" applyAlignment="1">
      <alignment horizontal="right"/>
    </xf>
    <xf numFmtId="174" fontId="95" fillId="0" borderId="18" xfId="36" applyNumberFormat="1" applyFont="1" applyFill="1" applyBorder="1" applyAlignment="1">
      <alignment horizontal="right"/>
    </xf>
    <xf numFmtId="174" fontId="95" fillId="0" borderId="0" xfId="36" applyNumberFormat="1" applyFont="1" applyFill="1" applyBorder="1" applyAlignment="1">
      <alignment horizontal="right"/>
    </xf>
    <xf numFmtId="172" fontId="41" fillId="0" borderId="18" xfId="36" applyNumberFormat="1" applyFont="1" applyFill="1" applyBorder="1" applyAlignment="1">
      <alignment horizontal="right"/>
    </xf>
    <xf numFmtId="41" fontId="6" fillId="0" borderId="32" xfId="0" applyNumberFormat="1" applyFont="1" applyFill="1" applyBorder="1" applyAlignment="1" applyProtection="1">
      <alignment horizontal="left"/>
    </xf>
    <xf numFmtId="41" fontId="6" fillId="0" borderId="0" xfId="0" applyNumberFormat="1" applyFont="1" applyFill="1" applyBorder="1" applyAlignment="1" applyProtection="1">
      <alignment horizontal="left" vertical="center"/>
    </xf>
    <xf numFmtId="41" fontId="6" fillId="0" borderId="12" xfId="0" applyNumberFormat="1" applyFont="1" applyFill="1" applyBorder="1" applyAlignment="1" applyProtection="1">
      <alignment horizontal="left" vertical="center"/>
    </xf>
    <xf numFmtId="41" fontId="6" fillId="0" borderId="0" xfId="0" applyNumberFormat="1" applyFont="1" applyFill="1" applyBorder="1" applyAlignment="1" applyProtection="1">
      <alignment horizontal="left"/>
    </xf>
    <xf numFmtId="41" fontId="6" fillId="0" borderId="0" xfId="0" applyNumberFormat="1" applyFont="1" applyFill="1" applyBorder="1"/>
    <xf numFmtId="178" fontId="2" fillId="0" borderId="26" xfId="59" applyNumberFormat="1" applyFont="1" applyFill="1" applyBorder="1" applyAlignment="1" applyProtection="1">
      <alignment horizontal="left"/>
      <protection locked="0"/>
    </xf>
    <xf numFmtId="178" fontId="43" fillId="0" borderId="25" xfId="59" applyNumberFormat="1" applyFont="1" applyFill="1" applyBorder="1" applyAlignment="1" applyProtection="1">
      <alignment horizontal="left" vertical="center"/>
      <protection locked="0"/>
    </xf>
    <xf numFmtId="178" fontId="43" fillId="0" borderId="57" xfId="0" applyNumberFormat="1" applyFont="1" applyFill="1" applyBorder="1" applyAlignment="1" applyProtection="1">
      <alignment horizontal="left"/>
    </xf>
    <xf numFmtId="174" fontId="14" fillId="0" borderId="25" xfId="36" applyNumberFormat="1" applyFont="1" applyFill="1" applyBorder="1" applyAlignment="1">
      <alignment horizontal="right"/>
    </xf>
    <xf numFmtId="174" fontId="15" fillId="0" borderId="0" xfId="37" applyNumberFormat="1" applyFont="1" applyFill="1" applyBorder="1"/>
    <xf numFmtId="174" fontId="87" fillId="0" borderId="0" xfId="0" applyNumberFormat="1" applyFont="1" applyFill="1" applyBorder="1"/>
    <xf numFmtId="165" fontId="14" fillId="0" borderId="20" xfId="0" quotePrefix="1" applyNumberFormat="1" applyFont="1" applyFill="1" applyBorder="1" applyAlignment="1">
      <alignment horizontal="left"/>
    </xf>
    <xf numFmtId="0" fontId="6" fillId="0" borderId="24" xfId="61" applyFont="1" applyFill="1" applyBorder="1" applyAlignment="1">
      <alignment horizontal="left"/>
    </xf>
    <xf numFmtId="169" fontId="6" fillId="0" borderId="20" xfId="61" applyNumberFormat="1" applyFont="1" applyFill="1" applyBorder="1" applyAlignment="1">
      <alignment horizontal="center"/>
    </xf>
    <xf numFmtId="0" fontId="6" fillId="0" borderId="22" xfId="61" applyFont="1" applyFill="1" applyBorder="1" applyAlignment="1">
      <alignment horizontal="left"/>
    </xf>
    <xf numFmtId="169" fontId="6" fillId="0" borderId="23" xfId="61" applyNumberFormat="1" applyFont="1" applyFill="1" applyBorder="1" applyAlignment="1">
      <alignment horizontal="center"/>
    </xf>
    <xf numFmtId="44" fontId="3" fillId="0" borderId="0" xfId="0" applyNumberFormat="1" applyFont="1" applyFill="1" applyBorder="1" applyAlignment="1">
      <alignment horizontal="center"/>
    </xf>
    <xf numFmtId="174" fontId="96" fillId="0" borderId="0" xfId="36" applyNumberFormat="1" applyFont="1" applyFill="1" applyBorder="1"/>
    <xf numFmtId="43" fontId="44" fillId="0" borderId="0" xfId="36" applyNumberFormat="1" applyFont="1" applyFill="1"/>
    <xf numFmtId="195" fontId="43" fillId="0" borderId="12" xfId="0" applyNumberFormat="1" applyFont="1" applyFill="1" applyBorder="1" applyAlignment="1" applyProtection="1">
      <alignment horizontal="centerContinuous"/>
    </xf>
    <xf numFmtId="164" fontId="3" fillId="0" borderId="0" xfId="0" applyNumberFormat="1" applyFont="1"/>
    <xf numFmtId="41" fontId="6" fillId="25" borderId="19" xfId="0" applyNumberFormat="1" applyFont="1" applyFill="1" applyBorder="1" applyAlignment="1">
      <alignment horizontal="left"/>
    </xf>
    <xf numFmtId="44" fontId="12" fillId="25" borderId="19" xfId="0" applyNumberFormat="1" applyFont="1" applyFill="1" applyBorder="1"/>
    <xf numFmtId="44" fontId="6" fillId="25" borderId="18" xfId="38" applyNumberFormat="1" applyFont="1" applyFill="1" applyBorder="1" applyAlignment="1">
      <alignment horizontal="right"/>
    </xf>
    <xf numFmtId="44" fontId="6" fillId="25" borderId="0" xfId="38" applyNumberFormat="1" applyFont="1" applyFill="1" applyBorder="1" applyAlignment="1">
      <alignment horizontal="right"/>
    </xf>
    <xf numFmtId="44" fontId="6" fillId="25" borderId="19" xfId="38" applyNumberFormat="1" applyFont="1" applyFill="1" applyBorder="1" applyAlignment="1">
      <alignment horizontal="right"/>
    </xf>
    <xf numFmtId="44" fontId="12" fillId="25" borderId="19" xfId="0" applyNumberFormat="1" applyFont="1" applyFill="1" applyBorder="1" applyAlignment="1">
      <alignment horizontal="right"/>
    </xf>
    <xf numFmtId="44" fontId="6" fillId="25" borderId="11" xfId="38" applyNumberFormat="1" applyFont="1" applyFill="1" applyBorder="1" applyAlignment="1">
      <alignment horizontal="right"/>
    </xf>
    <xf numFmtId="44" fontId="12" fillId="25" borderId="18" xfId="0" applyNumberFormat="1" applyFont="1" applyFill="1" applyBorder="1" applyAlignment="1">
      <alignment horizontal="right"/>
    </xf>
    <xf numFmtId="44" fontId="4" fillId="25" borderId="18" xfId="0" applyNumberFormat="1" applyFont="1" applyFill="1" applyBorder="1" applyAlignment="1">
      <alignment horizontal="right"/>
    </xf>
    <xf numFmtId="44" fontId="2" fillId="25" borderId="18" xfId="38" applyNumberFormat="1" applyFont="1" applyFill="1" applyBorder="1" applyAlignment="1">
      <alignment horizontal="right"/>
    </xf>
    <xf numFmtId="44" fontId="2" fillId="25" borderId="0" xfId="38" applyNumberFormat="1" applyFont="1" applyFill="1" applyBorder="1" applyAlignment="1">
      <alignment horizontal="right"/>
    </xf>
    <xf numFmtId="44" fontId="2" fillId="25" borderId="11" xfId="38" applyNumberFormat="1" applyFont="1" applyFill="1" applyBorder="1" applyAlignment="1">
      <alignment horizontal="right"/>
    </xf>
    <xf numFmtId="43" fontId="92" fillId="0" borderId="0" xfId="36" applyNumberFormat="1" applyFont="1" applyFill="1" applyBorder="1"/>
    <xf numFmtId="9" fontId="92" fillId="0" borderId="0" xfId="69" applyFont="1" applyFill="1" applyBorder="1"/>
    <xf numFmtId="165" fontId="3" fillId="0" borderId="24" xfId="0" applyNumberFormat="1" applyFont="1" applyFill="1" applyBorder="1" applyAlignment="1">
      <alignment horizontal="left"/>
    </xf>
    <xf numFmtId="43" fontId="97" fillId="0" borderId="18" xfId="0" applyNumberFormat="1" applyFont="1" applyFill="1" applyBorder="1"/>
    <xf numFmtId="43" fontId="97" fillId="0" borderId="0" xfId="0" applyNumberFormat="1" applyFont="1" applyFill="1" applyBorder="1"/>
    <xf numFmtId="196" fontId="43" fillId="0" borderId="18" xfId="0" applyNumberFormat="1" applyFont="1" applyFill="1" applyBorder="1" applyAlignment="1" applyProtection="1">
      <alignment horizontal="center"/>
    </xf>
    <xf numFmtId="169" fontId="43" fillId="0" borderId="18" xfId="0" applyNumberFormat="1" applyFont="1" applyFill="1" applyBorder="1" applyAlignment="1" applyProtection="1">
      <alignment horizontal="right"/>
    </xf>
    <xf numFmtId="174" fontId="7" fillId="0" borderId="0" xfId="74" applyNumberFormat="1" applyFont="1" applyFill="1" applyBorder="1" applyAlignment="1">
      <alignment horizontal="right"/>
      <protection locked="0"/>
    </xf>
    <xf numFmtId="41" fontId="93" fillId="0" borderId="0" xfId="0" applyNumberFormat="1" applyFont="1" applyFill="1" applyBorder="1" applyAlignment="1">
      <alignment horizontal="right"/>
    </xf>
    <xf numFmtId="176" fontId="3" fillId="17" borderId="0" xfId="0" applyNumberFormat="1" applyFont="1" applyFill="1" applyBorder="1"/>
    <xf numFmtId="167" fontId="3" fillId="0" borderId="0" xfId="38" applyNumberFormat="1" applyFont="1" applyFill="1" applyBorder="1"/>
    <xf numFmtId="41" fontId="4" fillId="0" borderId="0" xfId="0" applyNumberFormat="1" applyFont="1" applyFill="1" applyBorder="1"/>
    <xf numFmtId="194" fontId="2" fillId="25" borderId="0" xfId="0" applyNumberFormat="1" applyFont="1" applyFill="1" applyBorder="1"/>
    <xf numFmtId="170" fontId="14" fillId="17" borderId="0" xfId="0" applyNumberFormat="1" applyFont="1" applyFill="1" applyBorder="1"/>
    <xf numFmtId="176" fontId="3" fillId="0" borderId="0" xfId="0" applyNumberFormat="1" applyFont="1" applyFill="1" applyBorder="1"/>
    <xf numFmtId="176" fontId="6" fillId="0" borderId="0" xfId="0" applyNumberFormat="1" applyFont="1" applyFill="1" applyBorder="1" applyAlignment="1"/>
    <xf numFmtId="0" fontId="11" fillId="17" borderId="24" xfId="0" applyFont="1" applyFill="1" applyBorder="1"/>
    <xf numFmtId="0" fontId="44" fillId="0" borderId="18" xfId="0" applyFont="1" applyBorder="1" applyAlignment="1">
      <alignment horizontal="left"/>
    </xf>
    <xf numFmtId="0" fontId="44" fillId="0" borderId="18" xfId="0" applyFont="1" applyFill="1" applyBorder="1" applyAlignment="1">
      <alignment horizontal="left"/>
    </xf>
    <xf numFmtId="167" fontId="2" fillId="0" borderId="26" xfId="0" applyNumberFormat="1" applyFont="1" applyFill="1" applyBorder="1" applyAlignment="1">
      <alignment horizontal="left" indent="1"/>
    </xf>
    <xf numFmtId="0" fontId="2" fillId="0" borderId="0" xfId="0" applyFont="1" applyFill="1" applyAlignment="1">
      <alignment horizontal="left" indent="1"/>
    </xf>
    <xf numFmtId="0" fontId="6" fillId="0" borderId="18" xfId="0" applyFont="1" applyBorder="1" applyAlignment="1">
      <alignment horizontal="left"/>
    </xf>
    <xf numFmtId="0" fontId="2" fillId="0" borderId="18" xfId="61" applyFont="1" applyFill="1" applyBorder="1" applyAlignment="1">
      <alignment horizontal="left" indent="1"/>
    </xf>
    <xf numFmtId="0" fontId="7" fillId="0" borderId="18" xfId="0" applyFont="1" applyFill="1" applyBorder="1" applyAlignment="1">
      <alignment horizontal="left" indent="1"/>
    </xf>
    <xf numFmtId="0" fontId="6" fillId="26" borderId="0" xfId="0" applyFont="1" applyFill="1"/>
    <xf numFmtId="0" fontId="2" fillId="26" borderId="0" xfId="0" applyFont="1" applyFill="1"/>
    <xf numFmtId="0" fontId="4" fillId="22" borderId="18" xfId="0" applyFont="1" applyFill="1" applyBorder="1" applyAlignment="1">
      <alignment horizontal="left"/>
    </xf>
    <xf numFmtId="0" fontId="6" fillId="22" borderId="0" xfId="0" applyFont="1" applyFill="1"/>
    <xf numFmtId="0" fontId="6" fillId="22" borderId="18" xfId="0" applyFont="1" applyFill="1" applyBorder="1"/>
    <xf numFmtId="0" fontId="6" fillId="22" borderId="0" xfId="0" applyFont="1" applyFill="1" applyBorder="1"/>
    <xf numFmtId="0" fontId="6" fillId="22" borderId="19" xfId="0" applyFont="1" applyFill="1" applyBorder="1"/>
    <xf numFmtId="164" fontId="6" fillId="22" borderId="18" xfId="0" applyNumberFormat="1" applyFont="1" applyFill="1" applyBorder="1"/>
    <xf numFmtId="164" fontId="6" fillId="22" borderId="0" xfId="0" applyNumberFormat="1" applyFont="1" applyFill="1" applyBorder="1"/>
    <xf numFmtId="164" fontId="6" fillId="22" borderId="19" xfId="0" applyNumberFormat="1" applyFont="1" applyFill="1" applyBorder="1"/>
    <xf numFmtId="0" fontId="3" fillId="0" borderId="19" xfId="0" applyFont="1" applyFill="1" applyBorder="1" applyAlignment="1">
      <alignment horizontal="right"/>
    </xf>
    <xf numFmtId="9" fontId="95" fillId="0" borderId="0" xfId="69" applyNumberFormat="1" applyFont="1" applyFill="1" applyBorder="1"/>
    <xf numFmtId="9" fontId="95" fillId="0" borderId="20" xfId="69" applyNumberFormat="1" applyFont="1" applyFill="1" applyBorder="1"/>
    <xf numFmtId="165" fontId="98" fillId="0" borderId="0" xfId="0" applyNumberFormat="1" applyFont="1" applyFill="1" applyBorder="1"/>
    <xf numFmtId="165" fontId="98" fillId="0" borderId="18" xfId="0" applyNumberFormat="1" applyFont="1" applyFill="1" applyBorder="1"/>
    <xf numFmtId="8" fontId="3" fillId="0" borderId="0" xfId="0" applyNumberFormat="1" applyFont="1"/>
    <xf numFmtId="0" fontId="86" fillId="0" borderId="0" xfId="0" applyFont="1" applyFill="1"/>
    <xf numFmtId="0" fontId="2" fillId="0" borderId="0" xfId="0" quotePrefix="1" applyFont="1" applyFill="1"/>
    <xf numFmtId="9" fontId="3" fillId="0" borderId="0" xfId="69" applyFont="1" applyFill="1"/>
    <xf numFmtId="165" fontId="3" fillId="0" borderId="0" xfId="69" applyNumberFormat="1" applyFont="1" applyFill="1"/>
    <xf numFmtId="43" fontId="3" fillId="0" borderId="0" xfId="36" applyFont="1" applyFill="1"/>
    <xf numFmtId="165" fontId="3" fillId="0" borderId="0" xfId="0" applyNumberFormat="1" applyFont="1" applyFill="1"/>
    <xf numFmtId="9" fontId="3" fillId="0" borderId="0" xfId="0" applyNumberFormat="1" applyFont="1" applyFill="1"/>
    <xf numFmtId="2" fontId="3" fillId="0" borderId="0" xfId="0" applyNumberFormat="1" applyFont="1" applyFill="1"/>
    <xf numFmtId="164" fontId="3" fillId="0" borderId="0" xfId="0" applyNumberFormat="1" applyFont="1" applyFill="1"/>
    <xf numFmtId="44" fontId="3" fillId="0" borderId="0" xfId="0" applyNumberFormat="1" applyFont="1" applyFill="1"/>
    <xf numFmtId="43" fontId="92" fillId="0" borderId="20" xfId="36" applyFont="1" applyFill="1" applyBorder="1"/>
    <xf numFmtId="43" fontId="92" fillId="0" borderId="20" xfId="36" applyFont="1" applyFill="1" applyBorder="1" applyAlignment="1" applyProtection="1">
      <alignment horizontal="left"/>
    </xf>
    <xf numFmtId="165" fontId="95" fillId="0" borderId="0" xfId="69" applyNumberFormat="1" applyFont="1" applyFill="1" applyBorder="1"/>
    <xf numFmtId="9" fontId="2" fillId="0" borderId="0" xfId="69" applyNumberFormat="1" applyFont="1" applyFill="1" applyBorder="1" applyAlignment="1">
      <alignment horizontal="center"/>
    </xf>
    <xf numFmtId="0" fontId="6" fillId="0" borderId="18" xfId="0" applyFont="1" applyFill="1" applyBorder="1"/>
    <xf numFmtId="174" fontId="87" fillId="0" borderId="18" xfId="0" applyNumberFormat="1" applyFont="1" applyFill="1" applyBorder="1"/>
    <xf numFmtId="165" fontId="9" fillId="0" borderId="18" xfId="0" applyNumberFormat="1" applyFont="1" applyFill="1" applyBorder="1"/>
    <xf numFmtId="165" fontId="9" fillId="0" borderId="19" xfId="0" applyNumberFormat="1" applyFont="1" applyFill="1" applyBorder="1"/>
    <xf numFmtId="0" fontId="9" fillId="0" borderId="18" xfId="0" applyFont="1" applyFill="1" applyBorder="1"/>
    <xf numFmtId="0" fontId="2" fillId="0" borderId="0" xfId="0" applyFont="1" applyBorder="1" applyAlignment="1">
      <alignment horizontal="left" indent="1"/>
    </xf>
    <xf numFmtId="0" fontId="9" fillId="0" borderId="18" xfId="0" applyFont="1" applyBorder="1" applyAlignment="1">
      <alignment horizontal="left" indent="1"/>
    </xf>
    <xf numFmtId="9" fontId="9" fillId="0" borderId="24" xfId="69" applyNumberFormat="1" applyFont="1" applyFill="1" applyBorder="1" applyAlignment="1">
      <alignment horizontal="right"/>
    </xf>
    <xf numFmtId="9" fontId="9" fillId="0" borderId="20" xfId="69" applyNumberFormat="1" applyFont="1" applyFill="1" applyBorder="1" applyAlignment="1">
      <alignment horizontal="right"/>
    </xf>
    <xf numFmtId="0" fontId="9" fillId="0" borderId="18" xfId="0" applyFont="1" applyBorder="1" applyAlignment="1">
      <alignment horizontal="left"/>
    </xf>
    <xf numFmtId="0" fontId="9" fillId="0" borderId="18" xfId="0" applyFont="1" applyBorder="1"/>
    <xf numFmtId="0" fontId="9" fillId="0" borderId="19" xfId="0" applyFont="1" applyBorder="1"/>
    <xf numFmtId="174" fontId="9" fillId="0" borderId="18" xfId="0" applyNumberFormat="1" applyFont="1" applyBorder="1"/>
    <xf numFmtId="174" fontId="9" fillId="0" borderId="0" xfId="0" applyNumberFormat="1" applyFont="1" applyBorder="1"/>
    <xf numFmtId="174" fontId="9" fillId="0" borderId="19" xfId="0" applyNumberFormat="1" applyFont="1" applyFill="1" applyBorder="1"/>
    <xf numFmtId="9" fontId="9" fillId="0" borderId="19" xfId="0" applyNumberFormat="1" applyFont="1" applyBorder="1"/>
    <xf numFmtId="9" fontId="9" fillId="0" borderId="0" xfId="0" applyNumberFormat="1" applyFont="1" applyBorder="1"/>
    <xf numFmtId="9" fontId="9" fillId="0" borderId="18" xfId="0" applyNumberFormat="1" applyFont="1" applyBorder="1"/>
    <xf numFmtId="9" fontId="9" fillId="0" borderId="0" xfId="0" applyNumberFormat="1" applyFont="1"/>
    <xf numFmtId="165" fontId="9" fillId="0" borderId="18" xfId="0" applyNumberFormat="1" applyFont="1" applyBorder="1"/>
    <xf numFmtId="165" fontId="9" fillId="0" borderId="0" xfId="0" applyNumberFormat="1" applyFont="1" applyBorder="1"/>
    <xf numFmtId="9" fontId="9" fillId="0" borderId="18" xfId="0" applyNumberFormat="1" applyFont="1" applyFill="1" applyBorder="1"/>
    <xf numFmtId="174" fontId="9" fillId="0" borderId="18" xfId="0" applyNumberFormat="1" applyFont="1" applyFill="1" applyBorder="1" applyAlignment="1">
      <alignment horizontal="right"/>
    </xf>
    <xf numFmtId="174" fontId="9" fillId="0" borderId="0" xfId="0" applyNumberFormat="1" applyFont="1" applyFill="1" applyBorder="1" applyAlignment="1">
      <alignment horizontal="right"/>
    </xf>
    <xf numFmtId="174" fontId="9" fillId="0" borderId="18" xfId="0" applyNumberFormat="1" applyFont="1" applyFill="1" applyBorder="1"/>
    <xf numFmtId="174" fontId="9" fillId="0" borderId="0" xfId="0" applyNumberFormat="1" applyFont="1" applyFill="1" applyBorder="1"/>
    <xf numFmtId="0" fontId="9" fillId="0" borderId="24" xfId="0" applyFont="1" applyBorder="1" applyAlignment="1">
      <alignment horizontal="left"/>
    </xf>
    <xf numFmtId="0" fontId="9" fillId="0" borderId="20" xfId="0" applyFont="1" applyBorder="1"/>
    <xf numFmtId="0" fontId="9" fillId="0" borderId="24" xfId="0" applyFont="1" applyBorder="1"/>
    <xf numFmtId="0" fontId="9" fillId="0" borderId="25" xfId="0" applyFont="1" applyBorder="1"/>
    <xf numFmtId="0" fontId="9" fillId="0" borderId="24" xfId="0" applyFont="1" applyFill="1" applyBorder="1"/>
    <xf numFmtId="0" fontId="9" fillId="0" borderId="20" xfId="0" applyFont="1" applyFill="1" applyBorder="1"/>
    <xf numFmtId="0" fontId="9" fillId="0" borderId="25" xfId="0" applyFont="1" applyFill="1" applyBorder="1"/>
    <xf numFmtId="165" fontId="9" fillId="0" borderId="24" xfId="0" applyNumberFormat="1" applyFont="1" applyBorder="1"/>
    <xf numFmtId="165" fontId="9" fillId="0" borderId="20" xfId="0" applyNumberFormat="1" applyFont="1" applyBorder="1"/>
    <xf numFmtId="9" fontId="9" fillId="0" borderId="25" xfId="0" applyNumberFormat="1" applyFont="1" applyBorder="1"/>
    <xf numFmtId="9" fontId="9" fillId="0" borderId="20" xfId="0" applyNumberFormat="1" applyFont="1" applyBorder="1"/>
    <xf numFmtId="9" fontId="9" fillId="0" borderId="24" xfId="0" applyNumberFormat="1" applyFont="1" applyBorder="1"/>
    <xf numFmtId="9" fontId="9" fillId="0" borderId="24" xfId="0" applyNumberFormat="1" applyFont="1" applyFill="1" applyBorder="1"/>
    <xf numFmtId="9" fontId="9" fillId="0" borderId="20" xfId="0" applyNumberFormat="1" applyFont="1" applyFill="1" applyBorder="1"/>
    <xf numFmtId="0" fontId="11" fillId="27" borderId="24" xfId="0" applyFont="1" applyFill="1" applyBorder="1"/>
    <xf numFmtId="0" fontId="59" fillId="27" borderId="0" xfId="0" applyFont="1" applyFill="1" applyBorder="1"/>
    <xf numFmtId="0" fontId="59" fillId="27" borderId="0" xfId="0" applyFont="1" applyFill="1"/>
    <xf numFmtId="9" fontId="59" fillId="27" borderId="0" xfId="69" applyFont="1" applyFill="1"/>
    <xf numFmtId="0" fontId="2" fillId="27" borderId="0" xfId="0" applyFont="1" applyFill="1"/>
    <xf numFmtId="0" fontId="2" fillId="0" borderId="18" xfId="0" applyNumberFormat="1" applyFont="1" applyBorder="1" applyAlignment="1">
      <alignment horizontal="left"/>
    </xf>
    <xf numFmtId="0" fontId="2" fillId="0" borderId="24" xfId="0" applyNumberFormat="1" applyFont="1" applyBorder="1" applyAlignment="1">
      <alignment horizontal="left"/>
    </xf>
    <xf numFmtId="165" fontId="9" fillId="0" borderId="19" xfId="0" applyNumberFormat="1" applyFont="1" applyBorder="1"/>
    <xf numFmtId="165" fontId="9" fillId="0" borderId="24" xfId="0" applyNumberFormat="1" applyFont="1" applyFill="1" applyBorder="1"/>
    <xf numFmtId="165" fontId="9" fillId="0" borderId="20" xfId="0" applyNumberFormat="1" applyFont="1" applyFill="1" applyBorder="1"/>
    <xf numFmtId="165" fontId="9" fillId="0" borderId="25" xfId="0" applyNumberFormat="1" applyFont="1" applyFill="1" applyBorder="1"/>
    <xf numFmtId="165" fontId="9" fillId="0" borderId="25" xfId="0" applyNumberFormat="1" applyFont="1" applyBorder="1"/>
    <xf numFmtId="41" fontId="99" fillId="0" borderId="0" xfId="0" applyNumberFormat="1" applyFont="1" applyFill="1" applyBorder="1"/>
    <xf numFmtId="165" fontId="99" fillId="0" borderId="0" xfId="69" applyNumberFormat="1" applyFont="1" applyFill="1" applyBorder="1"/>
    <xf numFmtId="165" fontId="99" fillId="0" borderId="20" xfId="69" applyNumberFormat="1" applyFont="1" applyFill="1" applyBorder="1"/>
    <xf numFmtId="0" fontId="9" fillId="0" borderId="0" xfId="0" applyFont="1" applyFill="1" applyBorder="1"/>
    <xf numFmtId="0" fontId="9" fillId="0" borderId="19" xfId="0" applyFont="1" applyFill="1" applyBorder="1"/>
    <xf numFmtId="174" fontId="6" fillId="0" borderId="18" xfId="0" applyNumberFormat="1" applyFont="1" applyFill="1" applyBorder="1"/>
    <xf numFmtId="174" fontId="6" fillId="0" borderId="19" xfId="0" applyNumberFormat="1" applyFont="1" applyFill="1" applyBorder="1"/>
    <xf numFmtId="0" fontId="6" fillId="0" borderId="20" xfId="0" applyFont="1" applyFill="1" applyBorder="1"/>
    <xf numFmtId="169" fontId="99" fillId="0" borderId="18" xfId="0" applyNumberFormat="1" applyFont="1" applyFill="1" applyBorder="1" applyAlignment="1" applyProtection="1">
      <alignment horizontal="center"/>
    </xf>
    <xf numFmtId="169" fontId="99" fillId="0" borderId="0" xfId="0" applyNumberFormat="1" applyFont="1" applyFill="1" applyBorder="1" applyAlignment="1" applyProtection="1">
      <alignment horizontal="center"/>
    </xf>
    <xf numFmtId="169" fontId="99" fillId="0" borderId="19" xfId="0" applyNumberFormat="1" applyFont="1" applyFill="1" applyBorder="1" applyAlignment="1" applyProtection="1">
      <alignment horizontal="right"/>
    </xf>
    <xf numFmtId="169" fontId="99" fillId="0" borderId="0" xfId="60" applyNumberFormat="1" applyFont="1" applyFill="1" applyBorder="1" applyAlignment="1" applyProtection="1">
      <alignment horizontal="center"/>
    </xf>
    <xf numFmtId="169" fontId="99" fillId="0" borderId="0" xfId="0" applyNumberFormat="1" applyFont="1" applyFill="1" applyBorder="1" applyAlignment="1" applyProtection="1">
      <alignment horizontal="right"/>
    </xf>
    <xf numFmtId="165" fontId="99" fillId="0" borderId="18" xfId="0" applyNumberFormat="1" applyFont="1" applyFill="1" applyBorder="1" applyAlignment="1" applyProtection="1"/>
    <xf numFmtId="165" fontId="99" fillId="0" borderId="0" xfId="0" applyNumberFormat="1" applyFont="1" applyFill="1" applyBorder="1" applyAlignment="1" applyProtection="1"/>
    <xf numFmtId="165" fontId="99" fillId="0" borderId="19" xfId="0" applyNumberFormat="1" applyFont="1" applyFill="1" applyBorder="1" applyAlignment="1" applyProtection="1">
      <alignment horizontal="right"/>
    </xf>
    <xf numFmtId="169" fontId="100" fillId="0" borderId="18" xfId="0" applyNumberFormat="1" applyFont="1" applyFill="1" applyBorder="1" applyAlignment="1" applyProtection="1">
      <alignment horizontal="center"/>
    </xf>
    <xf numFmtId="169" fontId="100" fillId="0" borderId="0" xfId="0" applyNumberFormat="1" applyFont="1" applyFill="1" applyBorder="1" applyAlignment="1" applyProtection="1">
      <alignment horizontal="center"/>
    </xf>
    <xf numFmtId="169" fontId="100" fillId="0" borderId="19" xfId="0" applyNumberFormat="1" applyFont="1" applyFill="1" applyBorder="1" applyAlignment="1" applyProtection="1">
      <alignment horizontal="right"/>
    </xf>
    <xf numFmtId="169" fontId="100" fillId="0" borderId="0" xfId="60" applyNumberFormat="1" applyFont="1" applyFill="1" applyBorder="1" applyAlignment="1" applyProtection="1">
      <alignment horizontal="center"/>
    </xf>
    <xf numFmtId="169" fontId="100" fillId="0" borderId="0" xfId="0" applyNumberFormat="1" applyFont="1" applyFill="1" applyBorder="1" applyAlignment="1" applyProtection="1">
      <alignment horizontal="right"/>
    </xf>
    <xf numFmtId="165" fontId="100" fillId="0" borderId="18" xfId="0" applyNumberFormat="1" applyFont="1" applyFill="1" applyBorder="1" applyAlignment="1" applyProtection="1"/>
    <xf numFmtId="165" fontId="100" fillId="0" borderId="0" xfId="0" applyNumberFormat="1" applyFont="1" applyFill="1" applyBorder="1" applyAlignment="1" applyProtection="1"/>
    <xf numFmtId="165" fontId="100" fillId="0" borderId="19" xfId="0" applyNumberFormat="1" applyFont="1" applyFill="1" applyBorder="1" applyAlignment="1" applyProtection="1">
      <alignment horizontal="right"/>
    </xf>
    <xf numFmtId="169" fontId="99" fillId="18" borderId="18" xfId="0" applyNumberFormat="1" applyFont="1" applyFill="1" applyBorder="1" applyAlignment="1" applyProtection="1">
      <alignment horizontal="center"/>
    </xf>
    <xf numFmtId="169" fontId="99" fillId="18" borderId="0" xfId="0" applyNumberFormat="1" applyFont="1" applyFill="1" applyBorder="1" applyAlignment="1" applyProtection="1">
      <alignment horizontal="center"/>
    </xf>
    <xf numFmtId="169" fontId="99" fillId="18" borderId="19" xfId="0" applyNumberFormat="1" applyFont="1" applyFill="1" applyBorder="1" applyAlignment="1" applyProtection="1">
      <alignment horizontal="right"/>
    </xf>
    <xf numFmtId="169" fontId="99" fillId="18" borderId="0" xfId="60" applyNumberFormat="1" applyFont="1" applyFill="1" applyBorder="1" applyAlignment="1" applyProtection="1">
      <alignment horizontal="center"/>
    </xf>
    <xf numFmtId="169" fontId="99" fillId="18" borderId="0" xfId="0" applyNumberFormat="1" applyFont="1" applyFill="1" applyBorder="1" applyAlignment="1" applyProtection="1">
      <alignment horizontal="right"/>
    </xf>
    <xf numFmtId="165" fontId="99" fillId="0" borderId="18" xfId="0" applyNumberFormat="1" applyFont="1" applyFill="1" applyBorder="1" applyAlignment="1" applyProtection="1">
      <alignment horizontal="right"/>
    </xf>
    <xf numFmtId="165" fontId="99" fillId="0" borderId="0" xfId="0" applyNumberFormat="1" applyFont="1" applyFill="1" applyBorder="1" applyAlignment="1" applyProtection="1">
      <alignment horizontal="right"/>
    </xf>
    <xf numFmtId="0" fontId="99" fillId="0" borderId="0" xfId="0" applyFont="1" applyFill="1"/>
    <xf numFmtId="0" fontId="99" fillId="0" borderId="18" xfId="0" applyFont="1" applyFill="1" applyBorder="1"/>
    <xf numFmtId="165" fontId="100" fillId="0" borderId="18" xfId="0" applyNumberFormat="1" applyFont="1" applyFill="1" applyBorder="1" applyAlignment="1" applyProtection="1">
      <alignment horizontal="right"/>
    </xf>
    <xf numFmtId="165" fontId="100" fillId="0" borderId="0" xfId="0" applyNumberFormat="1" applyFont="1" applyFill="1" applyBorder="1" applyAlignment="1" applyProtection="1">
      <alignment horizontal="right"/>
    </xf>
    <xf numFmtId="165" fontId="100" fillId="0" borderId="22" xfId="0" applyNumberFormat="1" applyFont="1" applyFill="1" applyBorder="1" applyAlignment="1" applyProtection="1">
      <alignment horizontal="right"/>
    </xf>
    <xf numFmtId="165" fontId="100" fillId="0" borderId="23" xfId="0" applyNumberFormat="1" applyFont="1" applyFill="1" applyBorder="1" applyAlignment="1" applyProtection="1">
      <alignment horizontal="right"/>
    </xf>
    <xf numFmtId="165" fontId="100" fillId="0" borderId="26" xfId="0" applyNumberFormat="1" applyFont="1" applyFill="1" applyBorder="1" applyAlignment="1" applyProtection="1">
      <alignment horizontal="right"/>
    </xf>
    <xf numFmtId="169" fontId="100" fillId="0" borderId="23" xfId="60" applyNumberFormat="1" applyFont="1" applyFill="1" applyBorder="1" applyAlignment="1" applyProtection="1">
      <alignment horizontal="center"/>
    </xf>
    <xf numFmtId="169" fontId="100" fillId="0" borderId="23" xfId="0" applyNumberFormat="1" applyFont="1" applyFill="1" applyBorder="1" applyAlignment="1" applyProtection="1">
      <alignment horizontal="right"/>
    </xf>
    <xf numFmtId="165" fontId="100" fillId="0" borderId="24" xfId="0" applyNumberFormat="1" applyFont="1" applyFill="1" applyBorder="1" applyAlignment="1" applyProtection="1">
      <alignment horizontal="right"/>
    </xf>
    <xf numFmtId="165" fontId="100" fillId="0" borderId="20" xfId="0" applyNumberFormat="1" applyFont="1" applyFill="1" applyBorder="1" applyAlignment="1" applyProtection="1">
      <alignment horizontal="right"/>
    </xf>
    <xf numFmtId="165" fontId="100" fillId="0" borderId="25" xfId="0" applyNumberFormat="1" applyFont="1" applyFill="1" applyBorder="1" applyAlignment="1" applyProtection="1">
      <alignment horizontal="right"/>
    </xf>
    <xf numFmtId="169" fontId="100" fillId="0" borderId="20" xfId="60" applyNumberFormat="1" applyFont="1" applyFill="1" applyBorder="1" applyAlignment="1" applyProtection="1">
      <alignment horizontal="center"/>
    </xf>
    <xf numFmtId="169" fontId="100" fillId="0" borderId="20" xfId="0" applyNumberFormat="1" applyFont="1" applyFill="1" applyBorder="1" applyAlignment="1" applyProtection="1">
      <alignment horizontal="right"/>
    </xf>
    <xf numFmtId="172" fontId="11" fillId="24" borderId="23" xfId="36" applyNumberFormat="1" applyFont="1" applyFill="1" applyBorder="1" applyAlignment="1">
      <alignment horizontal="right"/>
    </xf>
    <xf numFmtId="165" fontId="14" fillId="0" borderId="25" xfId="0" quotePrefix="1" applyNumberFormat="1" applyFont="1" applyFill="1" applyBorder="1" applyAlignment="1">
      <alignment horizontal="right"/>
    </xf>
    <xf numFmtId="200" fontId="46" fillId="0" borderId="19" xfId="36" applyNumberFormat="1" applyFont="1" applyFill="1" applyBorder="1" applyAlignment="1"/>
    <xf numFmtId="185" fontId="93" fillId="0" borderId="36" xfId="0" applyNumberFormat="1" applyFont="1" applyFill="1" applyBorder="1" applyAlignment="1">
      <alignment horizontal="right"/>
    </xf>
    <xf numFmtId="0" fontId="3" fillId="0" borderId="0" xfId="0" applyFont="1" applyFill="1" applyBorder="1" applyAlignment="1">
      <alignment horizontal="center"/>
    </xf>
    <xf numFmtId="165" fontId="14" fillId="0" borderId="0" xfId="0" applyNumberFormat="1" applyFont="1" applyBorder="1"/>
    <xf numFmtId="165" fontId="14" fillId="0" borderId="18" xfId="0" applyNumberFormat="1" applyFont="1" applyBorder="1"/>
    <xf numFmtId="165" fontId="14" fillId="0" borderId="11" xfId="69" applyNumberFormat="1" applyFont="1" applyFill="1" applyBorder="1" applyAlignment="1">
      <alignment horizontal="right"/>
    </xf>
    <xf numFmtId="167" fontId="6" fillId="0" borderId="18" xfId="36" applyNumberFormat="1" applyFont="1" applyFill="1" applyBorder="1" applyAlignment="1">
      <alignment horizontal="center"/>
    </xf>
    <xf numFmtId="43" fontId="100" fillId="0" borderId="20" xfId="36" applyFont="1" applyFill="1" applyBorder="1"/>
    <xf numFmtId="10" fontId="2" fillId="0" borderId="0" xfId="0" applyNumberFormat="1" applyFont="1"/>
    <xf numFmtId="205" fontId="41" fillId="0" borderId="0" xfId="0" applyNumberFormat="1" applyFont="1" applyFill="1" applyBorder="1" applyAlignment="1">
      <alignment horizontal="center"/>
    </xf>
    <xf numFmtId="43" fontId="2" fillId="0" borderId="18" xfId="36" applyFont="1" applyFill="1" applyBorder="1"/>
    <xf numFmtId="165" fontId="87" fillId="0" borderId="18" xfId="69" applyNumberFormat="1" applyFont="1" applyFill="1" applyBorder="1" applyAlignment="1">
      <alignment horizontal="right"/>
    </xf>
    <xf numFmtId="165" fontId="87" fillId="0" borderId="0" xfId="69" applyNumberFormat="1" applyFont="1" applyFill="1" applyBorder="1" applyAlignment="1">
      <alignment horizontal="right"/>
    </xf>
    <xf numFmtId="1" fontId="2" fillId="0" borderId="18" xfId="69" applyNumberFormat="1" applyFont="1" applyFill="1" applyBorder="1" applyAlignment="1">
      <alignment horizontal="right"/>
    </xf>
    <xf numFmtId="1" fontId="2" fillId="0" borderId="0" xfId="69" applyNumberFormat="1" applyFont="1" applyFill="1" applyBorder="1" applyAlignment="1">
      <alignment horizontal="right"/>
    </xf>
    <xf numFmtId="1" fontId="2" fillId="0" borderId="19" xfId="69" applyNumberFormat="1" applyFont="1" applyFill="1" applyBorder="1" applyAlignment="1">
      <alignment horizontal="right"/>
    </xf>
    <xf numFmtId="43" fontId="2" fillId="0" borderId="20" xfId="36" applyFont="1" applyFill="1" applyBorder="1"/>
    <xf numFmtId="9" fontId="2" fillId="0" borderId="24" xfId="69" applyNumberFormat="1" applyFont="1" applyFill="1" applyBorder="1" applyAlignment="1">
      <alignment horizontal="right"/>
    </xf>
    <xf numFmtId="9" fontId="2" fillId="0" borderId="20" xfId="69" applyNumberFormat="1" applyFont="1" applyFill="1" applyBorder="1" applyAlignment="1">
      <alignment horizontal="right"/>
    </xf>
    <xf numFmtId="9" fontId="2" fillId="0" borderId="25" xfId="69" applyNumberFormat="1" applyFont="1" applyFill="1" applyBorder="1" applyAlignment="1">
      <alignment horizontal="right"/>
    </xf>
    <xf numFmtId="170" fontId="94" fillId="0" borderId="0" xfId="36" applyNumberFormat="1" applyFont="1" applyFill="1"/>
    <xf numFmtId="7" fontId="87" fillId="0" borderId="19" xfId="0" applyNumberFormat="1" applyFont="1" applyFill="1" applyBorder="1"/>
    <xf numFmtId="165" fontId="87" fillId="0" borderId="19" xfId="0" applyNumberFormat="1" applyFont="1" applyFill="1" applyBorder="1"/>
    <xf numFmtId="0" fontId="87" fillId="0" borderId="0" xfId="0" applyFont="1" applyFill="1" applyBorder="1"/>
    <xf numFmtId="165" fontId="87" fillId="0" borderId="18" xfId="0" applyNumberFormat="1" applyFont="1" applyBorder="1"/>
    <xf numFmtId="165" fontId="87" fillId="0" borderId="0" xfId="0" applyNumberFormat="1" applyFont="1" applyBorder="1"/>
    <xf numFmtId="165" fontId="87" fillId="0" borderId="19" xfId="0" applyNumberFormat="1" applyFont="1" applyBorder="1"/>
    <xf numFmtId="0" fontId="87" fillId="0" borderId="0" xfId="0" applyFont="1" applyBorder="1"/>
    <xf numFmtId="165" fontId="87" fillId="0" borderId="24" xfId="0" applyNumberFormat="1" applyFont="1" applyBorder="1"/>
    <xf numFmtId="165" fontId="87" fillId="0" borderId="20" xfId="0" applyNumberFormat="1" applyFont="1" applyBorder="1"/>
    <xf numFmtId="165" fontId="87" fillId="0" borderId="25" xfId="0" applyNumberFormat="1" applyFont="1" applyBorder="1"/>
    <xf numFmtId="0" fontId="87" fillId="0" borderId="20" xfId="0" applyFont="1" applyBorder="1"/>
    <xf numFmtId="165" fontId="87" fillId="0" borderId="20" xfId="0" quotePrefix="1" applyNumberFormat="1" applyFont="1" applyFill="1" applyBorder="1" applyAlignment="1">
      <alignment horizontal="right"/>
    </xf>
    <xf numFmtId="165" fontId="87" fillId="0" borderId="0" xfId="0" applyNumberFormat="1" applyFont="1" applyFill="1" applyBorder="1" applyAlignment="1">
      <alignment horizontal="left"/>
    </xf>
    <xf numFmtId="165" fontId="87" fillId="0" borderId="0" xfId="0" quotePrefix="1" applyNumberFormat="1" applyFont="1" applyFill="1" applyBorder="1" applyAlignment="1">
      <alignment horizontal="right"/>
    </xf>
    <xf numFmtId="0" fontId="87" fillId="0" borderId="20" xfId="0" applyFont="1" applyFill="1" applyBorder="1"/>
    <xf numFmtId="165" fontId="87" fillId="0" borderId="0" xfId="0" quotePrefix="1" applyNumberFormat="1" applyFont="1" applyFill="1" applyBorder="1" applyAlignment="1">
      <alignment horizontal="left"/>
    </xf>
    <xf numFmtId="165" fontId="87" fillId="0" borderId="20" xfId="0" applyNumberFormat="1" applyFont="1" applyFill="1" applyBorder="1" applyAlignment="1">
      <alignment horizontal="left"/>
    </xf>
    <xf numFmtId="165" fontId="87" fillId="0" borderId="18" xfId="0" quotePrefix="1" applyNumberFormat="1" applyFont="1" applyFill="1" applyBorder="1" applyAlignment="1">
      <alignment horizontal="left"/>
    </xf>
    <xf numFmtId="165" fontId="87" fillId="0" borderId="18" xfId="0" applyNumberFormat="1" applyFont="1" applyFill="1" applyBorder="1" applyAlignment="1">
      <alignment horizontal="left"/>
    </xf>
    <xf numFmtId="165" fontId="87" fillId="0" borderId="24" xfId="0" quotePrefix="1" applyNumberFormat="1" applyFont="1" applyFill="1" applyBorder="1" applyAlignment="1">
      <alignment horizontal="left"/>
    </xf>
    <xf numFmtId="165" fontId="87" fillId="0" borderId="24" xfId="0" applyNumberFormat="1" applyFont="1" applyFill="1" applyBorder="1" applyAlignment="1">
      <alignment horizontal="left"/>
    </xf>
    <xf numFmtId="0" fontId="87" fillId="0" borderId="0" xfId="0" applyFont="1" applyFill="1" applyBorder="1" applyAlignment="1">
      <alignment horizontal="left"/>
    </xf>
    <xf numFmtId="0" fontId="87" fillId="0" borderId="20" xfId="0" applyFont="1" applyFill="1" applyBorder="1" applyAlignment="1">
      <alignment horizontal="left"/>
    </xf>
    <xf numFmtId="165" fontId="87" fillId="0" borderId="19" xfId="0" applyNumberFormat="1" applyFont="1" applyFill="1" applyBorder="1" applyAlignment="1">
      <alignment horizontal="left"/>
    </xf>
    <xf numFmtId="165" fontId="87" fillId="0" borderId="25" xfId="0" applyNumberFormat="1" applyFont="1" applyFill="1" applyBorder="1" applyAlignment="1">
      <alignment horizontal="left"/>
    </xf>
    <xf numFmtId="165" fontId="87" fillId="0" borderId="19" xfId="0" quotePrefix="1" applyNumberFormat="1" applyFont="1" applyFill="1" applyBorder="1" applyAlignment="1">
      <alignment horizontal="left"/>
    </xf>
    <xf numFmtId="165" fontId="87" fillId="0" borderId="25" xfId="0" quotePrefix="1" applyNumberFormat="1" applyFont="1" applyFill="1" applyBorder="1" applyAlignment="1">
      <alignment horizontal="left"/>
    </xf>
    <xf numFmtId="165" fontId="87" fillId="0" borderId="0" xfId="0" quotePrefix="1" applyNumberFormat="1" applyFont="1" applyFill="1" applyBorder="1"/>
    <xf numFmtId="165" fontId="87" fillId="0" borderId="0" xfId="0" quotePrefix="1" applyNumberFormat="1" applyFont="1" applyBorder="1"/>
    <xf numFmtId="165" fontId="87" fillId="0" borderId="20" xfId="0" quotePrefix="1" applyNumberFormat="1" applyFont="1" applyBorder="1"/>
    <xf numFmtId="165" fontId="87" fillId="0" borderId="18" xfId="0" quotePrefix="1" applyNumberFormat="1" applyFont="1" applyBorder="1"/>
    <xf numFmtId="165" fontId="87" fillId="0" borderId="18" xfId="0" quotePrefix="1" applyNumberFormat="1" applyFont="1" applyFill="1" applyBorder="1"/>
    <xf numFmtId="165" fontId="87" fillId="0" borderId="19" xfId="0" quotePrefix="1" applyNumberFormat="1" applyFont="1" applyFill="1" applyBorder="1"/>
    <xf numFmtId="165" fontId="87" fillId="0" borderId="20" xfId="0" applyNumberFormat="1" applyFont="1" applyFill="1" applyBorder="1"/>
    <xf numFmtId="165" fontId="87" fillId="0" borderId="24" xfId="0" applyNumberFormat="1" applyFont="1" applyFill="1" applyBorder="1"/>
    <xf numFmtId="165" fontId="87" fillId="0" borderId="0" xfId="0" applyNumberFormat="1" applyFont="1" applyFill="1" applyBorder="1" applyAlignment="1">
      <alignment horizontal="center"/>
    </xf>
    <xf numFmtId="165" fontId="87" fillId="0" borderId="18" xfId="0" quotePrefix="1" applyNumberFormat="1" applyFont="1" applyFill="1" applyBorder="1" applyAlignment="1">
      <alignment horizontal="center"/>
    </xf>
    <xf numFmtId="0" fontId="87" fillId="0" borderId="0" xfId="0" applyFont="1" applyFill="1" applyBorder="1" applyAlignment="1">
      <alignment horizontal="center"/>
    </xf>
    <xf numFmtId="165" fontId="2" fillId="0" borderId="19" xfId="0" applyNumberFormat="1" applyFont="1" applyFill="1" applyBorder="1" applyAlignment="1">
      <alignment horizontal="center"/>
    </xf>
    <xf numFmtId="165" fontId="87" fillId="0" borderId="18" xfId="0" applyNumberFormat="1" applyFont="1" applyFill="1" applyBorder="1" applyAlignment="1">
      <alignment horizontal="center"/>
    </xf>
    <xf numFmtId="174" fontId="87" fillId="0" borderId="18" xfId="36" applyNumberFormat="1" applyFont="1" applyFill="1" applyBorder="1" applyAlignment="1">
      <alignment horizontal="right"/>
    </xf>
    <xf numFmtId="214" fontId="41" fillId="0" borderId="0" xfId="0" applyNumberFormat="1" applyFont="1" applyFill="1" applyBorder="1"/>
    <xf numFmtId="165" fontId="87" fillId="0" borderId="26" xfId="0" applyNumberFormat="1" applyFont="1" applyFill="1" applyBorder="1" applyAlignment="1">
      <alignment horizontal="center"/>
    </xf>
    <xf numFmtId="165" fontId="6" fillId="20" borderId="12" xfId="0" applyNumberFormat="1" applyFont="1" applyFill="1" applyBorder="1" applyAlignment="1">
      <alignment horizontal="left"/>
    </xf>
    <xf numFmtId="165" fontId="87" fillId="0" borderId="20" xfId="0" quotePrefix="1" applyNumberFormat="1" applyFont="1" applyFill="1" applyBorder="1" applyAlignment="1">
      <alignment horizontal="left"/>
    </xf>
    <xf numFmtId="0" fontId="2" fillId="0" borderId="24" xfId="0" applyFont="1" applyFill="1" applyBorder="1" applyAlignment="1">
      <alignment horizontal="left" indent="1"/>
    </xf>
    <xf numFmtId="0" fontId="1" fillId="0" borderId="0" xfId="48"/>
    <xf numFmtId="0" fontId="1" fillId="0" borderId="0" xfId="48" applyAlignment="1">
      <alignment horizontal="right"/>
    </xf>
    <xf numFmtId="216" fontId="21" fillId="16" borderId="0" xfId="84" applyNumberFormat="1" applyFont="1" applyFill="1" applyBorder="1"/>
    <xf numFmtId="0" fontId="28" fillId="21" borderId="18" xfId="48" applyFont="1" applyFill="1" applyBorder="1" applyAlignment="1">
      <alignment horizontal="left" vertical="center"/>
    </xf>
    <xf numFmtId="0" fontId="28" fillId="21" borderId="0" xfId="48" applyFont="1" applyFill="1" applyBorder="1" applyAlignment="1">
      <alignment horizontal="right" vertical="center" wrapText="1"/>
    </xf>
    <xf numFmtId="0" fontId="28" fillId="0" borderId="0" xfId="48" applyFont="1" applyFill="1" applyBorder="1" applyAlignment="1">
      <alignment horizontal="right" vertical="center"/>
    </xf>
    <xf numFmtId="0" fontId="28" fillId="21" borderId="0" xfId="48" applyFont="1" applyFill="1" applyBorder="1" applyAlignment="1">
      <alignment horizontal="left" vertical="center"/>
    </xf>
    <xf numFmtId="0" fontId="90" fillId="21" borderId="0" xfId="48" applyFont="1" applyFill="1" applyBorder="1"/>
    <xf numFmtId="0" fontId="28" fillId="21" borderId="0" xfId="48" applyFont="1" applyFill="1" applyBorder="1" applyAlignment="1">
      <alignment horizontal="right" vertical="center"/>
    </xf>
    <xf numFmtId="170" fontId="102" fillId="0" borderId="0" xfId="48" applyNumberFormat="1" applyFont="1"/>
    <xf numFmtId="170" fontId="0" fillId="0" borderId="0" xfId="84" applyNumberFormat="1" applyFont="1" applyFill="1" applyBorder="1"/>
    <xf numFmtId="0" fontId="21" fillId="0" borderId="0" xfId="48" applyFont="1" applyFill="1" applyBorder="1" applyAlignment="1">
      <alignment horizontal="left"/>
    </xf>
    <xf numFmtId="0" fontId="1" fillId="0" borderId="0" xfId="48" applyBorder="1"/>
    <xf numFmtId="6" fontId="21" fillId="0" borderId="0" xfId="48" applyNumberFormat="1" applyFont="1" applyFill="1" applyBorder="1"/>
    <xf numFmtId="0" fontId="1" fillId="0" borderId="0" xfId="48" applyFill="1" applyBorder="1"/>
    <xf numFmtId="173" fontId="102" fillId="0" borderId="0" xfId="84" applyNumberFormat="1" applyFont="1"/>
    <xf numFmtId="0" fontId="1" fillId="0" borderId="0" xfId="48" applyFont="1"/>
    <xf numFmtId="0" fontId="2" fillId="0" borderId="0" xfId="85" applyFont="1"/>
    <xf numFmtId="0" fontId="88" fillId="0" borderId="0" xfId="85" applyFont="1" applyAlignment="1">
      <alignment horizontal="center"/>
    </xf>
    <xf numFmtId="0" fontId="6" fillId="0" borderId="0" xfId="85" applyFont="1" applyAlignment="1">
      <alignment horizontal="center"/>
    </xf>
    <xf numFmtId="0" fontId="6" fillId="0" borderId="0" xfId="85" applyFont="1"/>
    <xf numFmtId="170" fontId="102" fillId="0" borderId="0" xfId="84" applyNumberFormat="1" applyFont="1"/>
    <xf numFmtId="0" fontId="21" fillId="0" borderId="0" xfId="48" applyFont="1"/>
    <xf numFmtId="177" fontId="21" fillId="0" borderId="0" xfId="84" applyNumberFormat="1" applyFont="1"/>
    <xf numFmtId="170" fontId="1" fillId="0" borderId="0" xfId="48" applyNumberFormat="1"/>
    <xf numFmtId="0" fontId="102" fillId="0" borderId="0" xfId="0" applyFont="1"/>
    <xf numFmtId="0" fontId="38" fillId="0" borderId="0" xfId="48" applyFont="1" applyAlignment="1">
      <alignment horizontal="left" indent="1"/>
    </xf>
    <xf numFmtId="165" fontId="38" fillId="0" borderId="0" xfId="84" applyNumberFormat="1" applyFont="1"/>
    <xf numFmtId="0" fontId="21" fillId="0" borderId="0" xfId="48" applyFont="1" applyFill="1" applyBorder="1" applyAlignment="1">
      <alignment horizontal="right"/>
    </xf>
    <xf numFmtId="165" fontId="0" fillId="0" borderId="0" xfId="84" applyNumberFormat="1" applyFont="1" applyFill="1" applyBorder="1"/>
    <xf numFmtId="170" fontId="1" fillId="0" borderId="0" xfId="48" applyNumberFormat="1" applyFont="1" applyFill="1" applyBorder="1" applyAlignment="1">
      <alignment horizontal="left"/>
    </xf>
    <xf numFmtId="216" fontId="1" fillId="16" borderId="0" xfId="84" applyNumberFormat="1" applyFont="1" applyFill="1" applyBorder="1"/>
    <xf numFmtId="9" fontId="1" fillId="0" borderId="0" xfId="48" applyNumberFormat="1" applyFill="1" applyBorder="1"/>
    <xf numFmtId="165" fontId="39" fillId="0" borderId="0" xfId="84" applyNumberFormat="1" applyFont="1" applyFill="1" applyBorder="1"/>
    <xf numFmtId="6" fontId="103" fillId="0" borderId="0" xfId="48" applyNumberFormat="1" applyFont="1" applyFill="1" applyBorder="1"/>
    <xf numFmtId="8" fontId="1" fillId="0" borderId="0" xfId="48" applyNumberFormat="1" applyFill="1" applyBorder="1"/>
    <xf numFmtId="9" fontId="102" fillId="0" borderId="0" xfId="48" applyNumberFormat="1" applyFont="1" applyFill="1" applyBorder="1"/>
    <xf numFmtId="173" fontId="1" fillId="0" borderId="0" xfId="48" applyNumberFormat="1"/>
    <xf numFmtId="170" fontId="1" fillId="0" borderId="0" xfId="48" applyNumberFormat="1" applyFill="1" applyBorder="1"/>
    <xf numFmtId="6" fontId="102" fillId="0" borderId="0" xfId="48" applyNumberFormat="1" applyFont="1" applyFill="1" applyBorder="1"/>
    <xf numFmtId="170" fontId="103" fillId="0" borderId="0" xfId="84" applyNumberFormat="1" applyFont="1" applyFill="1" applyBorder="1"/>
    <xf numFmtId="0" fontId="1" fillId="25" borderId="0" xfId="48" applyFont="1" applyFill="1" applyBorder="1" applyAlignment="1">
      <alignment horizontal="center" vertical="center"/>
    </xf>
    <xf numFmtId="180" fontId="102" fillId="0" borderId="0" xfId="84" applyNumberFormat="1" applyFont="1" applyFill="1" applyBorder="1"/>
    <xf numFmtId="8" fontId="105" fillId="0" borderId="0" xfId="48" applyNumberFormat="1" applyFont="1" applyFill="1" applyBorder="1" applyAlignment="1">
      <alignment horizontal="center"/>
    </xf>
    <xf numFmtId="170" fontId="1" fillId="0" borderId="0" xfId="84" applyNumberFormat="1" applyFont="1" applyFill="1" applyBorder="1"/>
    <xf numFmtId="170" fontId="1" fillId="0" borderId="0" xfId="48" applyNumberFormat="1" applyBorder="1"/>
    <xf numFmtId="177" fontId="21" fillId="0" borderId="0" xfId="84" applyNumberFormat="1" applyFont="1" applyFill="1" applyBorder="1"/>
    <xf numFmtId="9" fontId="1" fillId="0" borderId="0" xfId="84" applyNumberFormat="1" applyFont="1" applyFill="1" applyBorder="1"/>
    <xf numFmtId="43" fontId="1" fillId="0" borderId="0" xfId="48" applyNumberFormat="1"/>
    <xf numFmtId="6" fontId="1" fillId="0" borderId="0" xfId="48" applyNumberFormat="1" applyFont="1" applyFill="1" applyBorder="1"/>
    <xf numFmtId="8" fontId="1" fillId="0" borderId="0" xfId="48" applyNumberFormat="1"/>
    <xf numFmtId="170" fontId="1" fillId="0" borderId="20" xfId="48" applyNumberFormat="1" applyFont="1" applyFill="1" applyBorder="1" applyAlignment="1">
      <alignment horizontal="left"/>
    </xf>
    <xf numFmtId="0" fontId="1" fillId="0" borderId="20" xfId="48" applyBorder="1"/>
    <xf numFmtId="177" fontId="1" fillId="0" borderId="20" xfId="48" applyNumberFormat="1" applyBorder="1"/>
    <xf numFmtId="0" fontId="1" fillId="0" borderId="20" xfId="48" applyFill="1" applyBorder="1"/>
    <xf numFmtId="0" fontId="28" fillId="21" borderId="0" xfId="48" applyFont="1" applyFill="1" applyBorder="1" applyAlignment="1">
      <alignment vertical="center"/>
    </xf>
    <xf numFmtId="0" fontId="28" fillId="21" borderId="0" xfId="48" applyFont="1" applyFill="1" applyBorder="1" applyAlignment="1">
      <alignment horizontal="centerContinuous" vertical="center"/>
    </xf>
    <xf numFmtId="0" fontId="36" fillId="21" borderId="0" xfId="48" applyFont="1" applyFill="1" applyBorder="1" applyAlignment="1">
      <alignment vertical="center"/>
    </xf>
    <xf numFmtId="0" fontId="28" fillId="21" borderId="0" xfId="48" applyFont="1" applyFill="1" applyBorder="1" applyAlignment="1">
      <alignment horizontal="center" vertical="center"/>
    </xf>
    <xf numFmtId="0" fontId="21" fillId="28" borderId="18" xfId="48" applyFont="1" applyFill="1" applyBorder="1"/>
    <xf numFmtId="216" fontId="21" fillId="28" borderId="0" xfId="84" applyNumberFormat="1" applyFont="1" applyFill="1" applyBorder="1" applyAlignment="1">
      <alignment horizontal="center" vertical="center"/>
    </xf>
    <xf numFmtId="216" fontId="21" fillId="28" borderId="0" xfId="84" applyNumberFormat="1" applyFont="1" applyFill="1" applyBorder="1"/>
    <xf numFmtId="0" fontId="1" fillId="28" borderId="0" xfId="48" applyFill="1" applyBorder="1"/>
    <xf numFmtId="0" fontId="38" fillId="28" borderId="18" xfId="48" applyFont="1" applyFill="1" applyBorder="1" applyAlignment="1">
      <alignment horizontal="left" indent="1"/>
    </xf>
    <xf numFmtId="165" fontId="1" fillId="28" borderId="0" xfId="81" applyNumberFormat="1" applyFill="1" applyBorder="1" applyAlignment="1">
      <alignment horizontal="center" vertical="center"/>
    </xf>
    <xf numFmtId="0" fontId="38" fillId="0" borderId="18" xfId="48" applyFont="1" applyFill="1" applyBorder="1" applyAlignment="1">
      <alignment horizontal="left" indent="1"/>
    </xf>
    <xf numFmtId="170" fontId="1" fillId="0" borderId="0" xfId="84" applyNumberFormat="1" applyFill="1" applyBorder="1" applyAlignment="1">
      <alignment horizontal="center" vertical="center"/>
    </xf>
    <xf numFmtId="165" fontId="105" fillId="0" borderId="0" xfId="81" applyNumberFormat="1" applyFont="1" applyFill="1" applyBorder="1" applyAlignment="1">
      <alignment horizontal="center" vertical="center"/>
    </xf>
    <xf numFmtId="216" fontId="1" fillId="0" borderId="0" xfId="84" applyNumberFormat="1" applyFont="1" applyFill="1" applyBorder="1"/>
    <xf numFmtId="216" fontId="21" fillId="0" borderId="0" xfId="84" applyNumberFormat="1" applyFont="1" applyFill="1" applyBorder="1"/>
    <xf numFmtId="0" fontId="38" fillId="0" borderId="18" xfId="48" applyFont="1" applyFill="1" applyBorder="1"/>
    <xf numFmtId="170" fontId="102" fillId="0" borderId="0" xfId="84" applyNumberFormat="1" applyFont="1" applyFill="1" applyBorder="1" applyAlignment="1">
      <alignment horizontal="center" vertical="center"/>
    </xf>
    <xf numFmtId="0" fontId="21" fillId="0" borderId="18" xfId="48" applyFont="1" applyFill="1" applyBorder="1"/>
    <xf numFmtId="216" fontId="21" fillId="0" borderId="0" xfId="84" applyNumberFormat="1" applyFont="1" applyFill="1" applyBorder="1" applyAlignment="1">
      <alignment horizontal="center" vertical="center"/>
    </xf>
    <xf numFmtId="165" fontId="1" fillId="0" borderId="0" xfId="81" applyNumberFormat="1" applyFill="1" applyBorder="1" applyAlignment="1">
      <alignment horizontal="center" vertical="center"/>
    </xf>
    <xf numFmtId="9" fontId="1" fillId="0" borderId="0" xfId="81" applyFill="1" applyBorder="1" applyAlignment="1">
      <alignment horizontal="center" vertical="center"/>
    </xf>
    <xf numFmtId="180" fontId="1" fillId="0" borderId="0" xfId="48" applyNumberFormat="1"/>
    <xf numFmtId="165" fontId="21" fillId="0" borderId="0" xfId="81" applyNumberFormat="1" applyFont="1" applyFill="1" applyBorder="1" applyAlignment="1">
      <alignment horizontal="center" vertical="center"/>
    </xf>
    <xf numFmtId="0" fontId="1" fillId="0" borderId="18" xfId="48" applyFill="1" applyBorder="1"/>
    <xf numFmtId="43" fontId="1" fillId="0" borderId="0" xfId="84" applyFill="1" applyBorder="1" applyAlignment="1">
      <alignment horizontal="center" vertical="center"/>
    </xf>
    <xf numFmtId="216" fontId="1" fillId="28" borderId="0" xfId="84" applyNumberFormat="1" applyFont="1" applyFill="1" applyBorder="1"/>
    <xf numFmtId="0" fontId="38" fillId="28" borderId="18" xfId="48" applyFont="1" applyFill="1" applyBorder="1"/>
    <xf numFmtId="165" fontId="1" fillId="28" borderId="0" xfId="84" applyNumberFormat="1" applyFill="1" applyBorder="1" applyAlignment="1">
      <alignment horizontal="center" vertical="center"/>
    </xf>
    <xf numFmtId="5" fontId="21" fillId="0" borderId="0" xfId="84" applyNumberFormat="1" applyFont="1" applyFill="1" applyBorder="1" applyAlignment="1">
      <alignment horizontal="center" vertical="center"/>
    </xf>
    <xf numFmtId="165" fontId="102" fillId="0" borderId="0" xfId="81" applyNumberFormat="1" applyFont="1" applyFill="1" applyBorder="1" applyAlignment="1">
      <alignment horizontal="center" vertical="center"/>
    </xf>
    <xf numFmtId="0" fontId="1" fillId="0" borderId="0" xfId="48" applyFont="1" applyFill="1" applyBorder="1"/>
    <xf numFmtId="165" fontId="1" fillId="0" borderId="0" xfId="84" applyNumberFormat="1" applyFill="1" applyBorder="1" applyAlignment="1">
      <alignment horizontal="center" vertical="center"/>
    </xf>
    <xf numFmtId="216" fontId="105" fillId="0" borderId="0" xfId="84" applyNumberFormat="1" applyFont="1" applyFill="1" applyBorder="1" applyAlignment="1">
      <alignment horizontal="center" vertical="center"/>
    </xf>
    <xf numFmtId="5" fontId="105" fillId="0" borderId="0" xfId="84" applyNumberFormat="1" applyFont="1" applyFill="1" applyBorder="1" applyAlignment="1">
      <alignment horizontal="center" vertical="center"/>
    </xf>
    <xf numFmtId="216" fontId="104" fillId="0" borderId="0" xfId="84" applyNumberFormat="1" applyFont="1" applyFill="1" applyBorder="1" applyAlignment="1">
      <alignment horizontal="center" vertical="center"/>
    </xf>
    <xf numFmtId="0" fontId="1" fillId="0" borderId="18" xfId="48" applyFont="1" applyFill="1" applyBorder="1" applyAlignment="1">
      <alignment horizontal="left" indent="1"/>
    </xf>
    <xf numFmtId="5" fontId="102" fillId="0" borderId="0" xfId="84" applyNumberFormat="1" applyFont="1" applyFill="1" applyBorder="1" applyAlignment="1">
      <alignment horizontal="center" vertical="center"/>
    </xf>
    <xf numFmtId="10" fontId="38" fillId="0" borderId="0" xfId="81" applyNumberFormat="1" applyFont="1" applyFill="1" applyBorder="1" applyAlignment="1">
      <alignment horizontal="center" vertical="center"/>
    </xf>
    <xf numFmtId="10" fontId="107" fillId="0" borderId="0" xfId="81" applyNumberFormat="1" applyFont="1" applyFill="1" applyBorder="1" applyAlignment="1">
      <alignment horizontal="center" vertical="center"/>
    </xf>
    <xf numFmtId="1" fontId="38" fillId="0" borderId="0" xfId="84" applyNumberFormat="1" applyFont="1" applyFill="1" applyBorder="1" applyAlignment="1">
      <alignment horizontal="center" vertical="center"/>
    </xf>
    <xf numFmtId="7" fontId="21" fillId="0" borderId="0" xfId="84" applyNumberFormat="1" applyFont="1" applyFill="1" applyBorder="1" applyAlignment="1">
      <alignment horizontal="center" vertical="center"/>
    </xf>
    <xf numFmtId="7" fontId="21" fillId="0" borderId="0" xfId="84" applyNumberFormat="1" applyFont="1" applyFill="1" applyBorder="1" applyAlignment="1">
      <alignment horizontal="left" vertical="center"/>
    </xf>
    <xf numFmtId="0" fontId="21" fillId="0" borderId="0" xfId="48" applyFont="1" applyFill="1" applyBorder="1"/>
    <xf numFmtId="0" fontId="21" fillId="0" borderId="60" xfId="48" applyFont="1" applyFill="1" applyBorder="1"/>
    <xf numFmtId="216" fontId="21" fillId="0" borderId="61" xfId="84" applyNumberFormat="1" applyFont="1" applyFill="1" applyBorder="1" applyAlignment="1">
      <alignment horizontal="center" vertical="center"/>
    </xf>
    <xf numFmtId="7" fontId="21" fillId="28" borderId="0" xfId="84" applyNumberFormat="1" applyFont="1" applyFill="1" applyBorder="1" applyAlignment="1">
      <alignment horizontal="center" vertical="center"/>
    </xf>
    <xf numFmtId="165" fontId="21" fillId="28" borderId="0" xfId="84" applyNumberFormat="1" applyFont="1" applyFill="1" applyBorder="1" applyAlignment="1">
      <alignment horizontal="center" vertical="center"/>
    </xf>
    <xf numFmtId="7" fontId="21" fillId="28" borderId="0" xfId="84" applyNumberFormat="1" applyFont="1" applyFill="1" applyBorder="1" applyAlignment="1">
      <alignment horizontal="left" vertical="center"/>
    </xf>
    <xf numFmtId="180" fontId="104" fillId="0" borderId="0" xfId="84" applyNumberFormat="1" applyFont="1" applyFill="1" applyBorder="1" applyAlignment="1">
      <alignment horizontal="center" vertical="center"/>
    </xf>
    <xf numFmtId="0" fontId="85" fillId="28" borderId="24" xfId="48" applyFont="1" applyFill="1" applyBorder="1"/>
    <xf numFmtId="7" fontId="21" fillId="28" borderId="20" xfId="84" applyNumberFormat="1" applyFont="1" applyFill="1" applyBorder="1" applyAlignment="1">
      <alignment horizontal="center" vertical="center"/>
    </xf>
    <xf numFmtId="165" fontId="21" fillId="28" borderId="20" xfId="84" applyNumberFormat="1" applyFont="1" applyFill="1" applyBorder="1" applyAlignment="1">
      <alignment horizontal="center" vertical="center"/>
    </xf>
    <xf numFmtId="0" fontId="21" fillId="0" borderId="22" xfId="48" applyFont="1" applyFill="1" applyBorder="1"/>
    <xf numFmtId="216" fontId="105" fillId="0" borderId="23" xfId="84" applyNumberFormat="1" applyFont="1" applyFill="1" applyBorder="1" applyAlignment="1">
      <alignment horizontal="center" vertical="center"/>
    </xf>
    <xf numFmtId="216" fontId="21" fillId="0" borderId="23" xfId="84" applyNumberFormat="1" applyFont="1" applyFill="1" applyBorder="1" applyAlignment="1">
      <alignment horizontal="center" vertical="center"/>
    </xf>
    <xf numFmtId="0" fontId="21" fillId="28" borderId="24" xfId="48" applyFont="1" applyFill="1" applyBorder="1"/>
    <xf numFmtId="165" fontId="21" fillId="28" borderId="20" xfId="81" applyNumberFormat="1" applyFont="1" applyFill="1" applyBorder="1" applyAlignment="1">
      <alignment horizontal="center" vertical="center"/>
    </xf>
    <xf numFmtId="0" fontId="1" fillId="0" borderId="0" xfId="48" applyFill="1" applyBorder="1" applyAlignment="1">
      <alignment horizontal="center" vertical="center"/>
    </xf>
    <xf numFmtId="10" fontId="1" fillId="0" borderId="0" xfId="48" applyNumberFormat="1" applyFill="1" applyBorder="1"/>
    <xf numFmtId="0" fontId="1" fillId="0" borderId="20" xfId="48" applyFill="1" applyBorder="1" applyAlignment="1">
      <alignment horizontal="center" vertical="center"/>
    </xf>
    <xf numFmtId="0" fontId="21" fillId="28" borderId="20" xfId="48" applyFont="1" applyFill="1" applyBorder="1"/>
    <xf numFmtId="0" fontId="1" fillId="0" borderId="0" xfId="48" applyFont="1" applyFill="1" applyBorder="1" applyAlignment="1">
      <alignment horizontal="center" vertical="center"/>
    </xf>
    <xf numFmtId="0" fontId="1" fillId="29" borderId="0" xfId="48" applyFont="1" applyFill="1"/>
    <xf numFmtId="8" fontId="104" fillId="29" borderId="0" xfId="48" applyNumberFormat="1" applyFont="1" applyFill="1" applyBorder="1" applyAlignment="1">
      <alignment horizontal="right"/>
    </xf>
    <xf numFmtId="0" fontId="1" fillId="29" borderId="0" xfId="48" applyFill="1"/>
    <xf numFmtId="173" fontId="0" fillId="29" borderId="0" xfId="84" applyNumberFormat="1" applyFont="1" applyFill="1"/>
    <xf numFmtId="170" fontId="0" fillId="29" borderId="0" xfId="84" applyNumberFormat="1" applyFont="1" applyFill="1"/>
    <xf numFmtId="170" fontId="102" fillId="29" borderId="0" xfId="84" applyNumberFormat="1" applyFont="1" applyFill="1"/>
    <xf numFmtId="170" fontId="1" fillId="29" borderId="0" xfId="48" applyNumberFormat="1" applyFill="1"/>
    <xf numFmtId="0" fontId="21" fillId="29" borderId="0" xfId="48" applyFont="1" applyFill="1"/>
    <xf numFmtId="177" fontId="21" fillId="29" borderId="0" xfId="84" applyNumberFormat="1" applyFont="1" applyFill="1"/>
    <xf numFmtId="170" fontId="1" fillId="29" borderId="0" xfId="48" applyNumberFormat="1" applyFont="1" applyFill="1" applyBorder="1" applyAlignment="1">
      <alignment horizontal="left"/>
    </xf>
    <xf numFmtId="170" fontId="1" fillId="29" borderId="0" xfId="48" applyNumberFormat="1" applyFont="1" applyFill="1"/>
    <xf numFmtId="170" fontId="102" fillId="29" borderId="0" xfId="48" applyNumberFormat="1" applyFont="1" applyFill="1"/>
    <xf numFmtId="170" fontId="21" fillId="29" borderId="0" xfId="48" applyNumberFormat="1" applyFont="1" applyFill="1" applyBorder="1" applyAlignment="1">
      <alignment horizontal="left"/>
    </xf>
    <xf numFmtId="9" fontId="21" fillId="29" borderId="0" xfId="48" applyNumberFormat="1" applyFont="1" applyFill="1" applyBorder="1"/>
    <xf numFmtId="170" fontId="21" fillId="29" borderId="20" xfId="48" applyNumberFormat="1" applyFont="1" applyFill="1" applyBorder="1" applyAlignment="1">
      <alignment horizontal="left"/>
    </xf>
    <xf numFmtId="37" fontId="103" fillId="0" borderId="0" xfId="48" applyNumberFormat="1" applyFont="1" applyFill="1" applyBorder="1" applyAlignment="1">
      <alignment horizontal="center"/>
    </xf>
    <xf numFmtId="37" fontId="1" fillId="0" borderId="0" xfId="48" applyNumberFormat="1" applyFont="1" applyFill="1" applyBorder="1" applyAlignment="1">
      <alignment horizontal="center"/>
    </xf>
    <xf numFmtId="37" fontId="1" fillId="0" borderId="0" xfId="48" applyNumberFormat="1" applyFill="1" applyBorder="1" applyAlignment="1">
      <alignment horizontal="center"/>
    </xf>
    <xf numFmtId="177" fontId="1" fillId="0" borderId="0" xfId="48" applyNumberFormat="1" applyFill="1" applyBorder="1" applyAlignment="1">
      <alignment horizontal="center"/>
    </xf>
    <xf numFmtId="216" fontId="102" fillId="16" borderId="0" xfId="84" applyNumberFormat="1" applyFont="1" applyFill="1" applyBorder="1"/>
    <xf numFmtId="0" fontId="105" fillId="0" borderId="18" xfId="48" applyFont="1" applyFill="1" applyBorder="1"/>
    <xf numFmtId="170" fontId="105" fillId="29" borderId="20" xfId="48" applyNumberFormat="1" applyFont="1" applyFill="1" applyBorder="1"/>
    <xf numFmtId="9" fontId="0" fillId="0" borderId="0" xfId="84" applyNumberFormat="1" applyFont="1" applyFill="1" applyBorder="1"/>
    <xf numFmtId="1" fontId="108" fillId="0" borderId="0" xfId="84" applyNumberFormat="1" applyFont="1" applyFill="1" applyBorder="1" applyAlignment="1">
      <alignment horizontal="center" vertical="center"/>
    </xf>
    <xf numFmtId="7" fontId="1" fillId="0" borderId="0" xfId="84" applyNumberFormat="1" applyFont="1" applyFill="1" applyBorder="1" applyAlignment="1">
      <alignment horizontal="center" vertical="center"/>
    </xf>
    <xf numFmtId="0" fontId="21" fillId="28" borderId="22" xfId="48" applyFont="1" applyFill="1" applyBorder="1"/>
    <xf numFmtId="216" fontId="21" fillId="28" borderId="23" xfId="84" applyNumberFormat="1" applyFont="1" applyFill="1" applyBorder="1" applyAlignment="1">
      <alignment horizontal="center" vertical="center"/>
    </xf>
    <xf numFmtId="216" fontId="21" fillId="28" borderId="27" xfId="84" applyNumberFormat="1" applyFont="1" applyFill="1" applyBorder="1" applyAlignment="1">
      <alignment horizontal="center" vertical="center"/>
    </xf>
    <xf numFmtId="165" fontId="1" fillId="28" borderId="11" xfId="81" applyNumberFormat="1" applyFill="1" applyBorder="1" applyAlignment="1">
      <alignment horizontal="center" vertical="center"/>
    </xf>
    <xf numFmtId="165" fontId="105" fillId="0" borderId="11" xfId="81" applyNumberFormat="1" applyFont="1" applyFill="1" applyBorder="1" applyAlignment="1">
      <alignment horizontal="center" vertical="center"/>
    </xf>
    <xf numFmtId="170" fontId="1" fillId="0" borderId="11" xfId="84" applyNumberFormat="1" applyFill="1" applyBorder="1" applyAlignment="1">
      <alignment horizontal="center" vertical="center"/>
    </xf>
    <xf numFmtId="216" fontId="21" fillId="0" borderId="11" xfId="84" applyNumberFormat="1" applyFont="1" applyFill="1" applyBorder="1" applyAlignment="1">
      <alignment horizontal="center" vertical="center"/>
    </xf>
    <xf numFmtId="165" fontId="1" fillId="0" borderId="11" xfId="81" applyNumberFormat="1" applyFill="1" applyBorder="1" applyAlignment="1">
      <alignment horizontal="center" vertical="center"/>
    </xf>
    <xf numFmtId="9" fontId="1" fillId="0" borderId="11" xfId="81" applyFill="1" applyBorder="1" applyAlignment="1">
      <alignment horizontal="center" vertical="center"/>
    </xf>
    <xf numFmtId="43" fontId="1" fillId="0" borderId="11" xfId="84" applyFill="1" applyBorder="1" applyAlignment="1">
      <alignment horizontal="center" vertical="center"/>
    </xf>
    <xf numFmtId="216" fontId="21" fillId="28" borderId="11" xfId="84" applyNumberFormat="1" applyFont="1" applyFill="1" applyBorder="1" applyAlignment="1">
      <alignment horizontal="center" vertical="center"/>
    </xf>
    <xf numFmtId="165" fontId="1" fillId="28" borderId="11" xfId="84" applyNumberFormat="1" applyFill="1" applyBorder="1" applyAlignment="1">
      <alignment horizontal="center" vertical="center"/>
    </xf>
    <xf numFmtId="5" fontId="21" fillId="0" borderId="11" xfId="84" applyNumberFormat="1" applyFont="1" applyFill="1" applyBorder="1" applyAlignment="1">
      <alignment horizontal="center" vertical="center"/>
    </xf>
    <xf numFmtId="165" fontId="1" fillId="0" borderId="11" xfId="84" applyNumberFormat="1" applyFill="1" applyBorder="1" applyAlignment="1">
      <alignment horizontal="center" vertical="center"/>
    </xf>
    <xf numFmtId="5" fontId="102" fillId="0" borderId="11" xfId="84" applyNumberFormat="1" applyFont="1" applyFill="1" applyBorder="1" applyAlignment="1">
      <alignment horizontal="center" vertical="center"/>
    </xf>
    <xf numFmtId="10" fontId="38" fillId="0" borderId="11" xfId="81" applyNumberFormat="1" applyFont="1" applyFill="1" applyBorder="1" applyAlignment="1">
      <alignment horizontal="center" vertical="center"/>
    </xf>
    <xf numFmtId="0" fontId="21" fillId="0" borderId="24" xfId="48" applyFont="1" applyFill="1" applyBorder="1"/>
    <xf numFmtId="7" fontId="21" fillId="0" borderId="20" xfId="84" applyNumberFormat="1" applyFont="1" applyFill="1" applyBorder="1" applyAlignment="1">
      <alignment horizontal="center" vertical="center"/>
    </xf>
    <xf numFmtId="7" fontId="21" fillId="0" borderId="21" xfId="84" applyNumberFormat="1" applyFont="1" applyFill="1" applyBorder="1" applyAlignment="1">
      <alignment horizontal="center" vertical="center"/>
    </xf>
    <xf numFmtId="216" fontId="21" fillId="0" borderId="62" xfId="84" applyNumberFormat="1" applyFont="1" applyFill="1" applyBorder="1" applyAlignment="1">
      <alignment horizontal="center" vertical="center"/>
    </xf>
    <xf numFmtId="7" fontId="21" fillId="28" borderId="11" xfId="84" applyNumberFormat="1" applyFont="1" applyFill="1" applyBorder="1" applyAlignment="1">
      <alignment horizontal="center" vertical="center"/>
    </xf>
    <xf numFmtId="165" fontId="21" fillId="28" borderId="11" xfId="84" applyNumberFormat="1" applyFont="1" applyFill="1" applyBorder="1" applyAlignment="1">
      <alignment horizontal="center" vertical="center"/>
    </xf>
    <xf numFmtId="216" fontId="21" fillId="0" borderId="27" xfId="84" applyNumberFormat="1" applyFont="1" applyFill="1" applyBorder="1" applyAlignment="1">
      <alignment horizontal="center" vertical="center"/>
    </xf>
    <xf numFmtId="1" fontId="38" fillId="0" borderId="11" xfId="84" applyNumberFormat="1" applyFont="1" applyFill="1" applyBorder="1" applyAlignment="1">
      <alignment horizontal="center" vertical="center"/>
    </xf>
    <xf numFmtId="165" fontId="21" fillId="28" borderId="21" xfId="81" applyNumberFormat="1" applyFont="1" applyFill="1" applyBorder="1" applyAlignment="1">
      <alignment horizontal="center" vertical="center"/>
    </xf>
    <xf numFmtId="7" fontId="105" fillId="0" borderId="20" xfId="84" applyNumberFormat="1" applyFont="1" applyFill="1" applyBorder="1" applyAlignment="1">
      <alignment horizontal="center" vertical="center"/>
    </xf>
    <xf numFmtId="0" fontId="6" fillId="25" borderId="18" xfId="0" applyFont="1" applyFill="1" applyBorder="1"/>
    <xf numFmtId="0" fontId="43" fillId="25" borderId="0" xfId="0" applyFont="1" applyFill="1" applyBorder="1"/>
    <xf numFmtId="174" fontId="43" fillId="25" borderId="18" xfId="0" applyNumberFormat="1" applyFont="1" applyFill="1" applyBorder="1"/>
    <xf numFmtId="174" fontId="43" fillId="25" borderId="0" xfId="0" applyNumberFormat="1" applyFont="1" applyFill="1" applyBorder="1"/>
    <xf numFmtId="174" fontId="43" fillId="25" borderId="19" xfId="0" applyNumberFormat="1" applyFont="1" applyFill="1" applyBorder="1"/>
    <xf numFmtId="0" fontId="6" fillId="25" borderId="0" xfId="0" applyFont="1" applyFill="1" applyBorder="1"/>
    <xf numFmtId="174" fontId="6" fillId="25" borderId="18" xfId="0" applyNumberFormat="1" applyFont="1" applyFill="1" applyBorder="1"/>
    <xf numFmtId="174" fontId="6" fillId="25" borderId="0" xfId="0" applyNumberFormat="1" applyFont="1" applyFill="1" applyBorder="1"/>
    <xf numFmtId="174" fontId="6" fillId="25" borderId="19" xfId="0" applyNumberFormat="1" applyFont="1" applyFill="1" applyBorder="1"/>
    <xf numFmtId="0" fontId="43" fillId="25" borderId="24" xfId="0" applyFont="1" applyFill="1" applyBorder="1"/>
    <xf numFmtId="0" fontId="43" fillId="25" borderId="20" xfId="0" applyFont="1" applyFill="1" applyBorder="1"/>
    <xf numFmtId="174" fontId="80" fillId="25" borderId="24" xfId="0" applyNumberFormat="1" applyFont="1" applyFill="1" applyBorder="1"/>
    <xf numFmtId="174" fontId="80" fillId="25" borderId="20" xfId="0" applyNumberFormat="1" applyFont="1" applyFill="1" applyBorder="1"/>
    <xf numFmtId="174" fontId="80" fillId="25" borderId="25" xfId="0" applyNumberFormat="1" applyFont="1" applyFill="1" applyBorder="1"/>
    <xf numFmtId="174" fontId="43" fillId="25" borderId="24" xfId="0" applyNumberFormat="1" applyFont="1" applyFill="1" applyBorder="1"/>
    <xf numFmtId="174" fontId="43" fillId="25" borderId="20" xfId="0" applyNumberFormat="1" applyFont="1" applyFill="1" applyBorder="1"/>
    <xf numFmtId="174" fontId="43" fillId="25" borderId="25" xfId="0" applyNumberFormat="1" applyFont="1" applyFill="1" applyBorder="1"/>
    <xf numFmtId="0" fontId="11" fillId="20" borderId="24" xfId="0" applyFont="1" applyFill="1" applyBorder="1"/>
    <xf numFmtId="0" fontId="59" fillId="20" borderId="0" xfId="0" applyFont="1" applyFill="1" applyBorder="1"/>
    <xf numFmtId="0" fontId="59" fillId="20" borderId="0" xfId="0" applyFont="1" applyFill="1"/>
    <xf numFmtId="9" fontId="59" fillId="20" borderId="0" xfId="69" applyFont="1" applyFill="1"/>
    <xf numFmtId="0" fontId="6" fillId="25" borderId="22" xfId="0" applyFont="1" applyFill="1" applyBorder="1"/>
    <xf numFmtId="0" fontId="2" fillId="25" borderId="23" xfId="0" applyFont="1" applyFill="1" applyBorder="1"/>
    <xf numFmtId="165" fontId="2" fillId="25" borderId="22" xfId="0" applyNumberFormat="1" applyFont="1" applyFill="1" applyBorder="1"/>
    <xf numFmtId="165" fontId="2" fillId="25" borderId="23" xfId="0" applyNumberFormat="1" applyFont="1" applyFill="1" applyBorder="1"/>
    <xf numFmtId="165" fontId="2" fillId="25" borderId="26" xfId="0" applyNumberFormat="1" applyFont="1" applyFill="1" applyBorder="1"/>
    <xf numFmtId="0" fontId="43" fillId="25" borderId="18" xfId="0" applyFont="1" applyFill="1" applyBorder="1"/>
    <xf numFmtId="0" fontId="2" fillId="25" borderId="0" xfId="0" applyFont="1" applyFill="1" applyBorder="1"/>
    <xf numFmtId="165" fontId="2" fillId="25" borderId="18" xfId="0" applyNumberFormat="1" applyFont="1" applyFill="1" applyBorder="1"/>
    <xf numFmtId="165" fontId="2" fillId="25" borderId="0" xfId="0" applyNumberFormat="1" applyFont="1" applyFill="1" applyBorder="1"/>
    <xf numFmtId="165" fontId="2" fillId="25" borderId="19" xfId="0" applyNumberFormat="1" applyFont="1" applyFill="1" applyBorder="1"/>
    <xf numFmtId="174" fontId="109" fillId="0" borderId="22" xfId="0" applyNumberFormat="1" applyFont="1" applyBorder="1"/>
    <xf numFmtId="174" fontId="109" fillId="0" borderId="23" xfId="0" applyNumberFormat="1" applyFont="1" applyBorder="1"/>
    <xf numFmtId="174" fontId="109" fillId="0" borderId="18" xfId="0" applyNumberFormat="1" applyFont="1" applyBorder="1"/>
    <xf numFmtId="174" fontId="109" fillId="0" borderId="0" xfId="0" applyNumberFormat="1" applyFont="1" applyBorder="1"/>
    <xf numFmtId="9" fontId="6" fillId="0" borderId="0" xfId="69" applyFont="1" applyFill="1" applyBorder="1"/>
    <xf numFmtId="165" fontId="98" fillId="0" borderId="20" xfId="0" applyNumberFormat="1" applyFont="1" applyFill="1" applyBorder="1"/>
    <xf numFmtId="174" fontId="98" fillId="0" borderId="0" xfId="0" applyNumberFormat="1" applyFont="1" applyFill="1" applyBorder="1" applyAlignment="1">
      <alignment horizontal="right"/>
    </xf>
    <xf numFmtId="165" fontId="87" fillId="0" borderId="22" xfId="0" quotePrefix="1" applyNumberFormat="1" applyFont="1" applyFill="1" applyBorder="1" applyAlignment="1">
      <alignment horizontal="left"/>
    </xf>
    <xf numFmtId="43" fontId="6" fillId="25" borderId="18" xfId="36" applyFont="1" applyFill="1" applyBorder="1" applyAlignment="1"/>
    <xf numFmtId="0" fontId="3" fillId="0" borderId="0" xfId="0" applyFont="1" applyFill="1" applyBorder="1" applyAlignment="1">
      <alignment horizontal="center"/>
    </xf>
    <xf numFmtId="7" fontId="87" fillId="0" borderId="20" xfId="57" applyNumberFormat="1" applyFont="1" applyFill="1" applyBorder="1"/>
    <xf numFmtId="0" fontId="7" fillId="0" borderId="18" xfId="0" applyFont="1" applyFill="1" applyBorder="1" applyAlignment="1">
      <alignment horizontal="left"/>
    </xf>
    <xf numFmtId="0" fontId="38" fillId="0" borderId="18" xfId="0" applyFont="1" applyFill="1" applyBorder="1" applyAlignment="1">
      <alignment horizontal="left" indent="1"/>
    </xf>
    <xf numFmtId="164" fontId="105" fillId="0" borderId="0" xfId="81" applyNumberFormat="1" applyFont="1" applyFill="1" applyBorder="1" applyAlignment="1">
      <alignment horizontal="center" vertical="center"/>
    </xf>
    <xf numFmtId="216" fontId="1" fillId="16" borderId="18" xfId="84" applyNumberFormat="1" applyFont="1" applyFill="1" applyBorder="1"/>
    <xf numFmtId="165" fontId="21" fillId="0" borderId="11" xfId="81" applyNumberFormat="1" applyFont="1" applyFill="1" applyBorder="1" applyAlignment="1">
      <alignment horizontal="center" vertical="center"/>
    </xf>
    <xf numFmtId="216" fontId="21" fillId="0" borderId="18" xfId="84" applyNumberFormat="1" applyFont="1" applyFill="1" applyBorder="1" applyAlignment="1">
      <alignment horizontal="center" vertical="center"/>
    </xf>
    <xf numFmtId="1" fontId="1" fillId="0" borderId="18" xfId="84" applyNumberFormat="1" applyFont="1" applyFill="1" applyBorder="1" applyAlignment="1">
      <alignment horizontal="left" vertical="center"/>
    </xf>
    <xf numFmtId="7" fontId="21" fillId="28" borderId="18" xfId="84" applyNumberFormat="1" applyFont="1" applyFill="1" applyBorder="1" applyAlignment="1">
      <alignment horizontal="left" vertical="center"/>
    </xf>
    <xf numFmtId="7" fontId="21" fillId="28" borderId="24" xfId="84" applyNumberFormat="1" applyFont="1" applyFill="1" applyBorder="1" applyAlignment="1">
      <alignment horizontal="left" vertical="center"/>
    </xf>
    <xf numFmtId="0" fontId="1" fillId="0" borderId="0" xfId="48" applyFill="1"/>
    <xf numFmtId="0" fontId="1" fillId="0" borderId="0" xfId="48" applyFont="1" applyFill="1"/>
    <xf numFmtId="216" fontId="1" fillId="0" borderId="0" xfId="48" applyNumberFormat="1" applyFont="1" applyFill="1"/>
    <xf numFmtId="165" fontId="38" fillId="0" borderId="0" xfId="48" applyNumberFormat="1" applyFont="1" applyFill="1"/>
    <xf numFmtId="165" fontId="1" fillId="0" borderId="0" xfId="48" applyNumberFormat="1" applyFill="1"/>
    <xf numFmtId="0" fontId="38" fillId="0" borderId="0" xfId="48" applyFont="1" applyFill="1"/>
    <xf numFmtId="165" fontId="106" fillId="0" borderId="0" xfId="48" applyNumberFormat="1" applyFont="1" applyFill="1"/>
    <xf numFmtId="216" fontId="102" fillId="0" borderId="0" xfId="48" applyNumberFormat="1" applyFont="1" applyFill="1"/>
    <xf numFmtId="164" fontId="99" fillId="0" borderId="0" xfId="0" applyNumberFormat="1" applyFont="1" applyBorder="1"/>
    <xf numFmtId="164" fontId="99" fillId="0" borderId="18" xfId="0" applyNumberFormat="1" applyFont="1" applyBorder="1"/>
    <xf numFmtId="164" fontId="99" fillId="0" borderId="18" xfId="0" applyNumberFormat="1" applyFont="1" applyFill="1" applyBorder="1"/>
    <xf numFmtId="164" fontId="99" fillId="0" borderId="0" xfId="0" applyNumberFormat="1" applyFont="1" applyFill="1" applyBorder="1"/>
    <xf numFmtId="199" fontId="2" fillId="0" borderId="0" xfId="0" applyNumberFormat="1" applyFont="1" applyFill="1" applyBorder="1" applyAlignment="1">
      <alignment horizontal="left"/>
    </xf>
    <xf numFmtId="165" fontId="6" fillId="0" borderId="19" xfId="0" applyNumberFormat="1" applyFont="1" applyFill="1" applyBorder="1"/>
    <xf numFmtId="165" fontId="6" fillId="0" borderId="0" xfId="0" applyNumberFormat="1" applyFont="1" applyFill="1" applyBorder="1"/>
    <xf numFmtId="9" fontId="2" fillId="0" borderId="19" xfId="0" applyNumberFormat="1" applyFont="1" applyBorder="1"/>
    <xf numFmtId="186" fontId="2" fillId="0" borderId="36" xfId="60" applyNumberFormat="1" applyFont="1" applyFill="1" applyBorder="1"/>
    <xf numFmtId="43" fontId="14" fillId="0" borderId="19" xfId="36" applyFont="1" applyFill="1" applyBorder="1" applyAlignment="1">
      <alignment horizontal="right"/>
    </xf>
    <xf numFmtId="165" fontId="2" fillId="25" borderId="0" xfId="69" applyNumberFormat="1" applyFont="1" applyFill="1" applyBorder="1" applyAlignment="1">
      <alignment horizontal="right"/>
    </xf>
    <xf numFmtId="165" fontId="2" fillId="30" borderId="18" xfId="69" applyNumberFormat="1" applyFont="1" applyFill="1" applyBorder="1" applyAlignment="1">
      <alignment horizontal="right"/>
    </xf>
    <xf numFmtId="165" fontId="2" fillId="25" borderId="19" xfId="69" applyNumberFormat="1" applyFont="1" applyFill="1" applyBorder="1" applyAlignment="1">
      <alignment horizontal="right"/>
    </xf>
    <xf numFmtId="43" fontId="14" fillId="25" borderId="0" xfId="36" applyFont="1" applyFill="1" applyBorder="1" applyAlignment="1">
      <alignment horizontal="right"/>
    </xf>
    <xf numFmtId="165" fontId="2" fillId="25" borderId="18" xfId="69" applyNumberFormat="1" applyFont="1" applyFill="1" applyBorder="1" applyAlignment="1">
      <alignment horizontal="right"/>
    </xf>
    <xf numFmtId="43" fontId="2" fillId="30" borderId="18" xfId="36" applyFont="1" applyFill="1" applyBorder="1"/>
    <xf numFmtId="43" fontId="14" fillId="30" borderId="0" xfId="36" applyFont="1" applyFill="1" applyBorder="1" applyAlignment="1">
      <alignment horizontal="right"/>
    </xf>
    <xf numFmtId="165" fontId="2" fillId="30" borderId="0" xfId="69" applyNumberFormat="1" applyFont="1" applyFill="1" applyBorder="1" applyAlignment="1">
      <alignment horizontal="right"/>
    </xf>
    <xf numFmtId="165" fontId="2" fillId="30" borderId="19" xfId="69" applyNumberFormat="1" applyFont="1" applyFill="1" applyBorder="1" applyAlignment="1">
      <alignment horizontal="right"/>
    </xf>
    <xf numFmtId="43" fontId="7" fillId="30" borderId="0" xfId="36" applyFont="1" applyFill="1" applyBorder="1" applyAlignment="1">
      <alignment horizontal="right"/>
    </xf>
    <xf numFmtId="164" fontId="105" fillId="0" borderId="11" xfId="81" applyNumberFormat="1" applyFont="1" applyFill="1" applyBorder="1" applyAlignment="1">
      <alignment horizontal="center" vertical="center"/>
    </xf>
    <xf numFmtId="1" fontId="108" fillId="0" borderId="11" xfId="84" applyNumberFormat="1" applyFont="1" applyFill="1" applyBorder="1" applyAlignment="1">
      <alignment horizontal="center" vertical="center"/>
    </xf>
    <xf numFmtId="180" fontId="104" fillId="0" borderId="11" xfId="84" applyNumberFormat="1" applyFont="1" applyFill="1" applyBorder="1" applyAlignment="1">
      <alignment horizontal="center" vertical="center"/>
    </xf>
    <xf numFmtId="7" fontId="1" fillId="0" borderId="11" xfId="84" applyNumberFormat="1" applyFont="1" applyFill="1" applyBorder="1" applyAlignment="1">
      <alignment horizontal="center" vertical="center"/>
    </xf>
    <xf numFmtId="165" fontId="21" fillId="28" borderId="21" xfId="84" applyNumberFormat="1" applyFont="1" applyFill="1" applyBorder="1" applyAlignment="1">
      <alignment horizontal="center" vertical="center"/>
    </xf>
    <xf numFmtId="201" fontId="3" fillId="0" borderId="0" xfId="0" applyNumberFormat="1" applyFont="1"/>
    <xf numFmtId="0" fontId="86" fillId="20" borderId="0" xfId="0" applyFont="1" applyFill="1"/>
    <xf numFmtId="0" fontId="89" fillId="20" borderId="0" xfId="0" applyFont="1" applyFill="1"/>
    <xf numFmtId="0" fontId="89" fillId="20" borderId="0" xfId="0" applyFont="1" applyFill="1" applyBorder="1"/>
    <xf numFmtId="164" fontId="6" fillId="0" borderId="18" xfId="0" applyNumberFormat="1" applyFont="1" applyFill="1" applyBorder="1"/>
    <xf numFmtId="164" fontId="6" fillId="0" borderId="0" xfId="0" applyNumberFormat="1" applyFont="1" applyFill="1" applyBorder="1"/>
    <xf numFmtId="164" fontId="6" fillId="0" borderId="19" xfId="0" applyNumberFormat="1" applyFont="1" applyFill="1" applyBorder="1"/>
    <xf numFmtId="165" fontId="6" fillId="0" borderId="18" xfId="0" applyNumberFormat="1" applyFont="1" applyFill="1" applyBorder="1"/>
    <xf numFmtId="165" fontId="6" fillId="0" borderId="20" xfId="0" applyNumberFormat="1" applyFont="1" applyFill="1" applyBorder="1"/>
    <xf numFmtId="174" fontId="110" fillId="0" borderId="18" xfId="0" applyNumberFormat="1" applyFont="1" applyFill="1" applyBorder="1"/>
    <xf numFmtId="174" fontId="110" fillId="0" borderId="0" xfId="0" applyNumberFormat="1" applyFont="1" applyFill="1" applyBorder="1"/>
    <xf numFmtId="174" fontId="110" fillId="0" borderId="19" xfId="0" applyNumberFormat="1" applyFont="1" applyFill="1" applyBorder="1"/>
    <xf numFmtId="37" fontId="2" fillId="0" borderId="18" xfId="0" applyNumberFormat="1" applyFont="1" applyFill="1" applyBorder="1"/>
    <xf numFmtId="37" fontId="2" fillId="0" borderId="0" xfId="0" applyNumberFormat="1" applyFont="1" applyFill="1" applyBorder="1" applyAlignment="1">
      <alignment horizontal="right"/>
    </xf>
    <xf numFmtId="37" fontId="2" fillId="0" borderId="19" xfId="0" applyNumberFormat="1" applyFont="1" applyFill="1" applyBorder="1"/>
    <xf numFmtId="174" fontId="87" fillId="0" borderId="19" xfId="0" applyNumberFormat="1" applyFont="1" applyFill="1" applyBorder="1"/>
    <xf numFmtId="0" fontId="2" fillId="0" borderId="24" xfId="74" applyFont="1" applyFill="1" applyBorder="1">
      <protection locked="0"/>
    </xf>
    <xf numFmtId="9" fontId="44" fillId="0" borderId="0" xfId="0" applyNumberFormat="1" applyFont="1" applyFill="1"/>
    <xf numFmtId="7" fontId="7" fillId="0" borderId="0" xfId="0" applyNumberFormat="1" applyFont="1" applyFill="1" applyBorder="1"/>
    <xf numFmtId="0" fontId="86" fillId="20" borderId="0" xfId="0" quotePrefix="1" applyFont="1" applyFill="1" applyAlignment="1" applyProtection="1">
      <alignment horizontal="left"/>
    </xf>
    <xf numFmtId="0" fontId="7" fillId="20" borderId="0" xfId="0" applyFont="1" applyFill="1"/>
    <xf numFmtId="0" fontId="2" fillId="20" borderId="0" xfId="0" applyFont="1" applyFill="1" applyAlignment="1" applyProtection="1">
      <alignment horizontal="left"/>
    </xf>
    <xf numFmtId="170" fontId="14" fillId="20" borderId="0" xfId="0" applyNumberFormat="1" applyFont="1" applyFill="1"/>
    <xf numFmtId="0" fontId="14" fillId="20" borderId="0" xfId="0" applyFont="1" applyFill="1"/>
    <xf numFmtId="176" fontId="3" fillId="20" borderId="0" xfId="0" applyNumberFormat="1" applyFont="1" applyFill="1"/>
    <xf numFmtId="41" fontId="3" fillId="0" borderId="0" xfId="74" applyNumberFormat="1" applyFont="1" applyFill="1" applyBorder="1">
      <protection locked="0"/>
    </xf>
    <xf numFmtId="167" fontId="87" fillId="0" borderId="0" xfId="36" applyNumberFormat="1" applyFont="1" applyFill="1" applyBorder="1" applyAlignment="1">
      <alignment horizontal="right"/>
    </xf>
    <xf numFmtId="174" fontId="87" fillId="0" borderId="11" xfId="36" applyNumberFormat="1" applyFont="1" applyFill="1" applyBorder="1" applyAlignment="1">
      <alignment horizontal="right"/>
    </xf>
    <xf numFmtId="174" fontId="88" fillId="0" borderId="23" xfId="0" applyNumberFormat="1" applyFont="1" applyBorder="1"/>
    <xf numFmtId="174" fontId="88" fillId="0" borderId="0" xfId="0" applyNumberFormat="1" applyFont="1" applyBorder="1"/>
    <xf numFmtId="165" fontId="97" fillId="0" borderId="18" xfId="69" applyNumberFormat="1" applyFont="1" applyFill="1" applyBorder="1" applyAlignment="1">
      <alignment horizontal="right"/>
    </xf>
    <xf numFmtId="165" fontId="97" fillId="0" borderId="0" xfId="69" applyNumberFormat="1" applyFont="1" applyFill="1" applyBorder="1" applyAlignment="1">
      <alignment horizontal="right"/>
    </xf>
    <xf numFmtId="201" fontId="94" fillId="0" borderId="0" xfId="36" applyNumberFormat="1" applyFont="1" applyFill="1" applyBorder="1"/>
    <xf numFmtId="169" fontId="43" fillId="0" borderId="11" xfId="0" applyNumberFormat="1" applyFont="1" applyFill="1" applyBorder="1" applyAlignment="1" applyProtection="1">
      <alignment horizontal="right"/>
    </xf>
    <xf numFmtId="169" fontId="11" fillId="17" borderId="0" xfId="0" applyNumberFormat="1" applyFont="1" applyFill="1" applyBorder="1" applyAlignment="1" applyProtection="1">
      <alignment horizontal="center"/>
    </xf>
    <xf numFmtId="169" fontId="43" fillId="0" borderId="13" xfId="0" applyNumberFormat="1" applyFont="1" applyFill="1" applyBorder="1" applyAlignment="1" applyProtection="1">
      <alignment horizontal="center"/>
    </xf>
    <xf numFmtId="169" fontId="43" fillId="0" borderId="12" xfId="0" applyNumberFormat="1" applyFont="1" applyFill="1" applyBorder="1" applyAlignment="1" applyProtection="1">
      <alignment horizontal="center"/>
    </xf>
    <xf numFmtId="169" fontId="43" fillId="0" borderId="29" xfId="0" applyNumberFormat="1" applyFont="1" applyFill="1" applyBorder="1" applyAlignment="1" applyProtection="1">
      <alignment horizontal="center"/>
    </xf>
    <xf numFmtId="165" fontId="102" fillId="0" borderId="0" xfId="48" applyNumberFormat="1" applyFont="1"/>
    <xf numFmtId="164" fontId="1" fillId="16" borderId="0" xfId="84" applyNumberFormat="1" applyFont="1" applyFill="1" applyBorder="1"/>
    <xf numFmtId="164" fontId="102" fillId="16" borderId="0" xfId="84" applyNumberFormat="1" applyFont="1" applyFill="1" applyBorder="1"/>
    <xf numFmtId="164" fontId="102" fillId="0" borderId="0" xfId="48" applyNumberFormat="1" applyFont="1"/>
    <xf numFmtId="164" fontId="97" fillId="0" borderId="18" xfId="69" applyNumberFormat="1" applyFont="1" applyFill="1" applyBorder="1" applyAlignment="1">
      <alignment horizontal="right"/>
    </xf>
    <xf numFmtId="164" fontId="97" fillId="0" borderId="0" xfId="69" applyNumberFormat="1" applyFont="1" applyFill="1" applyBorder="1" applyAlignment="1">
      <alignment horizontal="right"/>
    </xf>
    <xf numFmtId="174" fontId="97" fillId="0" borderId="19" xfId="0" applyNumberFormat="1" applyFont="1" applyBorder="1"/>
    <xf numFmtId="164" fontId="97" fillId="0" borderId="18" xfId="0" applyNumberFormat="1" applyFont="1" applyFill="1" applyBorder="1"/>
    <xf numFmtId="164" fontId="97" fillId="0" borderId="0" xfId="0" applyNumberFormat="1" applyFont="1" applyFill="1" applyBorder="1"/>
    <xf numFmtId="164" fontId="97" fillId="0" borderId="18" xfId="0" applyNumberFormat="1" applyFont="1" applyBorder="1"/>
    <xf numFmtId="164" fontId="97" fillId="0" borderId="0" xfId="0" applyNumberFormat="1" applyFont="1" applyBorder="1"/>
    <xf numFmtId="165" fontId="1" fillId="0" borderId="0" xfId="48" applyNumberFormat="1" applyFont="1"/>
    <xf numFmtId="0" fontId="6" fillId="25" borderId="18" xfId="61" applyFont="1" applyFill="1" applyBorder="1" applyAlignment="1">
      <alignment horizontal="left"/>
    </xf>
    <xf numFmtId="169" fontId="6" fillId="25" borderId="0" xfId="61" applyNumberFormat="1" applyFont="1" applyFill="1" applyBorder="1" applyAlignment="1">
      <alignment horizontal="center"/>
    </xf>
    <xf numFmtId="169" fontId="100" fillId="25" borderId="18" xfId="0" applyNumberFormat="1" applyFont="1" applyFill="1" applyBorder="1" applyAlignment="1" applyProtection="1">
      <alignment horizontal="center"/>
    </xf>
    <xf numFmtId="169" fontId="100" fillId="25" borderId="0" xfId="0" applyNumberFormat="1" applyFont="1" applyFill="1" applyBorder="1" applyAlignment="1" applyProtection="1">
      <alignment horizontal="center"/>
    </xf>
    <xf numFmtId="169" fontId="100" fillId="25" borderId="19" xfId="0" applyNumberFormat="1" applyFont="1" applyFill="1" applyBorder="1" applyAlignment="1" applyProtection="1">
      <alignment horizontal="right"/>
    </xf>
    <xf numFmtId="169" fontId="100" fillId="25" borderId="0" xfId="60" applyNumberFormat="1" applyFont="1" applyFill="1" applyBorder="1" applyAlignment="1" applyProtection="1">
      <alignment horizontal="center"/>
    </xf>
    <xf numFmtId="169" fontId="100" fillId="25" borderId="0" xfId="0" applyNumberFormat="1" applyFont="1" applyFill="1" applyBorder="1" applyAlignment="1" applyProtection="1">
      <alignment horizontal="right"/>
    </xf>
    <xf numFmtId="165" fontId="100" fillId="25" borderId="18" xfId="0" applyNumberFormat="1" applyFont="1" applyFill="1" applyBorder="1" applyAlignment="1" applyProtection="1">
      <alignment horizontal="right"/>
    </xf>
    <xf numFmtId="165" fontId="100" fillId="25" borderId="0" xfId="0" applyNumberFormat="1" applyFont="1" applyFill="1" applyBorder="1" applyAlignment="1" applyProtection="1"/>
    <xf numFmtId="165" fontId="100" fillId="25" borderId="19" xfId="0" applyNumberFormat="1" applyFont="1" applyFill="1" applyBorder="1" applyAlignment="1" applyProtection="1">
      <alignment horizontal="right"/>
    </xf>
    <xf numFmtId="165" fontId="100" fillId="25" borderId="18" xfId="0" applyNumberFormat="1" applyFont="1" applyFill="1" applyBorder="1" applyAlignment="1" applyProtection="1"/>
    <xf numFmtId="0" fontId="6" fillId="25" borderId="24" xfId="61" applyFont="1" applyFill="1" applyBorder="1" applyAlignment="1">
      <alignment horizontal="left"/>
    </xf>
    <xf numFmtId="169" fontId="6" fillId="25" borderId="20" xfId="61" applyNumberFormat="1" applyFont="1" applyFill="1" applyBorder="1" applyAlignment="1">
      <alignment horizontal="center"/>
    </xf>
    <xf numFmtId="169" fontId="100" fillId="25" borderId="24" xfId="0" applyNumberFormat="1" applyFont="1" applyFill="1" applyBorder="1" applyAlignment="1" applyProtection="1">
      <alignment horizontal="center"/>
    </xf>
    <xf numFmtId="169" fontId="100" fillId="25" borderId="20" xfId="0" applyNumberFormat="1" applyFont="1" applyFill="1" applyBorder="1" applyAlignment="1" applyProtection="1">
      <alignment horizontal="center"/>
    </xf>
    <xf numFmtId="169" fontId="100" fillId="25" borderId="25" xfId="0" applyNumberFormat="1" applyFont="1" applyFill="1" applyBorder="1" applyAlignment="1" applyProtection="1">
      <alignment horizontal="right"/>
    </xf>
    <xf numFmtId="169" fontId="100" fillId="25" borderId="20" xfId="60" applyNumberFormat="1" applyFont="1" applyFill="1" applyBorder="1" applyAlignment="1" applyProtection="1">
      <alignment horizontal="center"/>
    </xf>
    <xf numFmtId="169" fontId="100" fillId="25" borderId="20" xfId="0" applyNumberFormat="1" applyFont="1" applyFill="1" applyBorder="1" applyAlignment="1" applyProtection="1">
      <alignment horizontal="right"/>
    </xf>
    <xf numFmtId="165" fontId="100" fillId="25" borderId="24" xfId="0" applyNumberFormat="1" applyFont="1" applyFill="1" applyBorder="1" applyAlignment="1" applyProtection="1">
      <alignment horizontal="right"/>
    </xf>
    <xf numFmtId="165" fontId="100" fillId="25" borderId="20" xfId="0" applyNumberFormat="1" applyFont="1" applyFill="1" applyBorder="1" applyAlignment="1" applyProtection="1"/>
    <xf numFmtId="165" fontId="100" fillId="25" borderId="25" xfId="0" applyNumberFormat="1" applyFont="1" applyFill="1" applyBorder="1" applyAlignment="1" applyProtection="1">
      <alignment horizontal="right"/>
    </xf>
    <xf numFmtId="165" fontId="100" fillId="25" borderId="24" xfId="0" applyNumberFormat="1" applyFont="1" applyFill="1" applyBorder="1" applyAlignment="1" applyProtection="1"/>
    <xf numFmtId="0" fontId="6" fillId="22" borderId="18" xfId="0" applyFont="1" applyFill="1" applyBorder="1" applyAlignment="1">
      <alignment horizontal="left"/>
    </xf>
    <xf numFmtId="165" fontId="2" fillId="22" borderId="0" xfId="69" applyNumberFormat="1" applyFont="1" applyFill="1" applyBorder="1"/>
    <xf numFmtId="165" fontId="2" fillId="22" borderId="18" xfId="69" applyNumberFormat="1" applyFont="1" applyFill="1" applyBorder="1"/>
    <xf numFmtId="165" fontId="2" fillId="22" borderId="19" xfId="69" applyNumberFormat="1" applyFont="1" applyFill="1" applyBorder="1"/>
    <xf numFmtId="165" fontId="6" fillId="22" borderId="18" xfId="69" applyNumberFormat="1" applyFont="1" applyFill="1" applyBorder="1"/>
    <xf numFmtId="165" fontId="6" fillId="22" borderId="0" xfId="69" applyNumberFormat="1" applyFont="1" applyFill="1" applyBorder="1"/>
    <xf numFmtId="165" fontId="6" fillId="22" borderId="19" xfId="69" applyNumberFormat="1" applyFont="1" applyFill="1" applyBorder="1"/>
    <xf numFmtId="0" fontId="6" fillId="25" borderId="18" xfId="0" applyFont="1" applyFill="1" applyBorder="1" applyAlignment="1">
      <alignment horizontal="left"/>
    </xf>
    <xf numFmtId="165" fontId="2" fillId="25" borderId="0" xfId="69" applyNumberFormat="1" applyFont="1" applyFill="1" applyBorder="1"/>
    <xf numFmtId="165" fontId="2" fillId="25" borderId="18" xfId="69" applyNumberFormat="1" applyFont="1" applyFill="1" applyBorder="1"/>
    <xf numFmtId="165" fontId="2" fillId="25" borderId="19" xfId="69" applyNumberFormat="1" applyFont="1" applyFill="1" applyBorder="1"/>
    <xf numFmtId="165" fontId="6" fillId="25" borderId="18" xfId="69" applyNumberFormat="1" applyFont="1" applyFill="1" applyBorder="1"/>
    <xf numFmtId="165" fontId="6" fillId="25" borderId="0" xfId="69" applyNumberFormat="1" applyFont="1" applyFill="1" applyBorder="1"/>
    <xf numFmtId="165" fontId="6" fillId="25" borderId="19" xfId="69" applyNumberFormat="1" applyFont="1" applyFill="1" applyBorder="1"/>
    <xf numFmtId="0" fontId="2" fillId="22" borderId="24" xfId="0" applyFont="1" applyFill="1" applyBorder="1"/>
    <xf numFmtId="165" fontId="2" fillId="22" borderId="20" xfId="69" applyNumberFormat="1" applyFont="1" applyFill="1" applyBorder="1"/>
    <xf numFmtId="165" fontId="2" fillId="22" borderId="24" xfId="69" applyNumberFormat="1" applyFont="1" applyFill="1" applyBorder="1"/>
    <xf numFmtId="165" fontId="2" fillId="22" borderId="25" xfId="69" applyNumberFormat="1" applyFont="1" applyFill="1" applyBorder="1"/>
    <xf numFmtId="165" fontId="6" fillId="22" borderId="24" xfId="69" applyNumberFormat="1" applyFont="1" applyFill="1" applyBorder="1"/>
    <xf numFmtId="165" fontId="6" fillId="22" borderId="20" xfId="69" applyNumberFormat="1" applyFont="1" applyFill="1" applyBorder="1"/>
    <xf numFmtId="165" fontId="6" fillId="22" borderId="25" xfId="69" applyNumberFormat="1" applyFont="1" applyFill="1" applyBorder="1"/>
    <xf numFmtId="169" fontId="6" fillId="25" borderId="18" xfId="0" applyNumberFormat="1" applyFont="1" applyFill="1" applyBorder="1" applyAlignment="1" applyProtection="1">
      <alignment horizontal="center"/>
    </xf>
    <xf numFmtId="169" fontId="6" fillId="25" borderId="0" xfId="0" applyNumberFormat="1" applyFont="1" applyFill="1" applyBorder="1" applyAlignment="1" applyProtection="1">
      <alignment horizontal="center"/>
    </xf>
    <xf numFmtId="169" fontId="6" fillId="25" borderId="19" xfId="0" applyNumberFormat="1" applyFont="1" applyFill="1" applyBorder="1" applyAlignment="1" applyProtection="1">
      <alignment horizontal="right"/>
    </xf>
    <xf numFmtId="169" fontId="6" fillId="25" borderId="0" xfId="60" applyNumberFormat="1" applyFont="1" applyFill="1" applyBorder="1" applyAlignment="1" applyProtection="1">
      <alignment horizontal="center"/>
    </xf>
    <xf numFmtId="169" fontId="6" fillId="25" borderId="0" xfId="0" applyNumberFormat="1" applyFont="1" applyFill="1" applyBorder="1" applyAlignment="1" applyProtection="1">
      <alignment horizontal="right"/>
    </xf>
    <xf numFmtId="165" fontId="6" fillId="25" borderId="18" xfId="0" applyNumberFormat="1" applyFont="1" applyFill="1" applyBorder="1" applyAlignment="1" applyProtection="1">
      <alignment horizontal="right"/>
    </xf>
    <xf numFmtId="165" fontId="6" fillId="25" borderId="0" xfId="0" applyNumberFormat="1" applyFont="1" applyFill="1" applyBorder="1" applyAlignment="1" applyProtection="1"/>
    <xf numFmtId="165" fontId="6" fillId="25" borderId="19" xfId="0" applyNumberFormat="1" applyFont="1" applyFill="1" applyBorder="1" applyAlignment="1" applyProtection="1">
      <alignment horizontal="right"/>
    </xf>
    <xf numFmtId="165" fontId="6" fillId="25" borderId="18" xfId="0" applyNumberFormat="1" applyFont="1" applyFill="1" applyBorder="1" applyAlignment="1" applyProtection="1"/>
    <xf numFmtId="169" fontId="6" fillId="25" borderId="24" xfId="0" applyNumberFormat="1" applyFont="1" applyFill="1" applyBorder="1" applyAlignment="1" applyProtection="1">
      <alignment horizontal="center"/>
    </xf>
    <xf numFmtId="169" fontId="6" fillId="25" borderId="20" xfId="0" applyNumberFormat="1" applyFont="1" applyFill="1" applyBorder="1" applyAlignment="1" applyProtection="1">
      <alignment horizontal="center"/>
    </xf>
    <xf numFmtId="169" fontId="6" fillId="25" borderId="25" xfId="0" applyNumberFormat="1" applyFont="1" applyFill="1" applyBorder="1" applyAlignment="1" applyProtection="1">
      <alignment horizontal="right"/>
    </xf>
    <xf numFmtId="169" fontId="6" fillId="25" borderId="20" xfId="60" applyNumberFormat="1" applyFont="1" applyFill="1" applyBorder="1" applyAlignment="1" applyProtection="1">
      <alignment horizontal="center"/>
    </xf>
    <xf numFmtId="169" fontId="6" fillId="25" borderId="20" xfId="0" applyNumberFormat="1" applyFont="1" applyFill="1" applyBorder="1" applyAlignment="1" applyProtection="1">
      <alignment horizontal="right"/>
    </xf>
    <xf numFmtId="165" fontId="6" fillId="25" borderId="24" xfId="0" applyNumberFormat="1" applyFont="1" applyFill="1" applyBorder="1" applyAlignment="1" applyProtection="1">
      <alignment horizontal="right"/>
    </xf>
    <xf numFmtId="165" fontId="6" fillId="25" borderId="20" xfId="0" applyNumberFormat="1" applyFont="1" applyFill="1" applyBorder="1" applyAlignment="1" applyProtection="1"/>
    <xf numFmtId="165" fontId="6" fillId="25" borderId="25" xfId="0" applyNumberFormat="1" applyFont="1" applyFill="1" applyBorder="1" applyAlignment="1" applyProtection="1">
      <alignment horizontal="right"/>
    </xf>
    <xf numFmtId="165" fontId="6" fillId="25" borderId="24" xfId="0" applyNumberFormat="1" applyFont="1" applyFill="1" applyBorder="1" applyAlignment="1" applyProtection="1"/>
    <xf numFmtId="5" fontId="97" fillId="0" borderId="20" xfId="64" applyNumberFormat="1" applyFont="1" applyFill="1" applyBorder="1" applyAlignment="1" applyProtection="1">
      <alignment horizontal="right"/>
    </xf>
    <xf numFmtId="164" fontId="87" fillId="0" borderId="27" xfId="0" applyNumberFormat="1" applyFont="1" applyFill="1" applyBorder="1"/>
    <xf numFmtId="210" fontId="3" fillId="0" borderId="0" xfId="0" applyNumberFormat="1" applyFont="1" applyFill="1"/>
    <xf numFmtId="9" fontId="99" fillId="0" borderId="0" xfId="69" applyNumberFormat="1" applyFont="1" applyFill="1" applyBorder="1"/>
    <xf numFmtId="9" fontId="99" fillId="0" borderId="20" xfId="69" applyNumberFormat="1" applyFont="1" applyFill="1" applyBorder="1"/>
    <xf numFmtId="174" fontId="87" fillId="0" borderId="0" xfId="64" applyNumberFormat="1" applyFont="1" applyFill="1" applyBorder="1" applyAlignment="1" applyProtection="1">
      <alignment horizontal="right"/>
    </xf>
    <xf numFmtId="10" fontId="14" fillId="0" borderId="0" xfId="69" applyNumberFormat="1" applyFont="1" applyFill="1" applyBorder="1" applyAlignment="1" applyProtection="1"/>
    <xf numFmtId="8" fontId="2" fillId="0" borderId="0" xfId="0" applyNumberFormat="1" applyFont="1"/>
    <xf numFmtId="0" fontId="2" fillId="0" borderId="0" xfId="0" applyFont="1" applyFill="1" applyAlignment="1">
      <alignment horizontal="center"/>
    </xf>
    <xf numFmtId="0" fontId="2" fillId="23" borderId="0" xfId="0" applyFont="1" applyFill="1" applyAlignment="1">
      <alignment horizontal="left" indent="1"/>
    </xf>
    <xf numFmtId="0" fontId="2" fillId="23" borderId="0" xfId="0" applyFont="1" applyFill="1" applyAlignment="1">
      <alignment horizontal="center"/>
    </xf>
    <xf numFmtId="174" fontId="24" fillId="0" borderId="59" xfId="0" applyNumberFormat="1" applyFont="1" applyFill="1" applyBorder="1" applyAlignment="1">
      <alignment horizontal="right"/>
    </xf>
    <xf numFmtId="174" fontId="2" fillId="0" borderId="63" xfId="0" applyNumberFormat="1" applyFont="1" applyFill="1" applyBorder="1" applyAlignment="1">
      <alignment horizontal="right"/>
    </xf>
    <xf numFmtId="174" fontId="2" fillId="0" borderId="59" xfId="0" applyNumberFormat="1" applyFont="1" applyFill="1" applyBorder="1" applyAlignment="1">
      <alignment horizontal="right"/>
    </xf>
    <xf numFmtId="174" fontId="97" fillId="0" borderId="0" xfId="0" applyNumberFormat="1" applyFont="1" applyFill="1" applyBorder="1" applyAlignment="1" applyProtection="1"/>
    <xf numFmtId="0" fontId="1" fillId="31" borderId="0" xfId="93" applyFont="1" applyFill="1" applyAlignment="1">
      <alignment vertical="top"/>
    </xf>
    <xf numFmtId="0" fontId="1" fillId="31" borderId="0" xfId="48" applyFill="1" applyAlignment="1">
      <alignment vertical="top"/>
    </xf>
    <xf numFmtId="0" fontId="1" fillId="31" borderId="0" xfId="48" applyFill="1"/>
    <xf numFmtId="0" fontId="29" fillId="31" borderId="0" xfId="93" applyFont="1" applyFill="1" applyAlignment="1">
      <alignment horizontal="left" vertical="top"/>
    </xf>
    <xf numFmtId="0" fontId="1" fillId="31" borderId="0" xfId="48" applyFont="1" applyFill="1" applyAlignment="1">
      <alignment vertical="top"/>
    </xf>
    <xf numFmtId="0" fontId="38" fillId="31" borderId="0" xfId="93" applyFont="1" applyFill="1" applyAlignment="1">
      <alignment vertical="top"/>
    </xf>
    <xf numFmtId="0" fontId="0" fillId="31" borderId="0" xfId="0" applyFill="1" applyAlignment="1">
      <alignment vertical="top"/>
    </xf>
    <xf numFmtId="0" fontId="112" fillId="31" borderId="0" xfId="0" applyFont="1" applyFill="1" applyAlignment="1">
      <alignment vertical="top"/>
    </xf>
    <xf numFmtId="0" fontId="113" fillId="31" borderId="0" xfId="0" applyFont="1" applyFill="1" applyAlignment="1">
      <alignment vertical="top"/>
    </xf>
    <xf numFmtId="0" fontId="113" fillId="31" borderId="0" xfId="0" applyFont="1" applyFill="1" applyAlignment="1">
      <alignment vertical="top"/>
    </xf>
    <xf numFmtId="0" fontId="112" fillId="31" borderId="0" xfId="0" applyFont="1" applyFill="1" applyAlignment="1">
      <alignment vertical="top"/>
    </xf>
    <xf numFmtId="0" fontId="0" fillId="31" borderId="0" xfId="0" applyFill="1" applyAlignment="1">
      <alignment vertical="top"/>
    </xf>
    <xf numFmtId="0" fontId="0" fillId="31" borderId="68" xfId="0" applyFill="1" applyBorder="1" applyAlignment="1">
      <alignment vertical="top"/>
    </xf>
    <xf numFmtId="0" fontId="112" fillId="31" borderId="64" xfId="0" applyFont="1" applyFill="1" applyBorder="1" applyAlignment="1">
      <alignment vertical="top"/>
    </xf>
    <xf numFmtId="0" fontId="112" fillId="31" borderId="65" xfId="0" applyFont="1" applyFill="1" applyBorder="1" applyAlignment="1">
      <alignment vertical="top"/>
    </xf>
    <xf numFmtId="0" fontId="112" fillId="31" borderId="66" xfId="0" applyFont="1" applyFill="1" applyBorder="1" applyAlignment="1">
      <alignment vertical="top"/>
    </xf>
    <xf numFmtId="0" fontId="112" fillId="31" borderId="67" xfId="0" applyFont="1" applyFill="1" applyBorder="1" applyAlignment="1">
      <alignment vertical="top"/>
    </xf>
    <xf numFmtId="9" fontId="112" fillId="31" borderId="64" xfId="0" applyNumberFormat="1" applyFont="1" applyFill="1" applyBorder="1" applyAlignment="1">
      <alignment vertical="top"/>
    </xf>
    <xf numFmtId="3" fontId="112" fillId="31" borderId="64" xfId="0" applyNumberFormat="1" applyFont="1" applyFill="1" applyBorder="1" applyAlignment="1">
      <alignment vertical="top"/>
    </xf>
    <xf numFmtId="0" fontId="0" fillId="31" borderId="69" xfId="0" applyFill="1" applyBorder="1" applyAlignment="1">
      <alignment vertical="top"/>
    </xf>
    <xf numFmtId="2" fontId="1" fillId="0" borderId="0" xfId="48" applyNumberFormat="1" applyAlignment="1">
      <alignment horizontal="left"/>
    </xf>
    <xf numFmtId="0" fontId="1" fillId="0" borderId="0" xfId="48" applyNumberFormat="1" applyAlignment="1">
      <alignment horizontal="left"/>
    </xf>
    <xf numFmtId="1" fontId="1" fillId="0" borderId="0" xfId="48" applyNumberFormat="1" applyAlignment="1">
      <alignment horizontal="left"/>
    </xf>
    <xf numFmtId="228" fontId="1" fillId="0" borderId="0" xfId="48" applyNumberFormat="1" applyAlignment="1">
      <alignment horizontal="left"/>
    </xf>
    <xf numFmtId="49" fontId="1" fillId="0" borderId="0" xfId="48" applyNumberFormat="1"/>
  </cellXfs>
  <cellStyles count="94">
    <cellStyle name=" 1" xfId="86"/>
    <cellStyle name="_BS " xfId="78"/>
    <cellStyle name="_COV" xfId="2"/>
    <cellStyle name="_COV_A_Nov20" xfId="3"/>
    <cellStyle name="_COV_A_Nov20 2 2" xfId="4"/>
    <cellStyle name="_DCF " xfId="79"/>
    <cellStyle name="_SUMMARY " xfId="5"/>
    <cellStyle name="0_Capex &amp; Depreciation " xfId="6"/>
    <cellStyle name="0_OMV EP 2000-2015 Consolidated " xfId="80"/>
    <cellStyle name="0_Pension_UTX Example_Acute Care " xfId="87"/>
    <cellStyle name="0_Quarterly " xfId="88"/>
    <cellStyle name="0_TPP.N Ver 15_Acute Care " xfId="89"/>
    <cellStyle name="0_Valuing BP " xfId="7"/>
    <cellStyle name="20% - Accent1" xfId="8" builtinId="30" customBuiltin="1"/>
    <cellStyle name="20% - Accent2" xfId="9" builtinId="34" customBuiltin="1"/>
    <cellStyle name="20% - Accent3" xfId="10" builtinId="38" customBuiltin="1"/>
    <cellStyle name="20% - Accent4" xfId="11" builtinId="42" customBuiltin="1"/>
    <cellStyle name="20% - Accent5" xfId="12" builtinId="46" customBuiltin="1"/>
    <cellStyle name="20% - Accent6" xfId="13" builtinId="50" customBuiltin="1"/>
    <cellStyle name="40% - Accent1" xfId="14" builtinId="31" customBuiltin="1"/>
    <cellStyle name="40% - Accent2" xfId="15" builtinId="35" customBuiltin="1"/>
    <cellStyle name="40% - Accent3" xfId="16" builtinId="39" customBuiltin="1"/>
    <cellStyle name="40% - Accent4" xfId="17" builtinId="43" customBuiltin="1"/>
    <cellStyle name="40% - Accent5" xfId="18" builtinId="47" customBuiltin="1"/>
    <cellStyle name="40% - Accent6" xfId="19" builtinId="51" customBuiltin="1"/>
    <cellStyle name="60% - Accent1" xfId="20" builtinId="32" customBuiltin="1"/>
    <cellStyle name="60% - Accent2" xfId="21" builtinId="36" customBuiltin="1"/>
    <cellStyle name="60% - Accent3" xfId="22" builtinId="40" customBuiltin="1"/>
    <cellStyle name="60% - Accent4" xfId="23" builtinId="44" customBuiltin="1"/>
    <cellStyle name="60% - Accent5" xfId="24" builtinId="48" customBuiltin="1"/>
    <cellStyle name="60% - Accent6" xfId="25" builtinId="52" customBuiltin="1"/>
    <cellStyle name="Accent1" xfId="26" builtinId="29" customBuiltin="1"/>
    <cellStyle name="Accent2" xfId="27" builtinId="33" customBuiltin="1"/>
    <cellStyle name="Accent3" xfId="28" builtinId="37" customBuiltin="1"/>
    <cellStyle name="Accent4" xfId="29" builtinId="41" customBuiltin="1"/>
    <cellStyle name="Accent5" xfId="30" builtinId="45" customBuiltin="1"/>
    <cellStyle name="Accent6" xfId="31" builtinId="49" customBuiltin="1"/>
    <cellStyle name="Bad" xfId="32" builtinId="27" customBuiltin="1"/>
    <cellStyle name="c_HardInc " xfId="33"/>
    <cellStyle name="Calculation" xfId="34" builtinId="22" customBuiltin="1"/>
    <cellStyle name="Check Cell" xfId="35" builtinId="23" customBuiltin="1"/>
    <cellStyle name="Comma" xfId="36" builtinId="3"/>
    <cellStyle name="Comma 2" xfId="37"/>
    <cellStyle name="Comma 2 2" xfId="84"/>
    <cellStyle name="Currency" xfId="38" builtinId="4"/>
    <cellStyle name="Explanatory Text" xfId="39" builtinId="53" customBuiltin="1"/>
    <cellStyle name="Good" xfId="40" builtinId="26" customBuiltin="1"/>
    <cellStyle name="Heading 1" xfId="41" builtinId="16" customBuiltin="1"/>
    <cellStyle name="Heading 2" xfId="42" builtinId="17" customBuiltin="1"/>
    <cellStyle name="Heading 3" xfId="43" builtinId="18" customBuiltin="1"/>
    <cellStyle name="Heading 4" xfId="44" builtinId="19" customBuiltin="1"/>
    <cellStyle name="Input" xfId="45" builtinId="20" customBuiltin="1"/>
    <cellStyle name="Linked Cell" xfId="46" builtinId="24" customBuiltin="1"/>
    <cellStyle name="Neutral" xfId="47" builtinId="28" customBuiltin="1"/>
    <cellStyle name="nonsignificant " xfId="90"/>
    <cellStyle name="Normal" xfId="0" builtinId="0"/>
    <cellStyle name="Normal 1" xfId="48"/>
    <cellStyle name="Normal 2" xfId="49"/>
    <cellStyle name="Normal 2 2" xfId="85"/>
    <cellStyle name="Normal_bec" xfId="50"/>
    <cellStyle name="Normal_bec_AFFX" xfId="51"/>
    <cellStyle name="Normal_bec_Book2" xfId="52"/>
    <cellStyle name="Normal_bec_IS" xfId="53"/>
    <cellStyle name="Normal_bec_RevBuild" xfId="54"/>
    <cellStyle name="Normal_BS" xfId="55"/>
    <cellStyle name="Normal_COV_1" xfId="56"/>
    <cellStyle name="Normal_CYTC" xfId="57"/>
    <cellStyle name="Normal_CYTC Master" xfId="58"/>
    <cellStyle name="Normal_Dgx" xfId="59"/>
    <cellStyle name="Normal_DisclaimerSheet Samples" xfId="93"/>
    <cellStyle name="Normal_HOLXcurrent" xfId="60"/>
    <cellStyle name="Normal_HRC(1)" xfId="61"/>
    <cellStyle name="Normal_Internet Security Systems Model" xfId="62"/>
    <cellStyle name="Normal_Internet Security Systems Model_IS" xfId="63"/>
    <cellStyle name="Normal_ISRG" xfId="64"/>
    <cellStyle name="Normal_ISRG_Book2" xfId="65"/>
    <cellStyle name="Note" xfId="66" builtinId="10" customBuiltin="1"/>
    <cellStyle name="Output" xfId="67" builtinId="21" customBuiltin="1"/>
    <cellStyle name="p " xfId="68"/>
    <cellStyle name="Percent" xfId="69" builtinId="5"/>
    <cellStyle name="Percent 3" xfId="81"/>
    <cellStyle name="RRSInstruction" xfId="70"/>
    <cellStyle name="RRSInstruction 2" xfId="1"/>
    <cellStyle name="s_HardInc " xfId="71"/>
    <cellStyle name="s_Valuation " xfId="72"/>
    <cellStyle name="significantPairwiseTtest " xfId="91"/>
    <cellStyle name="ssp " xfId="73"/>
    <cellStyle name="Style 1" xfId="74"/>
    <cellStyle name="Title" xfId="75" builtinId="15" customBuiltin="1"/>
    <cellStyle name="Total" xfId="76" builtinId="25" customBuiltin="1"/>
    <cellStyle name="totalCell " xfId="92"/>
    <cellStyle name="Warning Text" xfId="77" builtinId="11" customBuiltin="1"/>
    <cellStyle name="콤마 [0]_#3이설 견적_준공내역총괄표 " xfId="82"/>
    <cellStyle name="콤마_#3이설 견적_준공내역총괄표 " xfId="8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238B45"/>
      <color rgb="FFD9D9D9"/>
      <color rgb="FF137CB1"/>
      <color rgb="FF2270AB"/>
      <color rgb="FFC0C0C0"/>
      <color rgb="FF808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externalLinks/externalLink1.xml" Type="http://schemas.openxmlformats.org/officeDocument/2006/relationships/externalLink"/>
<Relationship Id="rId13" Target="externalLinks/externalLink2.xml" Type="http://schemas.openxmlformats.org/officeDocument/2006/relationships/externalLink"/>
<Relationship Id="rId14" Target="externalLinks/externalLink3.xml" Type="http://schemas.openxmlformats.org/officeDocument/2006/relationships/externalLink"/>
<Relationship Id="rId15" Target="externalLinks/externalLink4.xml" Type="http://schemas.openxmlformats.org/officeDocument/2006/relationships/externalLink"/>
<Relationship Id="rId16" Target="externalLinks/externalLink5.xml" Type="http://schemas.openxmlformats.org/officeDocument/2006/relationships/externalLink"/>
<Relationship Id="rId17" Target="externalLinks/externalLink6.xml" Type="http://schemas.openxmlformats.org/officeDocument/2006/relationships/externalLink"/>
<Relationship Id="rId18" Target="externalLinks/externalLink7.xml" Type="http://schemas.openxmlformats.org/officeDocument/2006/relationships/externalLink"/>
<Relationship Id="rId19" Target="externalLinks/externalLink8.xml" Type="http://schemas.openxmlformats.org/officeDocument/2006/relationships/externalLink"/>
<Relationship Id="rId2" Target="worksheets/sheet2.xml" Type="http://schemas.openxmlformats.org/officeDocument/2006/relationships/worksheet"/>
<Relationship Id="rId20" Target="externalLinks/externalLink9.xml" Type="http://schemas.openxmlformats.org/officeDocument/2006/relationships/externalLink"/>
<Relationship Id="rId21" Target="externalLinks/externalLink10.xml" Type="http://schemas.openxmlformats.org/officeDocument/2006/relationships/externalLink"/>
<Relationship Id="rId22" Target="externalLinks/externalLink11.xml" Type="http://schemas.openxmlformats.org/officeDocument/2006/relationships/externalLink"/>
<Relationship Id="rId23" Target="externalLinks/externalLink12.xml" Type="http://schemas.openxmlformats.org/officeDocument/2006/relationships/externalLink"/>
<Relationship Id="rId24" Target="externalLinks/externalLink13.xml" Type="http://schemas.openxmlformats.org/officeDocument/2006/relationships/externalLink"/>
<Relationship Id="rId25" Target="externalLinks/externalLink14.xml" Type="http://schemas.openxmlformats.org/officeDocument/2006/relationships/externalLink"/>
<Relationship Id="rId26" Target="externalLinks/externalLink15.xml" Type="http://schemas.openxmlformats.org/officeDocument/2006/relationships/externalLink"/>
<Relationship Id="rId27" Target="externalLinks/externalLink16.xml" Type="http://schemas.openxmlformats.org/officeDocument/2006/relationships/externalLink"/>
<Relationship Id="rId28" Target="externalLinks/externalLink17.xml" Type="http://schemas.openxmlformats.org/officeDocument/2006/relationships/externalLink"/>
<Relationship Id="rId29" Target="externalLinks/externalLink18.xml" Type="http://schemas.openxmlformats.org/officeDocument/2006/relationships/externalLink"/>
<Relationship Id="rId3" Target="worksheets/sheet3.xml" Type="http://schemas.openxmlformats.org/officeDocument/2006/relationships/worksheet"/>
<Relationship Id="rId30" Target="externalLinks/externalLink19.xml" Type="http://schemas.openxmlformats.org/officeDocument/2006/relationships/externalLink"/>
<Relationship Id="rId31" Target="externalLinks/externalLink20.xml" Type="http://schemas.openxmlformats.org/officeDocument/2006/relationships/externalLink"/>
<Relationship Id="rId32" Target="externalLinks/externalLink21.xml" Type="http://schemas.openxmlformats.org/officeDocument/2006/relationships/externalLink"/>
<Relationship Id="rId33" Target="externalLinks/externalLink22.xml" Type="http://schemas.openxmlformats.org/officeDocument/2006/relationships/externalLink"/>
<Relationship Id="rId34" Target="externalLinks/externalLink23.xml" Type="http://schemas.openxmlformats.org/officeDocument/2006/relationships/externalLink"/>
<Relationship Id="rId35" Target="externalLinks/externalLink24.xml" Type="http://schemas.openxmlformats.org/officeDocument/2006/relationships/externalLink"/>
<Relationship Id="rId36" Target="externalLinks/externalLink25.xml" Type="http://schemas.openxmlformats.org/officeDocument/2006/relationships/externalLink"/>
<Relationship Id="rId37" Target="externalLinks/externalLink26.xml" Type="http://schemas.openxmlformats.org/officeDocument/2006/relationships/externalLink"/>
<Relationship Id="rId38" Target="externalLinks/externalLink27.xml" Type="http://schemas.openxmlformats.org/officeDocument/2006/relationships/externalLink"/>
<Relationship Id="rId39" Target="externalLinks/externalLink28.xml" Type="http://schemas.openxmlformats.org/officeDocument/2006/relationships/externalLink"/>
<Relationship Id="rId4" Target="worksheets/sheet4.xml" Type="http://schemas.openxmlformats.org/officeDocument/2006/relationships/worksheet"/>
<Relationship Id="rId40" Target="externalLinks/externalLink29.xml" Type="http://schemas.openxmlformats.org/officeDocument/2006/relationships/externalLink"/>
<Relationship Id="rId41" Target="externalLinks/externalLink30.xml" Type="http://schemas.openxmlformats.org/officeDocument/2006/relationships/externalLink"/>
<Relationship Id="rId42" Target="externalLinks/externalLink31.xml" Type="http://schemas.openxmlformats.org/officeDocument/2006/relationships/externalLink"/>
<Relationship Id="rId43" Target="theme/theme1.xml" Type="http://schemas.openxmlformats.org/officeDocument/2006/relationships/theme"/>
<Relationship Id="rId44" Target="styles.xml" Type="http://schemas.openxmlformats.org/officeDocument/2006/relationships/styles"/>
<Relationship Id="rId45" Target="sharedStrings.xml" Type="http://schemas.openxmlformats.org/officeDocument/2006/relationships/sharedStrings"/>
<Relationship Id="rId46" Target="calcChain.xml" Type="http://schemas.openxmlformats.org/officeDocument/2006/relationships/calcChain"/>
<Relationship Id="rId47" Target="../customXml/item1.xml" Type="http://schemas.openxmlformats.org/officeDocument/2006/relationships/customXml"/>
<Relationship Id="rId48" Target="../customXml/item2.xml" Type="http://schemas.openxmlformats.org/officeDocument/2006/relationships/customXml"/>
<Relationship Id="rId49"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7</xdr:col>
      <xdr:colOff>390525</xdr:colOff>
      <xdr:row>190</xdr:row>
      <xdr:rowOff>104775</xdr:rowOff>
    </xdr:to>
    <xdr:pic>
      <xdr:nvPicPr>
        <xdr:cNvPr id="8228865" name="Picture 1" descr="C:\Users\jerrosen\AppData\Local\Temp\MercuryPriceRatingHistoryChart\PKI.N_2018_04_11_01_10_29.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6698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file://///172.16.68.11/Archimedes/TEMP/Regions%20Fin%20Stmts%20THE%20GOAL%20HC.xls"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Documents%20and%20Settings/shysunm/Local%20Settings/Temporary%20Internet%20Files/OLK1AD/Rolta-Exhibits-061208_JD.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CONSUMER/Mid-Cap%20Food/Agriculture_Vincent/Monsanto/MON%20PIPELINE.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Documents%20and%20Settings/shysunm/Local%20Settings/Temporary%20Internet%20Files/OLK1AD/wiltamuth/SVU%20exhibits.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Documents%20and%20Settings/shysunm/Local%20Settings/Temporary%20Internet%20Files/OLK1AD/old/Old%20peer%20benchmarks.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CHEMICAL/Companies/Du%20Pont/DD%20Bull%20to%20Bear%20Chart%20EPS%202010.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Documents%20and%20Settings/shysunm/Local%20Settings/Temporary%20Internet%20Files/OLK1AD/old/old%20stacked%20consensus%20ideas.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Book6" TargetMode="External" Type="http://schemas.microsoft.com/office/2006/relationships/xlExternalLinkPath/xlPathMissing"/>
</Relationships>

</file>

<file path=xl/externalLinks/_rels/externalLink12.xml.rels><?xml version="1.0" encoding="UTF-8" standalone="yes"?>
<Relationships xmlns="http://schemas.openxmlformats.org/package/2006/relationships">
<Relationship Id="rId1" Target="na/ny/users/johndasc/Docs/ID/Charts/Sandbox/BtoB.xls"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CONSUMER/Mid-Cap%20Food/Agriculture_Vincent/Monsanto/Agriculture_Vincent/Industry/Ag_Charts.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Documents%20and%20Settings/shysunm/Local%20Settings/Temporary%20Internet%20Files/OLK1AD/Rolta-Exhibits-OLD_JD.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CONSUMER/Mid-Cap%20Food/Agriculture_Vincent/Monsanto/International%20Corn_3.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CHEMICAL/Petrochemicals/Data%20and%20charts%20for%20primer/Industry%20model/Margin%20Decomposition%20030111.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CHEMICAL/Models/wipALB.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file://///MSAD/ROOT/NA/NY/LIB/ER/HEALTH/RubinJ/Company/Pfe/PFEwork.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na/ny/users/dancharl/Downloads/11juntvt.xls" TargetMode="External" Type="http://schemas.microsoft.com/office/2006/relationships/xlExternalLinkPath/xlAlternateStartup"/>
</Relationships>

</file>

<file path=xl/externalLinks/_rels/externalLink20.xml.rels><?xml version="1.0" encoding="UTF-8" standalone="yes"?>
<Relationships xmlns="http://schemas.openxmlformats.org/package/2006/relationships">
<Relationship Id="rId1" Target="Documents%20and%20Settings/rockefel/Local%20Settings/Temporary%20Internet%20Files/OLK56/USERS/LADIWALA/VALTN/BBL/BIO-VL3.XLS"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CONSUMER/Mid-Cap%20Food/Agriculture_Vincent/Monsanto/MON_postF1Q13.xls" TargetMode="External" Type="http://schemas.microsoft.com/office/2006/relationships/xlExternalLinkPath/xlStartup"/>
</Relationships>

</file>

<file path=xl/externalLinks/_rels/externalLink22.xml.rels><?xml version="1.0" encoding="UTF-8" standalone="yes"?>
<Relationships xmlns="http://schemas.openxmlformats.org/package/2006/relationships">
<Relationship Id="rId1" Target="/Documents%20and%20Settings/gorinaar/Local%20Settings/Temporary%20Internet%20Files/OLK151/QGEN%20Files/TMO.xls" TargetMode="External" Type="http://schemas.openxmlformats.org/officeDocument/2006/relationships/externalLinkPath"/>
</Relationships>

</file>

<file path=xl/externalLinks/_rels/externalLink23.xml.rels><?xml version="1.0" encoding="UTF-8" standalone="yes"?>
<Relationships xmlns="http://schemas.openxmlformats.org/package/2006/relationships">
<Relationship Id="rId1" Target="Documents%20and%20Settings/bosesub/Local%20Settings/Temporary%20Internet%20Files/OLKAD4/TMO.xls" TargetMode="External" Type="http://schemas.microsoft.com/office/2006/relationships/xlExternalLinkPath/xlStartup"/>
</Relationships>

</file>

<file path=xl/externalLinks/_rels/externalLink24.xml.rels><?xml version="1.0" encoding="UTF-8" standalone="yes"?>
<Relationships xmlns="http://schemas.openxmlformats.org/package/2006/relationships">
<Relationship Id="rId1" Target="file://///MSAD/ROOT/NA/NY/LIB/ER/HEALTH/Pharma/Risinger/Industry/R&amp;D/Pipelines_new.xls" TargetMode="External" Type="http://schemas.openxmlformats.org/officeDocument/2006/relationships/externalLinkPath"/>
</Relationships>

</file>

<file path=xl/externalLinks/_rels/externalLink25.xml.rels><?xml version="1.0" encoding="UTF-8" standalone="yes"?>
<Relationships xmlns="http://schemas.openxmlformats.org/package/2006/relationships">
<Relationship Id="rId1" Target="HEALTH/Tools/Models/QGEN.xls" TargetMode="External" Type="http://schemas.microsoft.com/office/2006/relationships/xlExternalLinkPath/xlAlternateStartup"/>
</Relationships>

</file>

<file path=xl/externalLinks/_rels/externalLink26.xml.rels><?xml version="1.0" encoding="UTF-8" standalone="yes"?>
<Relationships xmlns="http://schemas.openxmlformats.org/package/2006/relationships">
<Relationship Id="rId1" Target="Documents%20and%20Settings/shysunm/Local%20Settings/Temporary%20Internet%20Files/OLK1AD/Valuation-Comps-060308.xls" TargetMode="External" Type="http://schemas.microsoft.com/office/2006/relationships/xlExternalLinkPath/xlStartup"/>
</Relationships>

</file>

<file path=xl/externalLinks/_rels/externalLink27.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_rels/externalLink28.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29.xml.rels><?xml version="1.0" encoding="UTF-8" standalone="yes"?>
<Relationships xmlns="http://schemas.openxmlformats.org/package/2006/relationships">
<Relationship Id="rId1" Target="HEALTH/Brennan/Companies/TMO/Analysis%20Charts.xls" TargetMode="External" Type="http://schemas.microsoft.com/office/2006/relationships/xlExternalLinkPath/xlStartup"/>
</Relationships>

</file>

<file path=xl/externalLinks/_rels/externalLink30.xml.rels><?xml version="1.0" encoding="UTF-8" standalone="yes"?>
<Relationships xmlns="http://schemas.openxmlformats.org/package/2006/relationships">
<Relationship Id="rId1" Target="CONSUMER/Mid-Cap%20Food/Agriculture_Vincent/Monsanto/Misc.%20Files/BOL.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NA/NY/lib/ER/HEALTH/Tools/Companies/TMO/TMO-FEIC%20merger%20model.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Operating Leases tagged"/>
      <sheetName val="exh 11"/>
      <sheetName val="exh 14"/>
      <sheetName val="exh 12"/>
      <sheetName val="exh 10"/>
      <sheetName val="exh 1 and 5"/>
      <sheetName val="exh 15"/>
      <sheetName val="exh 3"/>
      <sheetName val="exh 9"/>
      <sheetName val="Good 12-00 (2)"/>
      <sheetName val="Good 11-36"/>
      <sheetName val="Good 11-50"/>
      <sheetName val="Sheet3 (5)"/>
      <sheetName val="WACC"/>
      <sheetName val="Sheet1"/>
      <sheetName val="Fixed Line Mkt"/>
      <sheetName val="Cash Flow"/>
      <sheetName val="upside_downside"/>
      <sheetName val="Income Statement"/>
      <sheetName val="Balance Sheet"/>
      <sheetName val="Valsum"/>
      <sheetName val="Total_Production"/>
      <sheetName val="RFS"/>
      <sheetName val="Corn_Uses"/>
      <sheetName val="US_Production"/>
      <sheetName val="DCF"/>
      <sheetName val="OP"/>
      <sheetName val="Inputs"/>
      <sheetName val="MWA RR"/>
      <sheetName val="Summary"/>
      <sheetName val="IS"/>
      <sheetName val="Risk-Reward_View_Chart"/>
      <sheetName val="variables"/>
      <sheetName val="IS Quarterly"/>
      <sheetName val="Sheet1 (2)"/>
      <sheetName val="1Q11 Preview"/>
      <sheetName val="2Q11 Preview"/>
      <sheetName val="Model"/>
      <sheetName val="Intrinsic Value"/>
      <sheetName val="Rev by Geo"/>
      <sheetName val="fin"/>
      <sheetName val="Report template"/>
      <sheetName val="Model (WIP)"/>
      <sheetName val="sales bkd"/>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Notes"/>
      <sheetName val="ImportHistory"/>
      <sheetName val="Data"/>
      <sheetName val="Contents"/>
      <sheetName val="MW"/>
      <sheetName val="MW1"/>
      <sheetName val="MW2"/>
      <sheetName val="Graphs"/>
      <sheetName val="Americas Exec"/>
      <sheetName val="Consulting Services"/>
      <sheetName val="Corp OH"/>
      <sheetName val="Corp Funding"/>
      <sheetName val="SCEM"/>
      <sheetName val="SPS"/>
      <sheetName val="NA"/>
      <sheetName val="LA"/>
      <sheetName val="AMERICAS"/>
      <sheetName val="EUROPE"/>
      <sheetName val="Asia"/>
      <sheetName val="TOTAL SEI"/>
      <sheetName val="ROE"/>
    </sheetNames>
    <sheetDataSet>
      <sheetData sheetId="0" refreshError="1">
        <row r="16">
          <cell r="D16" t="str">
            <v>Hold Com</v>
          </cell>
          <cell r="E16">
            <v>547</v>
          </cell>
          <cell r="F16" t="str">
            <v>Accounts Payable Associated Companies</v>
          </cell>
        </row>
        <row r="17">
          <cell r="D17" t="str">
            <v>SE Americas Exec</v>
          </cell>
          <cell r="E17">
            <v>3</v>
          </cell>
          <cell r="F17" t="str">
            <v>ACCUMULATED DEPRECIATION</v>
          </cell>
        </row>
        <row r="18">
          <cell r="D18" t="str">
            <v>SE Consulting Serv</v>
          </cell>
          <cell r="E18">
            <v>507</v>
          </cell>
          <cell r="F18" t="str">
            <v>Administrative and General O&amp;M Expense</v>
          </cell>
        </row>
        <row r="19">
          <cell r="D19" t="str">
            <v>SE Corp Funding</v>
          </cell>
          <cell r="E19">
            <v>518</v>
          </cell>
          <cell r="F19" t="str">
            <v>AFUDC Debt</v>
          </cell>
        </row>
        <row r="23">
          <cell r="D23" t="str">
            <v>SEG SCEM</v>
          </cell>
          <cell r="E23">
            <v>493</v>
          </cell>
          <cell r="F23" t="str">
            <v>Associated Revenues</v>
          </cell>
        </row>
        <row r="24">
          <cell r="D24" t="str">
            <v>SEI Asia</v>
          </cell>
          <cell r="E24">
            <v>1130</v>
          </cell>
          <cell r="F24" t="str">
            <v>Average Price Per Share</v>
          </cell>
        </row>
        <row r="25">
          <cell r="D25" t="str">
            <v>SEI Europe</v>
          </cell>
          <cell r="E25">
            <v>291</v>
          </cell>
          <cell r="F25" t="str">
            <v>Average Return on Equity %</v>
          </cell>
        </row>
        <row r="83">
          <cell r="E83">
            <v>1104</v>
          </cell>
          <cell r="F83" t="str">
            <v>Intercompany Preferred Stock</v>
          </cell>
        </row>
        <row r="88">
          <cell r="E88">
            <v>16</v>
          </cell>
          <cell r="F88" t="str">
            <v>LONG TERM DEBT</v>
          </cell>
        </row>
        <row r="92">
          <cell r="E92">
            <v>579</v>
          </cell>
          <cell r="F92" t="str">
            <v>Minority Interest Debt B Redemptions</v>
          </cell>
        </row>
      </sheetData>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Summary"/>
      <sheetName val="Floater Demand"/>
      <sheetName val="Inputs"/>
      <sheetName val="FX"/>
      <sheetName val="Good 12-00 (2)"/>
      <sheetName val="Good 11-36"/>
      <sheetName val="Good 11-50"/>
      <sheetName val="Sheet3 (5)"/>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Z"/>
      <sheetName val="TPP"/>
      <sheetName val="EPE"/>
      <sheetName val="WMZ"/>
      <sheetName val="HEP"/>
      <sheetName val="MGG"/>
      <sheetName val="ETE"/>
      <sheetName val="BGH"/>
      <sheetName val="SEP"/>
      <sheetName val="TCLP"/>
      <sheetName val="SXL"/>
      <sheetName val="WES"/>
      <sheetName val="WP Detail "/>
      <sheetName val="Model"/>
      <sheetName val="Sheet4"/>
      <sheetName val="ForeignStake"/>
      <sheetName val="rev change analysis"/>
      <sheetName val="rev contribution analysi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eerGroupBenchmark_ALT"/>
      <sheetName val="Financial Summary 1"/>
      <sheetName val="Financial Summary 2"/>
      <sheetName val="PT ranges"/>
      <sheetName val="Range or Recs"/>
      <sheetName val="EPS ranges"/>
      <sheetName val="Consensus Snapshot table"/>
      <sheetName val="chart-all3"/>
      <sheetName val="chart-sales"/>
      <sheetName val="chart-EBIT"/>
      <sheetName val="chart-EPS"/>
      <sheetName val="Relative Valuation table"/>
      <sheetName val="ROE"/>
      <sheetName val="NOPAT"/>
      <sheetName val="RNOA waterfall"/>
      <sheetName val="debt2equity"/>
      <sheetName val="ProfMap"/>
      <sheetName val="debt2ebitda"/>
      <sheetName val="dividends"/>
      <sheetName val="FCF"/>
      <sheetName val="FCFBreakout"/>
      <sheetName val="Sheet1"/>
      <sheetName val="Benchmarks_All_green1"/>
      <sheetName val="Benchmarks_All_green2"/>
      <sheetName val="Stack1"/>
      <sheetName val="Stack2"/>
      <sheetName val="Stack3"/>
      <sheetName val="Stack4"/>
      <sheetName val="C1000"/>
      <sheetName val="Historical Highlights"/>
      <sheetName val="profit margins"/>
      <sheetName val="sales"/>
      <sheetName val="ebit"/>
      <sheetName val="EPS"/>
    </sheetNames>
    <sheetDataSet>
      <sheetData sheetId="0"/>
      <sheetData sheetId="1" refreshError="1">
        <row r="2">
          <cell r="AB2" t="str">
            <v>median consensus estimates</v>
          </cell>
        </row>
        <row r="5">
          <cell r="C5" t="str">
            <v>Price Performance and Volatility</v>
          </cell>
        </row>
        <row r="8">
          <cell r="C8" t="str">
            <v>12-month price performance</v>
          </cell>
          <cell r="I8" t="str">
            <v>3-month price performance</v>
          </cell>
          <cell r="O8" t="str">
            <v>1-month price performance</v>
          </cell>
          <cell r="U8" t="str">
            <v>12-month historical volatility</v>
          </cell>
        </row>
        <row r="9">
          <cell r="G9">
            <v>0.34799999999999998</v>
          </cell>
          <cell r="L9">
            <v>-8.0000000000000002E-3</v>
          </cell>
          <cell r="P9">
            <v>-2.1000000000000001E-2</v>
          </cell>
          <cell r="V9">
            <v>0.45700000000000002</v>
          </cell>
        </row>
        <row r="10">
          <cell r="D10">
            <v>-0.19700000000000001</v>
          </cell>
          <cell r="J10">
            <v>-9.1999999999999998E-2</v>
          </cell>
          <cell r="P10">
            <v>-8.7999999999999995E-2</v>
          </cell>
          <cell r="V10">
            <v>0.50700000000000001</v>
          </cell>
        </row>
        <row r="13">
          <cell r="C13" t="str">
            <v>Growth</v>
          </cell>
        </row>
        <row r="16">
          <cell r="C16" t="str">
            <v>Sales (1 year fwd)</v>
          </cell>
          <cell r="I16" t="str">
            <v>EBIT (1 year fwd)</v>
          </cell>
          <cell r="O16" t="str">
            <v>EPS (1 year fwd)</v>
          </cell>
          <cell r="U16" t="str">
            <v>EPS (2 years fwd)</v>
          </cell>
        </row>
        <row r="17">
          <cell r="F17">
            <v>0.51</v>
          </cell>
          <cell r="L17">
            <v>0.37</v>
          </cell>
          <cell r="R17">
            <v>0.33</v>
          </cell>
          <cell r="X17">
            <v>0.32</v>
          </cell>
        </row>
        <row r="18">
          <cell r="D18">
            <v>0.27</v>
          </cell>
          <cell r="J18">
            <v>0.2</v>
          </cell>
          <cell r="P18">
            <v>0.2</v>
          </cell>
          <cell r="V18">
            <v>0.17</v>
          </cell>
        </row>
        <row r="21">
          <cell r="C21" t="str">
            <v>Valuation</v>
          </cell>
        </row>
        <row r="24">
          <cell r="C24" t="str">
            <v>P/E (1 year forward)</v>
          </cell>
          <cell r="I24" t="str">
            <v>P/E (2 years forward)</v>
          </cell>
          <cell r="O24" t="str">
            <v>P/Book</v>
          </cell>
          <cell r="U24" t="str">
            <v>EV/Ebitda</v>
          </cell>
        </row>
        <row r="25">
          <cell r="G25" t="str">
            <v>20.7x</v>
          </cell>
          <cell r="M25" t="str">
            <v>15.6x</v>
          </cell>
          <cell r="R25" t="str">
            <v>3.6x</v>
          </cell>
          <cell r="X25" t="str">
            <v>16.2x</v>
          </cell>
        </row>
        <row r="26">
          <cell r="D26" t="str">
            <v>14.1x</v>
          </cell>
          <cell r="J26" t="str">
            <v>11.2x</v>
          </cell>
          <cell r="P26" t="str">
            <v>2.9x</v>
          </cell>
          <cell r="V26" t="str">
            <v>10.7x</v>
          </cell>
        </row>
        <row r="29">
          <cell r="C29" t="str">
            <v>Profitability</v>
          </cell>
        </row>
        <row r="32">
          <cell r="C32" t="str">
            <v>ROE</v>
          </cell>
          <cell r="I32" t="str">
            <v>EBITDA margin</v>
          </cell>
          <cell r="O32" t="str">
            <v>EBIT margin</v>
          </cell>
          <cell r="U32" t="str">
            <v>Net income margin</v>
          </cell>
        </row>
        <row r="33">
          <cell r="E33">
            <v>0.17399999999999999</v>
          </cell>
          <cell r="L33">
            <v>0.24</v>
          </cell>
          <cell r="S33">
            <v>0.27400000000000002</v>
          </cell>
          <cell r="Y33">
            <v>0.24299999999999999</v>
          </cell>
        </row>
        <row r="34">
          <cell r="D34">
            <v>0.214</v>
          </cell>
          <cell r="J34">
            <v>0.14599999999999999</v>
          </cell>
          <cell r="P34">
            <v>0.154</v>
          </cell>
          <cell r="V34">
            <v>0.11700000000000001</v>
          </cell>
        </row>
        <row r="37">
          <cell r="C37" t="str">
            <v>Leverage and Cash Flows</v>
          </cell>
        </row>
        <row r="40">
          <cell r="C40" t="str">
            <v>Gross Debt / Equity</v>
          </cell>
          <cell r="I40" t="str">
            <v>Net Debt / Equity</v>
          </cell>
          <cell r="O40" t="str">
            <v>FCF/Market Cap</v>
          </cell>
          <cell r="U40" t="str">
            <v>Div payout ratio</v>
          </cell>
        </row>
        <row r="41">
          <cell r="F41">
            <v>0.59</v>
          </cell>
          <cell r="L41">
            <v>-0.02</v>
          </cell>
          <cell r="P41">
            <v>5.5E-2</v>
          </cell>
          <cell r="Y41">
            <v>0.21099999999999999</v>
          </cell>
        </row>
        <row r="42">
          <cell r="D42">
            <v>0.185</v>
          </cell>
          <cell r="J42">
            <v>-0.161</v>
          </cell>
          <cell r="P42">
            <v>7.0000000000000007E-2</v>
          </cell>
          <cell r="V42">
            <v>6.6000000000000003E-2</v>
          </cell>
        </row>
        <row r="48">
          <cell r="C48" t="str">
            <v>Leverage and Cash Flows</v>
          </cell>
        </row>
        <row r="52">
          <cell r="C52" t="str">
            <v>Gross Debt / Equity</v>
          </cell>
          <cell r="I52" t="str">
            <v>Net Debt / Equity</v>
          </cell>
          <cell r="O52" t="str">
            <v>FCF/Market Cap</v>
          </cell>
          <cell r="U52" t="str">
            <v>Div payout ratio</v>
          </cell>
        </row>
        <row r="53">
          <cell r="F53">
            <v>0.59</v>
          </cell>
          <cell r="L53">
            <v>-0.02</v>
          </cell>
          <cell r="P53">
            <v>5.5E-2</v>
          </cell>
          <cell r="Y53">
            <v>0.21099999999999999</v>
          </cell>
        </row>
        <row r="54">
          <cell r="D54">
            <v>0.185</v>
          </cell>
          <cell r="J54">
            <v>-0.161</v>
          </cell>
          <cell r="P54">
            <v>7.0000000000000007E-2</v>
          </cell>
          <cell r="V54">
            <v>6.6000000000000003E-2</v>
          </cell>
        </row>
      </sheetData>
      <sheetData sheetId="2" refreshError="1">
        <row r="1">
          <cell r="A1" t="str">
            <v>Profit &amp; Loss Statement</v>
          </cell>
        </row>
        <row r="2">
          <cell r="A2" t="str">
            <v>Rs. Mn, June End</v>
          </cell>
          <cell r="B2" t="str">
            <v>F2006</v>
          </cell>
          <cell r="C2" t="str">
            <v>F2007</v>
          </cell>
          <cell r="D2" t="str">
            <v>F2008e</v>
          </cell>
          <cell r="E2" t="str">
            <v>F2009e</v>
          </cell>
          <cell r="F2" t="str">
            <v>F2010e</v>
          </cell>
        </row>
        <row r="4">
          <cell r="A4" t="str">
            <v>Net Sales</v>
          </cell>
          <cell r="B4">
            <v>5349</v>
          </cell>
          <cell r="C4">
            <v>7114</v>
          </cell>
          <cell r="D4">
            <v>10733</v>
          </cell>
          <cell r="E4">
            <v>14787</v>
          </cell>
          <cell r="F4">
            <v>19704</v>
          </cell>
        </row>
        <row r="5">
          <cell r="A5" t="str">
            <v>COGS</v>
          </cell>
          <cell r="B5">
            <v>3052</v>
          </cell>
          <cell r="C5">
            <v>4182</v>
          </cell>
          <cell r="D5">
            <v>6908</v>
          </cell>
          <cell r="E5">
            <v>9326</v>
          </cell>
          <cell r="F5">
            <v>12260</v>
          </cell>
        </row>
        <row r="6">
          <cell r="A6" t="str">
            <v>Gross Profit</v>
          </cell>
          <cell r="B6">
            <v>2297</v>
          </cell>
          <cell r="C6">
            <v>2932</v>
          </cell>
          <cell r="D6">
            <v>3825</v>
          </cell>
          <cell r="E6">
            <v>5461</v>
          </cell>
          <cell r="F6">
            <v>7444</v>
          </cell>
        </row>
        <row r="7">
          <cell r="A7" t="str">
            <v>Other Operating Exp.</v>
          </cell>
          <cell r="B7">
            <v>-17</v>
          </cell>
          <cell r="C7">
            <v>-37</v>
          </cell>
          <cell r="D7">
            <v>-37</v>
          </cell>
          <cell r="E7">
            <v>-37</v>
          </cell>
          <cell r="F7">
            <v>-37</v>
          </cell>
        </row>
        <row r="8">
          <cell r="A8" t="str">
            <v>EBITDA</v>
          </cell>
          <cell r="B8">
            <v>2314</v>
          </cell>
          <cell r="C8">
            <v>2969</v>
          </cell>
          <cell r="D8">
            <v>3862</v>
          </cell>
          <cell r="E8">
            <v>5498</v>
          </cell>
          <cell r="F8">
            <v>7481</v>
          </cell>
        </row>
        <row r="9">
          <cell r="A9" t="str">
            <v>Deprn. &amp; Amort.</v>
          </cell>
          <cell r="B9">
            <v>747</v>
          </cell>
          <cell r="C9">
            <v>1019</v>
          </cell>
          <cell r="D9">
            <v>1336</v>
          </cell>
          <cell r="E9">
            <v>1689</v>
          </cell>
          <cell r="F9">
            <v>2081</v>
          </cell>
        </row>
        <row r="10">
          <cell r="A10" t="str">
            <v>EBIT</v>
          </cell>
          <cell r="B10">
            <v>1567</v>
          </cell>
          <cell r="C10">
            <v>1950</v>
          </cell>
          <cell r="D10">
            <v>2526</v>
          </cell>
          <cell r="E10">
            <v>3809</v>
          </cell>
          <cell r="F10">
            <v>5401</v>
          </cell>
        </row>
        <row r="11">
          <cell r="A11" t="str">
            <v>Net Interest/other Exp.</v>
          </cell>
          <cell r="B11">
            <v>147</v>
          </cell>
          <cell r="C11">
            <v>7</v>
          </cell>
          <cell r="D11">
            <v>-378</v>
          </cell>
          <cell r="E11">
            <v>-252</v>
          </cell>
          <cell r="F11">
            <v>-183</v>
          </cell>
        </row>
        <row r="12">
          <cell r="A12" t="str">
            <v>PBT</v>
          </cell>
          <cell r="B12">
            <v>1420</v>
          </cell>
          <cell r="C12">
            <v>1943</v>
          </cell>
          <cell r="D12">
            <v>2904</v>
          </cell>
          <cell r="E12">
            <v>4061</v>
          </cell>
          <cell r="F12">
            <v>5584</v>
          </cell>
        </row>
        <row r="13">
          <cell r="A13" t="str">
            <v>Tax</v>
          </cell>
          <cell r="B13">
            <v>147</v>
          </cell>
          <cell r="C13">
            <v>217</v>
          </cell>
          <cell r="D13">
            <v>398</v>
          </cell>
          <cell r="E13">
            <v>785</v>
          </cell>
          <cell r="F13">
            <v>1236</v>
          </cell>
        </row>
        <row r="14">
          <cell r="A14" t="str">
            <v>Minority Interest</v>
          </cell>
          <cell r="B14">
            <v>0</v>
          </cell>
          <cell r="C14">
            <v>0</v>
          </cell>
          <cell r="D14">
            <v>0</v>
          </cell>
          <cell r="E14">
            <v>0</v>
          </cell>
          <cell r="F14">
            <v>0</v>
          </cell>
        </row>
        <row r="15">
          <cell r="A15" t="str">
            <v>Net Profit</v>
          </cell>
          <cell r="B15">
            <v>1273</v>
          </cell>
          <cell r="C15">
            <v>1726</v>
          </cell>
          <cell r="D15">
            <v>2506</v>
          </cell>
          <cell r="E15">
            <v>3276</v>
          </cell>
          <cell r="F15">
            <v>4348</v>
          </cell>
        </row>
        <row r="16">
          <cell r="A16" t="str">
            <v>EPS (INR)</v>
          </cell>
          <cell r="B16">
            <v>9.4</v>
          </cell>
          <cell r="C16">
            <v>10.7</v>
          </cell>
          <cell r="D16">
            <v>14.5</v>
          </cell>
          <cell r="E16">
            <v>19.2</v>
          </cell>
          <cell r="F16">
            <v>25.1</v>
          </cell>
        </row>
        <row r="18">
          <cell r="A18" t="str">
            <v>Balance Sheet</v>
          </cell>
        </row>
        <row r="19">
          <cell r="B19" t="str">
            <v>F2006</v>
          </cell>
          <cell r="C19" t="str">
            <v>F2007</v>
          </cell>
          <cell r="D19" t="str">
            <v>F2008e</v>
          </cell>
          <cell r="E19" t="str">
            <v>F2009e</v>
          </cell>
          <cell r="F19" t="str">
            <v>F2010e</v>
          </cell>
        </row>
        <row r="21">
          <cell r="A21" t="str">
            <v>Cash &amp; Equivalents</v>
          </cell>
          <cell r="B21">
            <v>308</v>
          </cell>
          <cell r="C21">
            <v>4444</v>
          </cell>
          <cell r="D21">
            <v>6704</v>
          </cell>
          <cell r="E21">
            <v>9237</v>
          </cell>
          <cell r="F21">
            <v>12308</v>
          </cell>
        </row>
        <row r="22">
          <cell r="A22" t="str">
            <v>Marketable Securities</v>
          </cell>
          <cell r="B22">
            <v>579</v>
          </cell>
          <cell r="C22">
            <v>1946</v>
          </cell>
          <cell r="D22">
            <v>2936</v>
          </cell>
          <cell r="E22">
            <v>4045</v>
          </cell>
          <cell r="F22">
            <v>5389</v>
          </cell>
        </row>
        <row r="23">
          <cell r="A23" t="str">
            <v>Accounts Receivable</v>
          </cell>
          <cell r="B23">
            <v>3262</v>
          </cell>
          <cell r="C23">
            <v>3770</v>
          </cell>
          <cell r="D23">
            <v>5687</v>
          </cell>
          <cell r="E23">
            <v>7836</v>
          </cell>
          <cell r="F23">
            <v>10442</v>
          </cell>
        </row>
        <row r="24">
          <cell r="A24" t="str">
            <v>Inventories</v>
          </cell>
          <cell r="B24">
            <v>234</v>
          </cell>
          <cell r="C24">
            <v>206</v>
          </cell>
          <cell r="D24">
            <v>341</v>
          </cell>
          <cell r="E24">
            <v>460</v>
          </cell>
          <cell r="F24">
            <v>605</v>
          </cell>
        </row>
        <row r="25">
          <cell r="A25" t="str">
            <v>Net PP&amp;E</v>
          </cell>
          <cell r="B25">
            <v>4524</v>
          </cell>
          <cell r="C25">
            <v>6127</v>
          </cell>
          <cell r="D25">
            <v>7888</v>
          </cell>
          <cell r="E25">
            <v>9836</v>
          </cell>
          <cell r="F25">
            <v>11997</v>
          </cell>
        </row>
        <row r="26">
          <cell r="A26" t="str">
            <v>Goodwill</v>
          </cell>
          <cell r="B26">
            <v>67</v>
          </cell>
          <cell r="C26">
            <v>60</v>
          </cell>
          <cell r="D26">
            <v>60</v>
          </cell>
          <cell r="E26">
            <v>60</v>
          </cell>
          <cell r="F26">
            <v>60</v>
          </cell>
        </row>
        <row r="27">
          <cell r="A27" t="str">
            <v>Amortizable Intangibles</v>
          </cell>
          <cell r="B27">
            <v>0</v>
          </cell>
          <cell r="C27">
            <v>1</v>
          </cell>
          <cell r="D27">
            <v>0</v>
          </cell>
          <cell r="E27">
            <v>0</v>
          </cell>
          <cell r="F27">
            <v>0</v>
          </cell>
        </row>
        <row r="28">
          <cell r="A28" t="str">
            <v>Other Assets</v>
          </cell>
          <cell r="B28">
            <v>1868</v>
          </cell>
          <cell r="C28">
            <v>1861</v>
          </cell>
          <cell r="D28">
            <v>2334</v>
          </cell>
          <cell r="E28">
            <v>2775</v>
          </cell>
          <cell r="F28">
            <v>3236</v>
          </cell>
        </row>
        <row r="29">
          <cell r="A29" t="str">
            <v>Total Assets</v>
          </cell>
          <cell r="B29">
            <v>10843</v>
          </cell>
          <cell r="C29">
            <v>18414</v>
          </cell>
          <cell r="D29">
            <v>25950</v>
          </cell>
          <cell r="E29">
            <v>34249</v>
          </cell>
          <cell r="F29">
            <v>44037</v>
          </cell>
        </row>
        <row r="31">
          <cell r="A31" t="str">
            <v>Accounts Payable</v>
          </cell>
          <cell r="B31">
            <v>197</v>
          </cell>
          <cell r="C31">
            <v>206</v>
          </cell>
          <cell r="D31">
            <v>341</v>
          </cell>
          <cell r="E31">
            <v>460</v>
          </cell>
          <cell r="F31">
            <v>605</v>
          </cell>
        </row>
        <row r="32">
          <cell r="A32" t="str">
            <v>Income Taxes Payable</v>
          </cell>
          <cell r="B32">
            <v>112</v>
          </cell>
          <cell r="C32">
            <v>136</v>
          </cell>
          <cell r="D32">
            <v>250</v>
          </cell>
          <cell r="E32">
            <v>494</v>
          </cell>
          <cell r="F32">
            <v>778</v>
          </cell>
        </row>
        <row r="33">
          <cell r="A33" t="str">
            <v>Deferred Revenue</v>
          </cell>
          <cell r="B33">
            <v>0</v>
          </cell>
          <cell r="C33">
            <v>0</v>
          </cell>
          <cell r="D33">
            <v>0</v>
          </cell>
          <cell r="E33">
            <v>0</v>
          </cell>
          <cell r="F33">
            <v>0</v>
          </cell>
        </row>
        <row r="34">
          <cell r="A34" t="str">
            <v>Deferred Taxes</v>
          </cell>
          <cell r="B34">
            <v>253</v>
          </cell>
          <cell r="C34">
            <v>346</v>
          </cell>
          <cell r="D34">
            <v>635</v>
          </cell>
          <cell r="E34">
            <v>1253</v>
          </cell>
          <cell r="F34">
            <v>1973</v>
          </cell>
        </row>
        <row r="35">
          <cell r="A35" t="str">
            <v>Total Debt</v>
          </cell>
          <cell r="B35">
            <v>98</v>
          </cell>
          <cell r="C35">
            <v>6177</v>
          </cell>
          <cell r="D35">
            <v>7635</v>
          </cell>
          <cell r="E35">
            <v>13325</v>
          </cell>
          <cell r="F35">
            <v>17405</v>
          </cell>
        </row>
        <row r="36">
          <cell r="A36" t="str">
            <v>Minority Interest</v>
          </cell>
          <cell r="B36">
            <v>0</v>
          </cell>
          <cell r="C36">
            <v>0</v>
          </cell>
          <cell r="D36">
            <v>0</v>
          </cell>
          <cell r="E36">
            <v>0</v>
          </cell>
          <cell r="F36">
            <v>0</v>
          </cell>
        </row>
        <row r="37">
          <cell r="A37" t="str">
            <v>Other Liabilities</v>
          </cell>
          <cell r="B37">
            <v>769</v>
          </cell>
          <cell r="C37">
            <v>1083</v>
          </cell>
          <cell r="D37">
            <v>1083</v>
          </cell>
          <cell r="E37">
            <v>1083</v>
          </cell>
          <cell r="F37">
            <v>1083</v>
          </cell>
        </row>
        <row r="38">
          <cell r="A38" t="str">
            <v>Total Liabilities</v>
          </cell>
          <cell r="B38">
            <v>1429</v>
          </cell>
          <cell r="C38">
            <v>7948</v>
          </cell>
          <cell r="D38">
            <v>9944</v>
          </cell>
          <cell r="E38">
            <v>16617</v>
          </cell>
          <cell r="F38">
            <v>21844</v>
          </cell>
        </row>
        <row r="40">
          <cell r="A40" t="str">
            <v>Shareholders' Equity</v>
          </cell>
          <cell r="B40">
            <v>9414</v>
          </cell>
          <cell r="C40">
            <v>10466</v>
          </cell>
          <cell r="D40">
            <v>16006</v>
          </cell>
          <cell r="E40">
            <v>17632</v>
          </cell>
          <cell r="F40">
            <v>22193</v>
          </cell>
        </row>
        <row r="41">
          <cell r="A41" t="str">
            <v>Liabs+Shr'hlders Eq</v>
          </cell>
          <cell r="B41">
            <v>10843</v>
          </cell>
          <cell r="C41">
            <v>18414</v>
          </cell>
          <cell r="D41">
            <v>25950</v>
          </cell>
          <cell r="E41">
            <v>34249</v>
          </cell>
          <cell r="F41">
            <v>44037</v>
          </cell>
        </row>
        <row r="43">
          <cell r="G43" t="str">
            <v>MarketView Forecasts</v>
          </cell>
        </row>
        <row r="44">
          <cell r="G44" t="str">
            <v>Forecasts in this report come from the Morgan Stanley MarketView Model, which generates integrated financial statements based on available consensus estimates (shaded in blue above).  The model and accompanying analytics help illustrate the current market</v>
          </cell>
        </row>
      </sheetData>
      <sheetData sheetId="3" refreshError="1">
        <row r="1">
          <cell r="A1" t="str">
            <v>Cash Flow Statement</v>
          </cell>
        </row>
        <row r="2">
          <cell r="B2" t="str">
            <v>F2006</v>
          </cell>
          <cell r="C2" t="str">
            <v>F2007</v>
          </cell>
          <cell r="D2" t="str">
            <v>F2008e</v>
          </cell>
          <cell r="E2" t="str">
            <v>F2009e</v>
          </cell>
          <cell r="F2" t="str">
            <v>F2010e</v>
          </cell>
        </row>
        <row r="3">
          <cell r="A3" t="str">
            <v>Cash Flow From Operating </v>
          </cell>
        </row>
        <row r="4">
          <cell r="A4" t="str">
            <v>Net Income</v>
          </cell>
          <cell r="B4">
            <v>1273</v>
          </cell>
          <cell r="C4">
            <v>1726</v>
          </cell>
          <cell r="D4">
            <v>2506</v>
          </cell>
          <cell r="E4">
            <v>3276</v>
          </cell>
          <cell r="F4">
            <v>4348</v>
          </cell>
        </row>
        <row r="5">
          <cell r="A5" t="str">
            <v>Deprn. &amp; Amort.</v>
          </cell>
          <cell r="B5">
            <v>747</v>
          </cell>
          <cell r="C5">
            <v>1019</v>
          </cell>
          <cell r="D5">
            <v>1336</v>
          </cell>
          <cell r="E5">
            <v>1689</v>
          </cell>
          <cell r="F5">
            <v>2081</v>
          </cell>
        </row>
        <row r="6">
          <cell r="A6" t="str">
            <v>Chg in WC</v>
          </cell>
          <cell r="B6">
            <v>-275</v>
          </cell>
          <cell r="C6">
            <v>-354</v>
          </cell>
          <cell r="D6">
            <v>-1515</v>
          </cell>
          <cell r="E6">
            <v>-1286</v>
          </cell>
          <cell r="F6">
            <v>-1603</v>
          </cell>
        </row>
        <row r="7">
          <cell r="A7" t="str">
            <v>Other operating CF</v>
          </cell>
          <cell r="B7">
            <v>-341</v>
          </cell>
          <cell r="C7">
            <v>-10</v>
          </cell>
          <cell r="D7">
            <v>-473</v>
          </cell>
          <cell r="E7">
            <v>-441</v>
          </cell>
          <cell r="F7">
            <v>-461</v>
          </cell>
        </row>
        <row r="8">
          <cell r="A8" t="str">
            <v>CF from Operations</v>
          </cell>
          <cell r="B8">
            <v>1404</v>
          </cell>
          <cell r="C8">
            <v>2381</v>
          </cell>
          <cell r="D8">
            <v>1854</v>
          </cell>
          <cell r="E8">
            <v>3238</v>
          </cell>
          <cell r="F8">
            <v>4364</v>
          </cell>
        </row>
        <row r="10">
          <cell r="A10" t="str">
            <v>Cash Flow from Investing </v>
          </cell>
        </row>
        <row r="11">
          <cell r="A11" t="str">
            <v>Capital Expenditures</v>
          </cell>
          <cell r="B11">
            <v>-1640</v>
          </cell>
          <cell r="C11">
            <v>-2655</v>
          </cell>
          <cell r="D11">
            <v>-3096</v>
          </cell>
          <cell r="E11">
            <v>-3638</v>
          </cell>
          <cell r="F11">
            <v>-4241</v>
          </cell>
        </row>
        <row r="12">
          <cell r="A12" t="str">
            <v>Change in ST Investments</v>
          </cell>
          <cell r="B12">
            <v>557</v>
          </cell>
          <cell r="C12">
            <v>5502</v>
          </cell>
          <cell r="D12">
            <v>-990</v>
          </cell>
          <cell r="E12">
            <v>-1109</v>
          </cell>
          <cell r="F12">
            <v>-1345</v>
          </cell>
        </row>
        <row r="13">
          <cell r="A13" t="str">
            <v>Other Investing Cash Flow</v>
          </cell>
          <cell r="B13">
            <v>-1671</v>
          </cell>
          <cell r="C13">
            <v>-5331</v>
          </cell>
          <cell r="D13">
            <v>0</v>
          </cell>
          <cell r="E13">
            <v>0</v>
          </cell>
          <cell r="F13">
            <v>0</v>
          </cell>
        </row>
        <row r="14">
          <cell r="A14" t="str">
            <v>CF from Investing</v>
          </cell>
          <cell r="B14">
            <v>-2754</v>
          </cell>
          <cell r="C14">
            <v>-2484</v>
          </cell>
          <cell r="D14">
            <v>-4086</v>
          </cell>
          <cell r="E14">
            <v>-4747</v>
          </cell>
          <cell r="F14">
            <v>-5586</v>
          </cell>
        </row>
        <row r="16">
          <cell r="A16" t="str">
            <v>Cash Flow from Financing </v>
          </cell>
        </row>
        <row r="17">
          <cell r="A17" t="str">
            <v>Change in debt</v>
          </cell>
          <cell r="B17">
            <v>-1764</v>
          </cell>
          <cell r="C17">
            <v>6079</v>
          </cell>
          <cell r="D17">
            <v>1458</v>
          </cell>
          <cell r="E17">
            <v>5691</v>
          </cell>
          <cell r="F17">
            <v>4080</v>
          </cell>
        </row>
        <row r="18">
          <cell r="A18" t="str">
            <v>Increase in Equity</v>
          </cell>
          <cell r="B18">
            <v>3763</v>
          </cell>
          <cell r="C18">
            <v>-112</v>
          </cell>
          <cell r="D18">
            <v>3616</v>
          </cell>
          <cell r="E18">
            <v>-862</v>
          </cell>
          <cell r="F18">
            <v>1194</v>
          </cell>
        </row>
        <row r="19">
          <cell r="A19" t="str">
            <v>Dividends</v>
          </cell>
          <cell r="B19">
            <v>-12</v>
          </cell>
          <cell r="C19">
            <v>-13</v>
          </cell>
          <cell r="D19">
            <v>-582</v>
          </cell>
          <cell r="E19">
            <v>-787</v>
          </cell>
          <cell r="F19">
            <v>-981</v>
          </cell>
        </row>
        <row r="20">
          <cell r="A20" t="str">
            <v>Other Financing CF</v>
          </cell>
          <cell r="B20">
            <v>-79</v>
          </cell>
          <cell r="C20">
            <v>-349</v>
          </cell>
          <cell r="D20">
            <v>0</v>
          </cell>
          <cell r="E20">
            <v>0</v>
          </cell>
          <cell r="F20">
            <v>0</v>
          </cell>
        </row>
        <row r="21">
          <cell r="A21" t="str">
            <v>CF from Financing</v>
          </cell>
          <cell r="B21">
            <v>1907</v>
          </cell>
          <cell r="C21">
            <v>5605</v>
          </cell>
          <cell r="D21">
            <v>4492</v>
          </cell>
          <cell r="E21">
            <v>4042</v>
          </cell>
          <cell r="F21">
            <v>4293</v>
          </cell>
        </row>
        <row r="23">
          <cell r="A23" t="str">
            <v>Exchange rate effect</v>
          </cell>
          <cell r="B23">
            <v>-529</v>
          </cell>
          <cell r="C23">
            <v>-1366</v>
          </cell>
          <cell r="D23">
            <v>0</v>
          </cell>
          <cell r="E23">
            <v>0</v>
          </cell>
          <cell r="F23">
            <v>0</v>
          </cell>
        </row>
        <row r="24">
          <cell r="A24" t="str">
            <v>Change in Cash</v>
          </cell>
          <cell r="B24">
            <v>28</v>
          </cell>
          <cell r="C24">
            <v>4136</v>
          </cell>
          <cell r="D24">
            <v>2260</v>
          </cell>
          <cell r="E24">
            <v>2533</v>
          </cell>
          <cell r="F24">
            <v>3071</v>
          </cell>
        </row>
        <row r="26">
          <cell r="A26" t="str">
            <v>Ratio Analysis</v>
          </cell>
        </row>
        <row r="27">
          <cell r="B27" t="str">
            <v>F2006</v>
          </cell>
          <cell r="C27" t="str">
            <v>F2007</v>
          </cell>
          <cell r="D27" t="str">
            <v>F2008e</v>
          </cell>
          <cell r="E27" t="str">
            <v>F2009e</v>
          </cell>
          <cell r="F27" t="str">
            <v>F2010e</v>
          </cell>
        </row>
        <row r="28">
          <cell r="A28" t="str">
            <v>Growth</v>
          </cell>
        </row>
        <row r="29">
          <cell r="A29" t="str">
            <v>Sales (%)</v>
          </cell>
          <cell r="B29">
            <v>29</v>
          </cell>
          <cell r="C29">
            <v>33</v>
          </cell>
          <cell r="D29">
            <v>50.9</v>
          </cell>
          <cell r="E29">
            <v>37.799999999999997</v>
          </cell>
          <cell r="F29">
            <v>33.200000000000003</v>
          </cell>
        </row>
        <row r="30">
          <cell r="A30" t="str">
            <v>EBITDA (%)</v>
          </cell>
          <cell r="B30">
            <v>46</v>
          </cell>
          <cell r="C30">
            <v>28.3</v>
          </cell>
          <cell r="D30">
            <v>30.1</v>
          </cell>
          <cell r="E30">
            <v>42.4</v>
          </cell>
          <cell r="F30">
            <v>36.1</v>
          </cell>
        </row>
        <row r="31">
          <cell r="A31" t="str">
            <v>EBIT (%)</v>
          </cell>
          <cell r="B31">
            <v>43</v>
          </cell>
          <cell r="C31">
            <v>24.5</v>
          </cell>
          <cell r="D31">
            <v>29.5</v>
          </cell>
          <cell r="E31">
            <v>50.8</v>
          </cell>
          <cell r="F31">
            <v>41.8</v>
          </cell>
        </row>
        <row r="32">
          <cell r="A32" t="str">
            <v>Net Income (%)</v>
          </cell>
          <cell r="B32">
            <v>41.1</v>
          </cell>
          <cell r="C32">
            <v>35.6</v>
          </cell>
          <cell r="D32">
            <v>45.1</v>
          </cell>
          <cell r="E32">
            <v>30.7</v>
          </cell>
          <cell r="F32">
            <v>32.700000000000003</v>
          </cell>
        </row>
        <row r="33">
          <cell r="A33" t="str">
            <v>EPS (%)</v>
          </cell>
          <cell r="B33">
            <v>32.700000000000003</v>
          </cell>
          <cell r="C33">
            <v>14.4</v>
          </cell>
          <cell r="D33">
            <v>35</v>
          </cell>
          <cell r="E33">
            <v>32.6</v>
          </cell>
          <cell r="F33">
            <v>30.4</v>
          </cell>
        </row>
        <row r="35">
          <cell r="A35" t="str">
            <v>Margins</v>
          </cell>
        </row>
        <row r="36">
          <cell r="A36" t="str">
            <v>Gross Margin (%)</v>
          </cell>
          <cell r="B36">
            <v>42.9</v>
          </cell>
          <cell r="C36">
            <v>41.2</v>
          </cell>
          <cell r="D36">
            <v>35.6</v>
          </cell>
          <cell r="E36">
            <v>36.9</v>
          </cell>
          <cell r="F36">
            <v>37.799999999999997</v>
          </cell>
        </row>
        <row r="37">
          <cell r="A37" t="str">
            <v>EBITDA (%)</v>
          </cell>
          <cell r="B37">
            <v>43.3</v>
          </cell>
          <cell r="C37">
            <v>41.7</v>
          </cell>
          <cell r="D37">
            <v>36</v>
          </cell>
          <cell r="E37">
            <v>37.200000000000003</v>
          </cell>
          <cell r="F37">
            <v>38</v>
          </cell>
        </row>
        <row r="38">
          <cell r="A38" t="str">
            <v>EBIT (%)</v>
          </cell>
          <cell r="B38">
            <v>29.3</v>
          </cell>
          <cell r="C38">
            <v>27.4</v>
          </cell>
          <cell r="D38">
            <v>23.5</v>
          </cell>
          <cell r="E38">
            <v>25.8</v>
          </cell>
          <cell r="F38">
            <v>27.4</v>
          </cell>
        </row>
        <row r="39">
          <cell r="A39" t="str">
            <v>Net Income (%)</v>
          </cell>
          <cell r="B39">
            <v>23.8</v>
          </cell>
          <cell r="C39">
            <v>24.3</v>
          </cell>
          <cell r="D39">
            <v>23.3</v>
          </cell>
          <cell r="E39">
            <v>22.2</v>
          </cell>
          <cell r="F39">
            <v>22.1</v>
          </cell>
        </row>
        <row r="41">
          <cell r="A41" t="str">
            <v xml:space="preserve">Returns </v>
          </cell>
        </row>
        <row r="42">
          <cell r="A42" t="str">
            <v>ROE (%)</v>
          </cell>
          <cell r="B42">
            <v>27.9</v>
          </cell>
          <cell r="C42">
            <v>18.3</v>
          </cell>
          <cell r="D42">
            <v>23.9</v>
          </cell>
          <cell r="E42">
            <v>20.5</v>
          </cell>
          <cell r="F42">
            <v>24.7</v>
          </cell>
        </row>
        <row r="43">
          <cell r="A43" t="str">
            <v>Rtn on Net Op. Assets (%)</v>
          </cell>
          <cell r="B43">
            <v>23.1</v>
          </cell>
          <cell r="C43">
            <v>20.100000000000001</v>
          </cell>
          <cell r="D43">
            <v>21.3</v>
          </cell>
          <cell r="E43">
            <v>21.9</v>
          </cell>
          <cell r="F43">
            <v>23.8</v>
          </cell>
        </row>
        <row r="45">
          <cell r="A45" t="str">
            <v>Leverage</v>
          </cell>
        </row>
        <row r="46">
          <cell r="A46" t="str">
            <v>Net Debt/Equity (%)</v>
          </cell>
          <cell r="B46">
            <v>-8.4</v>
          </cell>
          <cell r="C46">
            <v>-2</v>
          </cell>
          <cell r="D46">
            <v>-12.5</v>
          </cell>
          <cell r="E46">
            <v>0.3</v>
          </cell>
          <cell r="F46">
            <v>-1.3</v>
          </cell>
        </row>
        <row r="47">
          <cell r="A47" t="str">
            <v>Gross Debt/Equity (%)</v>
          </cell>
          <cell r="B47">
            <v>1</v>
          </cell>
          <cell r="C47">
            <v>59</v>
          </cell>
          <cell r="D47">
            <v>47.7</v>
          </cell>
          <cell r="E47">
            <v>75.599999999999994</v>
          </cell>
          <cell r="F47">
            <v>78.400000000000006</v>
          </cell>
        </row>
        <row r="48">
          <cell r="A48" t="str">
            <v>Source: Company data, FactSet, Morgan Stanley Research</v>
          </cell>
        </row>
      </sheetData>
      <sheetData sheetId="4"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E2">
            <v>0</v>
          </cell>
        </row>
        <row r="5">
          <cell r="A5" t="str">
            <v>FY10e</v>
          </cell>
          <cell r="B5">
            <v>383</v>
          </cell>
          <cell r="C5">
            <v>292</v>
          </cell>
          <cell r="D5">
            <v>437</v>
          </cell>
          <cell r="E5">
            <v>292</v>
          </cell>
          <cell r="F5">
            <v>145</v>
          </cell>
          <cell r="G5">
            <v>383</v>
          </cell>
          <cell r="J5">
            <v>54</v>
          </cell>
          <cell r="K5">
            <v>91</v>
          </cell>
        </row>
        <row r="12">
          <cell r="L12">
            <v>3.4285714285714284</v>
          </cell>
        </row>
        <row r="21">
          <cell r="J21">
            <v>1.75</v>
          </cell>
          <cell r="K21">
            <v>3.5</v>
          </cell>
        </row>
        <row r="22">
          <cell r="J22">
            <v>1.31</v>
          </cell>
          <cell r="K22">
            <v>2.62</v>
          </cell>
        </row>
      </sheetData>
      <sheetData sheetId="5" refreshError="1">
        <row r="4">
          <cell r="C4" t="str">
            <v>Buys</v>
          </cell>
          <cell r="D4">
            <v>4</v>
          </cell>
        </row>
        <row r="5">
          <cell r="C5" t="str">
            <v>Holds</v>
          </cell>
          <cell r="D5">
            <v>0</v>
          </cell>
        </row>
        <row r="6">
          <cell r="C6" t="str">
            <v>Sells</v>
          </cell>
          <cell r="D6">
            <v>0</v>
          </cell>
        </row>
      </sheetData>
      <sheetData sheetId="6"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10.74</v>
          </cell>
          <cell r="E2">
            <v>10.74</v>
          </cell>
        </row>
        <row r="3">
          <cell r="A3" t="str">
            <v>FY08e</v>
          </cell>
          <cell r="B3">
            <v>14.5</v>
          </cell>
          <cell r="C3">
            <v>12.4</v>
          </cell>
          <cell r="D3">
            <v>15.72</v>
          </cell>
          <cell r="E3">
            <v>12.4</v>
          </cell>
          <cell r="F3">
            <v>3.3200000000000003</v>
          </cell>
          <cell r="J3">
            <v>1.2200000000000006</v>
          </cell>
          <cell r="K3">
            <v>2.0999999999999996</v>
          </cell>
        </row>
        <row r="4">
          <cell r="A4" t="str">
            <v>FY09e</v>
          </cell>
          <cell r="B4">
            <v>19.239999999999998</v>
          </cell>
          <cell r="C4">
            <v>15.5</v>
          </cell>
          <cell r="D4">
            <v>21.07</v>
          </cell>
          <cell r="E4">
            <v>15.5</v>
          </cell>
          <cell r="F4">
            <v>5.57</v>
          </cell>
          <cell r="J4">
            <v>1.8300000000000018</v>
          </cell>
          <cell r="K4">
            <v>3.7399999999999984</v>
          </cell>
        </row>
        <row r="5">
          <cell r="A5" t="str">
            <v>FY10e</v>
          </cell>
          <cell r="B5">
            <v>25.45</v>
          </cell>
          <cell r="C5">
            <v>19.7</v>
          </cell>
          <cell r="D5">
            <v>31.2</v>
          </cell>
          <cell r="E5">
            <v>19.7</v>
          </cell>
          <cell r="F5">
            <v>11.5</v>
          </cell>
          <cell r="G5">
            <v>25.45</v>
          </cell>
          <cell r="J5">
            <v>5.75</v>
          </cell>
          <cell r="K5">
            <v>5.75</v>
          </cell>
        </row>
        <row r="12">
          <cell r="L12">
            <v>3.4285714285714284</v>
          </cell>
        </row>
      </sheetData>
      <sheetData sheetId="7" refreshError="1">
        <row r="1">
          <cell r="C1">
            <v>22</v>
          </cell>
          <cell r="G1" t="e">
            <v>#REF!</v>
          </cell>
          <cell r="L1" t="str">
            <v>{CMicroBar}</v>
          </cell>
        </row>
        <row r="4">
          <cell r="C4" t="str">
            <v>Current
Price</v>
          </cell>
          <cell r="D4" t="str">
            <v>Price
Target</v>
          </cell>
          <cell r="F4" t="str">
            <v xml:space="preserve"> Upside to
 Price Target</v>
          </cell>
          <cell r="I4" t="str">
            <v xml:space="preserve">
Ratings</v>
          </cell>
        </row>
        <row r="6">
          <cell r="G6" t="str">
            <v></v>
          </cell>
          <cell r="I6" t="str">
            <v>Buy</v>
          </cell>
          <cell r="J6" t="str">
            <v>Hold</v>
          </cell>
          <cell r="K6" t="str">
            <v>Sell</v>
          </cell>
        </row>
        <row r="7">
          <cell r="B7" t="str">
            <v xml:space="preserve">Vakrangee Softwares </v>
          </cell>
          <cell r="C7">
            <v>255.55</v>
          </cell>
          <cell r="D7">
            <v>435</v>
          </cell>
          <cell r="F7">
            <v>0.70221091762864407</v>
          </cell>
          <cell r="G7" t="str">
            <v></v>
          </cell>
          <cell r="I7">
            <v>2</v>
          </cell>
          <cell r="J7" t="str">
            <v/>
          </cell>
          <cell r="K7" t="str">
            <v/>
          </cell>
          <cell r="L7" t="str">
            <v></v>
          </cell>
          <cell r="M7">
            <v>2</v>
          </cell>
        </row>
        <row r="8">
          <cell r="B8" t="str">
            <v xml:space="preserve">Tanla Solutions </v>
          </cell>
          <cell r="C8">
            <v>278.25</v>
          </cell>
          <cell r="D8">
            <v>426</v>
          </cell>
          <cell r="F8">
            <v>0.53099730458221028</v>
          </cell>
          <cell r="G8" t="str">
            <v></v>
          </cell>
          <cell r="I8">
            <v>3</v>
          </cell>
          <cell r="J8" t="str">
            <v/>
          </cell>
          <cell r="K8" t="str">
            <v/>
          </cell>
          <cell r="L8" t="str">
            <v></v>
          </cell>
          <cell r="M8">
            <v>3</v>
          </cell>
        </row>
        <row r="9">
          <cell r="B9" t="str">
            <v xml:space="preserve">3I Infotech </v>
          </cell>
          <cell r="C9">
            <v>119.5</v>
          </cell>
          <cell r="D9">
            <v>170</v>
          </cell>
          <cell r="F9">
            <v>0.42259414225941422</v>
          </cell>
          <cell r="G9" t="str">
            <v></v>
          </cell>
          <cell r="I9">
            <v>6</v>
          </cell>
          <cell r="J9" t="str">
            <v/>
          </cell>
          <cell r="K9" t="str">
            <v/>
          </cell>
          <cell r="L9" t="str">
            <v></v>
          </cell>
          <cell r="M9">
            <v>6</v>
          </cell>
        </row>
        <row r="10">
          <cell r="B10" t="str">
            <v xml:space="preserve">Rolta India </v>
          </cell>
          <cell r="C10">
            <v>309.25</v>
          </cell>
          <cell r="D10">
            <v>402.5</v>
          </cell>
          <cell r="F10">
            <v>0.32728771640560594</v>
          </cell>
          <cell r="G10" t="str">
            <v></v>
          </cell>
          <cell r="I10">
            <v>4</v>
          </cell>
          <cell r="J10" t="str">
            <v/>
          </cell>
          <cell r="K10" t="str">
            <v/>
          </cell>
          <cell r="L10" t="str">
            <v></v>
          </cell>
          <cell r="M10">
            <v>4</v>
          </cell>
        </row>
        <row r="11">
          <cell r="B11" t="str">
            <v xml:space="preserve">Mphasis </v>
          </cell>
          <cell r="C11">
            <v>237.8</v>
          </cell>
          <cell r="D11">
            <v>265</v>
          </cell>
          <cell r="F11">
            <v>0.1143818334735071</v>
          </cell>
          <cell r="G11" t="str">
            <v></v>
          </cell>
          <cell r="I11">
            <v>8</v>
          </cell>
          <cell r="J11">
            <v>5</v>
          </cell>
          <cell r="K11">
            <v>1</v>
          </cell>
          <cell r="L11" t="str">
            <v></v>
          </cell>
          <cell r="M11">
            <v>14</v>
          </cell>
        </row>
        <row r="12">
          <cell r="B12" t="str">
            <v xml:space="preserve">Tech Mahindra </v>
          </cell>
          <cell r="C12">
            <v>865</v>
          </cell>
          <cell r="D12">
            <v>932</v>
          </cell>
          <cell r="F12">
            <v>7.7456647398843934E-2</v>
          </cell>
          <cell r="G12" t="str">
            <v></v>
          </cell>
          <cell r="I12">
            <v>1</v>
          </cell>
          <cell r="J12">
            <v>6</v>
          </cell>
          <cell r="K12">
            <v>2</v>
          </cell>
          <cell r="L12" t="str">
            <v></v>
          </cell>
          <cell r="M12">
            <v>9</v>
          </cell>
        </row>
        <row r="13">
          <cell r="B13" t="str">
            <v xml:space="preserve">Tata Consultancy Services </v>
          </cell>
          <cell r="C13">
            <v>1029.25</v>
          </cell>
          <cell r="D13">
            <v>1083</v>
          </cell>
          <cell r="F13">
            <v>5.2222492105902359E-2</v>
          </cell>
          <cell r="G13" t="str">
            <v></v>
          </cell>
          <cell r="I13">
            <v>16</v>
          </cell>
          <cell r="J13">
            <v>10</v>
          </cell>
          <cell r="K13" t="str">
            <v/>
          </cell>
          <cell r="L13" t="str">
            <v></v>
          </cell>
          <cell r="M13">
            <v>26</v>
          </cell>
        </row>
        <row r="14">
          <cell r="B14" t="str">
            <v xml:space="preserve">Mastek </v>
          </cell>
          <cell r="C14">
            <v>400.05</v>
          </cell>
          <cell r="D14">
            <v>412</v>
          </cell>
          <cell r="F14">
            <v>2.9871266091738503E-2</v>
          </cell>
          <cell r="G14" t="str">
            <v></v>
          </cell>
          <cell r="I14">
            <v>1</v>
          </cell>
          <cell r="J14" t="str">
            <v/>
          </cell>
          <cell r="K14">
            <v>1</v>
          </cell>
          <cell r="L14" t="str">
            <v></v>
          </cell>
          <cell r="M14">
            <v>2</v>
          </cell>
        </row>
        <row r="15">
          <cell r="B15" t="str">
            <v xml:space="preserve">Mindtree </v>
          </cell>
          <cell r="C15">
            <v>467.65</v>
          </cell>
          <cell r="D15">
            <v>472.5</v>
          </cell>
          <cell r="F15">
            <v>1.0371003955949889E-2</v>
          </cell>
          <cell r="G15" t="str">
            <v></v>
          </cell>
          <cell r="I15">
            <v>1</v>
          </cell>
          <cell r="J15">
            <v>4</v>
          </cell>
          <cell r="K15">
            <v>2</v>
          </cell>
          <cell r="L15" t="str">
            <v></v>
          </cell>
          <cell r="M15">
            <v>7</v>
          </cell>
        </row>
        <row r="16">
          <cell r="B16" t="str">
            <v xml:space="preserve">Wipro </v>
          </cell>
          <cell r="C16">
            <v>508</v>
          </cell>
          <cell r="D16">
            <v>500</v>
          </cell>
          <cell r="F16">
            <v>-1.5748031496062992E-2</v>
          </cell>
          <cell r="G16" t="str">
            <v></v>
          </cell>
          <cell r="I16">
            <v>12</v>
          </cell>
          <cell r="J16">
            <v>11</v>
          </cell>
          <cell r="K16">
            <v>2</v>
          </cell>
          <cell r="L16" t="str">
            <v></v>
          </cell>
          <cell r="M16">
            <v>25</v>
          </cell>
        </row>
        <row r="17">
          <cell r="B17" t="str">
            <v xml:space="preserve">Satyam Computer Services </v>
          </cell>
          <cell r="C17">
            <v>523.75</v>
          </cell>
          <cell r="D17">
            <v>512.5</v>
          </cell>
          <cell r="F17">
            <v>-2.1479713603818614E-2</v>
          </cell>
          <cell r="G17" t="str">
            <v></v>
          </cell>
          <cell r="I17">
            <v>18</v>
          </cell>
          <cell r="J17">
            <v>7</v>
          </cell>
          <cell r="K17" t="str">
            <v/>
          </cell>
          <cell r="L17" t="str">
            <v></v>
          </cell>
          <cell r="M17">
            <v>25</v>
          </cell>
        </row>
        <row r="18">
          <cell r="B18" t="str">
            <v xml:space="preserve">Infosys Technologies </v>
          </cell>
          <cell r="C18">
            <v>1957.55</v>
          </cell>
          <cell r="D18">
            <v>1900</v>
          </cell>
          <cell r="F18">
            <v>-2.9398993640009172E-2</v>
          </cell>
          <cell r="G18" t="str">
            <v></v>
          </cell>
          <cell r="I18">
            <v>21</v>
          </cell>
          <cell r="J18">
            <v>13</v>
          </cell>
          <cell r="K18" t="str">
            <v/>
          </cell>
          <cell r="L18" t="str">
            <v></v>
          </cell>
          <cell r="M18">
            <v>34</v>
          </cell>
        </row>
        <row r="19">
          <cell r="B19" t="str">
            <v xml:space="preserve">HCL Technologies </v>
          </cell>
          <cell r="C19">
            <v>312.89999999999998</v>
          </cell>
          <cell r="D19">
            <v>302</v>
          </cell>
          <cell r="F19">
            <v>-3.4835410674336952E-2</v>
          </cell>
          <cell r="G19" t="str">
            <v></v>
          </cell>
          <cell r="I19">
            <v>8</v>
          </cell>
          <cell r="J19">
            <v>7</v>
          </cell>
          <cell r="K19" t="str">
            <v/>
          </cell>
          <cell r="L19" t="str">
            <v></v>
          </cell>
          <cell r="M19">
            <v>15</v>
          </cell>
        </row>
        <row r="20">
          <cell r="B20" t="str">
            <v xml:space="preserve">Polaris Software Laboratory </v>
          </cell>
          <cell r="C20">
            <v>105.7</v>
          </cell>
          <cell r="D20">
            <v>90</v>
          </cell>
          <cell r="F20">
            <v>-0.14853358561967836</v>
          </cell>
          <cell r="G20" t="str">
            <v></v>
          </cell>
          <cell r="I20">
            <v>1</v>
          </cell>
          <cell r="J20" t="str">
            <v/>
          </cell>
          <cell r="K20">
            <v>2</v>
          </cell>
          <cell r="L20" t="str">
            <v></v>
          </cell>
          <cell r="M20">
            <v>3</v>
          </cell>
        </row>
        <row r="21">
          <cell r="B21" t="str">
            <v xml:space="preserve">Nucleus Software Exports </v>
          </cell>
          <cell r="C21">
            <v>264.05</v>
          </cell>
          <cell r="D21" t="str">
            <v>NA</v>
          </cell>
          <cell r="F21" t="str">
            <v>NA</v>
          </cell>
          <cell r="G21" t="str">
            <v></v>
          </cell>
          <cell r="I21">
            <v>2</v>
          </cell>
          <cell r="J21" t="str">
            <v/>
          </cell>
          <cell r="K21" t="str">
            <v/>
          </cell>
          <cell r="L21" t="str">
            <v></v>
          </cell>
          <cell r="M21">
            <v>2</v>
          </cell>
        </row>
      </sheetData>
      <sheetData sheetId="8" refreshError="1">
        <row r="1">
          <cell r="U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H11" t="str">
            <v>Highlight?</v>
          </cell>
        </row>
        <row r="12">
          <cell r="D12" t="str">
            <v>Sales</v>
          </cell>
          <cell r="E12" t="str">
            <v>EBIT</v>
          </cell>
          <cell r="F12" t="str">
            <v>EPS</v>
          </cell>
          <cell r="AH12" t="str">
            <v>No.</v>
          </cell>
          <cell r="AI12" t="str">
            <v>HighlightYes</v>
          </cell>
          <cell r="AJ12" t="str">
            <v>HighlightNo</v>
          </cell>
          <cell r="AL12" t="str">
            <v>ArrowLine</v>
          </cell>
        </row>
        <row r="13">
          <cell r="C13">
            <v>2003</v>
          </cell>
          <cell r="I13" t="b">
            <v>0</v>
          </cell>
          <cell r="AH13">
            <v>1</v>
          </cell>
          <cell r="AI13">
            <v>0</v>
          </cell>
          <cell r="AJ13">
            <v>0</v>
          </cell>
          <cell r="AL13">
            <v>0</v>
          </cell>
        </row>
        <row r="14">
          <cell r="C14">
            <v>2004</v>
          </cell>
          <cell r="D14">
            <v>0.31187326270466853</v>
          </cell>
          <cell r="E14">
            <v>6.5133423113751698E-2</v>
          </cell>
          <cell r="F14">
            <v>0.18579881656804731</v>
          </cell>
          <cell r="I14" t="b">
            <v>0</v>
          </cell>
          <cell r="AH14">
            <v>2</v>
          </cell>
          <cell r="AI14">
            <v>0</v>
          </cell>
          <cell r="AJ14">
            <v>0.31187326270466853</v>
          </cell>
          <cell r="AL14">
            <v>0.31187326270466853</v>
          </cell>
        </row>
        <row r="15">
          <cell r="C15">
            <v>2005</v>
          </cell>
          <cell r="D15">
            <v>0.18264296061064944</v>
          </cell>
          <cell r="E15">
            <v>0.30512660813107284</v>
          </cell>
          <cell r="F15">
            <v>0.41317365269461082</v>
          </cell>
          <cell r="I15" t="b">
            <v>0</v>
          </cell>
          <cell r="AH15">
            <v>3</v>
          </cell>
          <cell r="AI15">
            <v>0</v>
          </cell>
          <cell r="AJ15">
            <v>0.18264296061064944</v>
          </cell>
          <cell r="AL15">
            <v>0.18264296061064944</v>
          </cell>
        </row>
        <row r="16">
          <cell r="C16">
            <v>2006</v>
          </cell>
          <cell r="D16">
            <v>0.29018463316470955</v>
          </cell>
          <cell r="E16">
            <v>0.42963236025428464</v>
          </cell>
          <cell r="F16">
            <v>0.33262711864406791</v>
          </cell>
          <cell r="I16" t="b">
            <v>0</v>
          </cell>
          <cell r="AH16">
            <v>4</v>
          </cell>
          <cell r="AI16">
            <v>0</v>
          </cell>
          <cell r="AJ16">
            <v>0.29018463316470955</v>
          </cell>
          <cell r="AL16">
            <v>0.29018463316470955</v>
          </cell>
        </row>
        <row r="17">
          <cell r="C17">
            <v>2007</v>
          </cell>
          <cell r="D17">
            <v>0.32998586132285745</v>
          </cell>
          <cell r="E17">
            <v>0.24485651208492287</v>
          </cell>
          <cell r="F17">
            <v>0.1436142024377316</v>
          </cell>
          <cell r="I17" t="b">
            <v>0</v>
          </cell>
          <cell r="AH17">
            <v>5</v>
          </cell>
          <cell r="AI17">
            <v>0</v>
          </cell>
          <cell r="AJ17">
            <v>0.32998586132285745</v>
          </cell>
          <cell r="AL17">
            <v>0.32998586132285745</v>
          </cell>
        </row>
        <row r="18">
          <cell r="C18" t="str">
            <v>2008e</v>
          </cell>
          <cell r="D18">
            <v>0.50878144469082964</v>
          </cell>
          <cell r="E18">
            <v>0.36689989556107516</v>
          </cell>
          <cell r="F18">
            <v>0.34994434133837671</v>
          </cell>
          <cell r="I18" t="b">
            <v>1</v>
          </cell>
          <cell r="AH18">
            <v>6</v>
          </cell>
          <cell r="AI18">
            <v>0.50878144469082964</v>
          </cell>
          <cell r="AJ18">
            <v>0</v>
          </cell>
          <cell r="AL18">
            <v>0.50878144469082964</v>
          </cell>
        </row>
        <row r="19">
          <cell r="C19" t="str">
            <v>2009e</v>
          </cell>
          <cell r="D19">
            <v>0.37778295404253348</v>
          </cell>
          <cell r="E19">
            <v>0.50803051476846695</v>
          </cell>
          <cell r="F19">
            <v>0.32665162839496165</v>
          </cell>
          <cell r="I19" t="b">
            <v>1</v>
          </cell>
          <cell r="AH19">
            <v>7</v>
          </cell>
          <cell r="AI19">
            <v>0.37778295404253348</v>
          </cell>
          <cell r="AJ19">
            <v>0</v>
          </cell>
          <cell r="AL19">
            <v>0.37778295404253348</v>
          </cell>
        </row>
        <row r="20">
          <cell r="C20" t="str">
            <v>2010e</v>
          </cell>
          <cell r="D20">
            <v>0.332485764907962</v>
          </cell>
          <cell r="E20">
            <v>0.41772570597516068</v>
          </cell>
          <cell r="F20">
            <v>0.32278500748378502</v>
          </cell>
          <cell r="I20" t="b">
            <v>1</v>
          </cell>
          <cell r="AH20">
            <v>8</v>
          </cell>
          <cell r="AI20">
            <v>0.332485764907962</v>
          </cell>
          <cell r="AJ20">
            <v>0</v>
          </cell>
          <cell r="AL20">
            <v>0.332485764907962</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9" refreshError="1">
        <row r="1">
          <cell r="U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H11" t="str">
            <v>Highlight?</v>
          </cell>
        </row>
        <row r="12">
          <cell r="D12" t="str">
            <v>weighted average for the sector</v>
          </cell>
          <cell r="E12" t="str">
            <v>Rolta vs.</v>
          </cell>
          <cell r="AH12" t="str">
            <v>No.</v>
          </cell>
          <cell r="AI12" t="str">
            <v>HighlightYes</v>
          </cell>
          <cell r="AJ12" t="str">
            <v>HighlightNo</v>
          </cell>
          <cell r="AL12" t="str">
            <v>ArrowLine</v>
          </cell>
        </row>
        <row r="13">
          <cell r="C13">
            <v>2003</v>
          </cell>
          <cell r="D13">
            <v>0.35617798469332757</v>
          </cell>
          <cell r="I13" t="b">
            <v>0</v>
          </cell>
          <cell r="AH13">
            <v>1</v>
          </cell>
          <cell r="AI13">
            <v>0</v>
          </cell>
          <cell r="AJ13">
            <v>0.35617798469332757</v>
          </cell>
          <cell r="AL13">
            <v>0.35617798469332757</v>
          </cell>
        </row>
        <row r="14">
          <cell r="C14">
            <v>2004</v>
          </cell>
          <cell r="D14">
            <v>0.38073102782003621</v>
          </cell>
          <cell r="E14">
            <v>0.31187326270466853</v>
          </cell>
          <cell r="I14" t="b">
            <v>0</v>
          </cell>
          <cell r="AH14">
            <v>2</v>
          </cell>
          <cell r="AI14">
            <v>0</v>
          </cell>
          <cell r="AJ14">
            <v>0.38073102782003621</v>
          </cell>
          <cell r="AL14">
            <v>0.38073102782003621</v>
          </cell>
        </row>
        <row r="15">
          <cell r="C15">
            <v>2005</v>
          </cell>
          <cell r="D15">
            <v>0.40930798429987508</v>
          </cell>
          <cell r="E15">
            <v>0.18264296061064944</v>
          </cell>
          <cell r="I15" t="b">
            <v>0</v>
          </cell>
          <cell r="AH15">
            <v>3</v>
          </cell>
          <cell r="AI15">
            <v>0</v>
          </cell>
          <cell r="AJ15">
            <v>0.40930798429987508</v>
          </cell>
          <cell r="AL15">
            <v>0.40930798429987508</v>
          </cell>
        </row>
        <row r="16">
          <cell r="C16">
            <v>2006</v>
          </cell>
          <cell r="D16">
            <v>0.42653065029543547</v>
          </cell>
          <cell r="E16">
            <v>0.29018463316470955</v>
          </cell>
          <cell r="I16" t="b">
            <v>0</v>
          </cell>
          <cell r="AH16">
            <v>4</v>
          </cell>
          <cell r="AI16">
            <v>0</v>
          </cell>
          <cell r="AJ16">
            <v>0.42653065029543547</v>
          </cell>
          <cell r="AL16">
            <v>0.42653065029543547</v>
          </cell>
        </row>
        <row r="17">
          <cell r="C17">
            <v>2007</v>
          </cell>
          <cell r="D17">
            <v>0.29606810487992569</v>
          </cell>
          <cell r="E17">
            <v>0.32998586132285745</v>
          </cell>
          <cell r="I17" t="b">
            <v>0</v>
          </cell>
          <cell r="AH17">
            <v>5</v>
          </cell>
          <cell r="AI17">
            <v>0</v>
          </cell>
          <cell r="AJ17">
            <v>0.29606810487992569</v>
          </cell>
          <cell r="AL17">
            <v>0.29606810487992569</v>
          </cell>
        </row>
        <row r="18">
          <cell r="C18" t="str">
            <v>2008e</v>
          </cell>
          <cell r="D18">
            <v>0.26799597071356773</v>
          </cell>
          <cell r="E18">
            <v>0.50878144469082964</v>
          </cell>
          <cell r="I18" t="b">
            <v>1</v>
          </cell>
          <cell r="AH18">
            <v>6</v>
          </cell>
          <cell r="AI18">
            <v>0.26799597071356773</v>
          </cell>
          <cell r="AJ18">
            <v>0</v>
          </cell>
          <cell r="AL18">
            <v>0.26799597071356773</v>
          </cell>
        </row>
        <row r="19">
          <cell r="C19" t="str">
            <v>2009e</v>
          </cell>
          <cell r="D19">
            <v>0.24883238217539563</v>
          </cell>
          <cell r="E19">
            <v>0.37778295404253348</v>
          </cell>
          <cell r="I19" t="b">
            <v>1</v>
          </cell>
          <cell r="AH19">
            <v>7</v>
          </cell>
          <cell r="AI19">
            <v>0.24883238217539563</v>
          </cell>
          <cell r="AJ19">
            <v>0</v>
          </cell>
          <cell r="AL19">
            <v>0.24883238217539563</v>
          </cell>
        </row>
        <row r="20">
          <cell r="C20" t="str">
            <v>2010e</v>
          </cell>
          <cell r="D20">
            <v>0.21853682210406927</v>
          </cell>
          <cell r="E20">
            <v>0.332485764907962</v>
          </cell>
          <cell r="I20" t="b">
            <v>1</v>
          </cell>
          <cell r="AH20">
            <v>8</v>
          </cell>
          <cell r="AI20">
            <v>0.21853682210406927</v>
          </cell>
          <cell r="AJ20">
            <v>0</v>
          </cell>
          <cell r="AL20">
            <v>0.21853682210406927</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10" refreshError="1">
        <row r="1">
          <cell r="U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H11" t="str">
            <v>Highlight?</v>
          </cell>
        </row>
        <row r="12">
          <cell r="D12" t="str">
            <v>weighted average for the sector</v>
          </cell>
          <cell r="E12" t="str">
            <v>Rolta vs.</v>
          </cell>
          <cell r="AH12" t="str">
            <v>No.</v>
          </cell>
          <cell r="AI12" t="str">
            <v>HighlightYes</v>
          </cell>
          <cell r="AJ12" t="str">
            <v>HighlightNo</v>
          </cell>
          <cell r="AL12" t="str">
            <v>ArrowLine</v>
          </cell>
        </row>
        <row r="13">
          <cell r="C13">
            <v>2003</v>
          </cell>
          <cell r="D13">
            <v>-9.0642938402324541E-2</v>
          </cell>
          <cell r="I13" t="b">
            <v>0</v>
          </cell>
          <cell r="AH13">
            <v>1</v>
          </cell>
          <cell r="AI13">
            <v>0</v>
          </cell>
          <cell r="AJ13">
            <v>-9.0642938402324541E-2</v>
          </cell>
          <cell r="AL13">
            <v>-9.0642938402324541E-2</v>
          </cell>
        </row>
        <row r="14">
          <cell r="C14">
            <v>2004</v>
          </cell>
          <cell r="D14">
            <v>0.29174253362478225</v>
          </cell>
          <cell r="E14">
            <v>6.5133423113751698E-2</v>
          </cell>
          <cell r="I14" t="b">
            <v>0</v>
          </cell>
          <cell r="AH14">
            <v>2</v>
          </cell>
          <cell r="AI14">
            <v>0</v>
          </cell>
          <cell r="AJ14">
            <v>0.29174253362478225</v>
          </cell>
          <cell r="AL14">
            <v>0.29174253362478225</v>
          </cell>
        </row>
        <row r="15">
          <cell r="C15">
            <v>2005</v>
          </cell>
          <cell r="D15">
            <v>0.42362563981950424</v>
          </cell>
          <cell r="E15">
            <v>0.30512660813107284</v>
          </cell>
          <cell r="I15" t="b">
            <v>0</v>
          </cell>
          <cell r="AH15">
            <v>3</v>
          </cell>
          <cell r="AI15">
            <v>0</v>
          </cell>
          <cell r="AJ15">
            <v>0.42362563981950424</v>
          </cell>
          <cell r="AL15">
            <v>0.42362563981950424</v>
          </cell>
        </row>
        <row r="16">
          <cell r="C16">
            <v>2006</v>
          </cell>
          <cell r="D16">
            <v>0.33482867122814242</v>
          </cell>
          <cell r="E16">
            <v>0.42963236025428464</v>
          </cell>
          <cell r="I16" t="b">
            <v>0</v>
          </cell>
          <cell r="AH16">
            <v>4</v>
          </cell>
          <cell r="AI16">
            <v>0</v>
          </cell>
          <cell r="AJ16">
            <v>0.33482867122814242</v>
          </cell>
          <cell r="AL16">
            <v>0.33482867122814242</v>
          </cell>
        </row>
        <row r="17">
          <cell r="C17">
            <v>2007</v>
          </cell>
          <cell r="D17">
            <v>0.55478629611326302</v>
          </cell>
          <cell r="E17">
            <v>0.24485651208492287</v>
          </cell>
          <cell r="I17" t="b">
            <v>0</v>
          </cell>
          <cell r="AH17">
            <v>5</v>
          </cell>
          <cell r="AI17">
            <v>0</v>
          </cell>
          <cell r="AJ17">
            <v>0.55478629611326302</v>
          </cell>
          <cell r="AL17">
            <v>0.55478629611326302</v>
          </cell>
        </row>
        <row r="18">
          <cell r="C18" t="str">
            <v>2008e</v>
          </cell>
          <cell r="D18">
            <v>0.19947771377918722</v>
          </cell>
          <cell r="E18">
            <v>0.36689989556107516</v>
          </cell>
          <cell r="I18" t="b">
            <v>1</v>
          </cell>
          <cell r="AH18">
            <v>6</v>
          </cell>
          <cell r="AI18">
            <v>0.19947771377918722</v>
          </cell>
          <cell r="AJ18">
            <v>0</v>
          </cell>
          <cell r="AL18">
            <v>0.19947771377918722</v>
          </cell>
        </row>
        <row r="19">
          <cell r="C19" t="str">
            <v>2009e</v>
          </cell>
          <cell r="D19">
            <v>0.21275120601233649</v>
          </cell>
          <cell r="E19">
            <v>0.50803051476846695</v>
          </cell>
          <cell r="I19" t="b">
            <v>1</v>
          </cell>
          <cell r="AH19">
            <v>7</v>
          </cell>
          <cell r="AI19">
            <v>0.21275120601233649</v>
          </cell>
          <cell r="AJ19">
            <v>0</v>
          </cell>
          <cell r="AL19">
            <v>0.21275120601233649</v>
          </cell>
        </row>
        <row r="20">
          <cell r="C20" t="str">
            <v>2010e</v>
          </cell>
          <cell r="D20">
            <v>0.18687457475322686</v>
          </cell>
          <cell r="E20">
            <v>0.41772570597516068</v>
          </cell>
          <cell r="I20" t="b">
            <v>1</v>
          </cell>
          <cell r="AH20">
            <v>8</v>
          </cell>
          <cell r="AI20">
            <v>0.18687457475322686</v>
          </cell>
          <cell r="AJ20">
            <v>0</v>
          </cell>
          <cell r="AL20">
            <v>0.18687457475322686</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11" refreshError="1">
        <row r="1">
          <cell r="U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H11" t="str">
            <v>Highlight?</v>
          </cell>
        </row>
        <row r="12">
          <cell r="D12" t="str">
            <v>weighted average for the sector</v>
          </cell>
          <cell r="E12" t="str">
            <v>Rolta vs.</v>
          </cell>
          <cell r="AH12" t="str">
            <v>No.</v>
          </cell>
          <cell r="AI12" t="str">
            <v>HighlightYes</v>
          </cell>
          <cell r="AJ12" t="str">
            <v>HighlightNo</v>
          </cell>
          <cell r="AL12" t="str">
            <v>ArrowLine</v>
          </cell>
        </row>
        <row r="13">
          <cell r="C13">
            <v>2003</v>
          </cell>
          <cell r="D13">
            <v>0.62355116052839754</v>
          </cell>
          <cell r="I13" t="b">
            <v>0</v>
          </cell>
          <cell r="AH13">
            <v>1</v>
          </cell>
          <cell r="AI13">
            <v>0</v>
          </cell>
          <cell r="AJ13">
            <v>0.62355116052839754</v>
          </cell>
          <cell r="AL13">
            <v>0.62355116052839754</v>
          </cell>
        </row>
        <row r="14">
          <cell r="C14">
            <v>2004</v>
          </cell>
          <cell r="D14">
            <v>0.55382469488034292</v>
          </cell>
          <cell r="E14">
            <v>0.18579881656804731</v>
          </cell>
          <cell r="I14" t="b">
            <v>0</v>
          </cell>
          <cell r="AH14">
            <v>2</v>
          </cell>
          <cell r="AI14">
            <v>0</v>
          </cell>
          <cell r="AJ14">
            <v>0.55382469488034292</v>
          </cell>
          <cell r="AL14">
            <v>0.55382469488034292</v>
          </cell>
        </row>
        <row r="15">
          <cell r="C15">
            <v>2005</v>
          </cell>
          <cell r="D15">
            <v>0.53192985991464103</v>
          </cell>
          <cell r="E15">
            <v>0.41317365269461082</v>
          </cell>
          <cell r="I15" t="b">
            <v>0</v>
          </cell>
          <cell r="AH15">
            <v>3</v>
          </cell>
          <cell r="AI15">
            <v>0</v>
          </cell>
          <cell r="AJ15">
            <v>0.53192985991464103</v>
          </cell>
          <cell r="AL15">
            <v>0.53192985991464103</v>
          </cell>
        </row>
        <row r="16">
          <cell r="C16">
            <v>2006</v>
          </cell>
          <cell r="D16">
            <v>0.40741507093361534</v>
          </cell>
          <cell r="E16">
            <v>0.33262711864406791</v>
          </cell>
          <cell r="I16" t="b">
            <v>0</v>
          </cell>
          <cell r="AH16">
            <v>4</v>
          </cell>
          <cell r="AI16">
            <v>0</v>
          </cell>
          <cell r="AJ16">
            <v>0.40741507093361534</v>
          </cell>
          <cell r="AL16">
            <v>0.40741507093361534</v>
          </cell>
        </row>
        <row r="17">
          <cell r="C17">
            <v>2007</v>
          </cell>
          <cell r="D17">
            <v>0.33262566574148378</v>
          </cell>
          <cell r="E17">
            <v>0.1436142024377316</v>
          </cell>
          <cell r="I17" t="b">
            <v>0</v>
          </cell>
          <cell r="AH17">
            <v>5</v>
          </cell>
          <cell r="AI17">
            <v>0</v>
          </cell>
          <cell r="AJ17">
            <v>0.33262566574148378</v>
          </cell>
          <cell r="AL17">
            <v>0.33262566574148378</v>
          </cell>
        </row>
        <row r="18">
          <cell r="C18" t="str">
            <v>2008e</v>
          </cell>
          <cell r="D18">
            <v>0.20019780693315919</v>
          </cell>
          <cell r="E18">
            <v>0.34994434133837671</v>
          </cell>
          <cell r="I18" t="b">
            <v>1</v>
          </cell>
          <cell r="AH18">
            <v>6</v>
          </cell>
          <cell r="AI18">
            <v>0.20019780693315919</v>
          </cell>
          <cell r="AJ18">
            <v>0</v>
          </cell>
          <cell r="AL18">
            <v>0.20019780693315919</v>
          </cell>
        </row>
        <row r="19">
          <cell r="C19" t="str">
            <v>2009e</v>
          </cell>
          <cell r="D19">
            <v>0.19569611391329428</v>
          </cell>
          <cell r="E19">
            <v>0.32665162839496165</v>
          </cell>
          <cell r="I19" t="b">
            <v>1</v>
          </cell>
          <cell r="AH19">
            <v>7</v>
          </cell>
          <cell r="AI19">
            <v>0.19569611391329428</v>
          </cell>
          <cell r="AJ19">
            <v>0</v>
          </cell>
          <cell r="AL19">
            <v>0.19569611391329428</v>
          </cell>
        </row>
        <row r="20">
          <cell r="C20" t="str">
            <v>2010e</v>
          </cell>
          <cell r="D20">
            <v>0.15482422000446469</v>
          </cell>
          <cell r="E20">
            <v>0.32278500748378502</v>
          </cell>
          <cell r="I20" t="b">
            <v>1</v>
          </cell>
          <cell r="AH20">
            <v>8</v>
          </cell>
          <cell r="AI20">
            <v>0.15482422000446469</v>
          </cell>
          <cell r="AJ20">
            <v>0</v>
          </cell>
          <cell r="AL20">
            <v>0.15482422000446469</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12" refreshError="1">
        <row r="1">
          <cell r="C1">
            <v>8</v>
          </cell>
          <cell r="D1">
            <v>10</v>
          </cell>
          <cell r="F1">
            <v>10</v>
          </cell>
          <cell r="H1">
            <v>10</v>
          </cell>
          <cell r="I1">
            <v>13</v>
          </cell>
          <cell r="J1">
            <v>10</v>
          </cell>
          <cell r="L1">
            <v>10</v>
          </cell>
          <cell r="Q1" t="str">
            <v>{CMicroBar}</v>
          </cell>
        </row>
        <row r="4">
          <cell r="C4" t="str">
            <v xml:space="preserve"> P/E (FY1)</v>
          </cell>
          <cell r="E4" t="str">
            <v xml:space="preserve"> P/Book</v>
          </cell>
          <cell r="G4" t="str">
            <v xml:space="preserve"> EV/Ebitda</v>
          </cell>
          <cell r="I4" t="str">
            <v xml:space="preserve"> EPS growth
 (2-yr fwd)</v>
          </cell>
          <cell r="K4" t="str">
            <v xml:space="preserve"> Upside to
 Price Target</v>
          </cell>
          <cell r="N4" t="str">
            <v xml:space="preserve">
Ratings</v>
          </cell>
        </row>
        <row r="6">
          <cell r="D6" t="str">
            <v></v>
          </cell>
          <cell r="F6" t="str">
            <v></v>
          </cell>
          <cell r="H6" t="str">
            <v></v>
          </cell>
          <cell r="J6" t="str">
            <v></v>
          </cell>
          <cell r="L6" t="str">
            <v>串懶</v>
          </cell>
          <cell r="N6" t="str">
            <v>Buy</v>
          </cell>
          <cell r="O6" t="str">
            <v>Hold</v>
          </cell>
          <cell r="P6" t="str">
            <v>Sell</v>
          </cell>
        </row>
        <row r="8">
          <cell r="B8" t="str">
            <v xml:space="preserve">Infosys Technologies </v>
          </cell>
          <cell r="C8">
            <v>23.165303750274681</v>
          </cell>
          <cell r="D8" t="str">
            <v></v>
          </cell>
          <cell r="E8">
            <v>5.92997</v>
          </cell>
          <cell r="F8" t="str">
            <v></v>
          </cell>
          <cell r="G8">
            <v>16.697620329855269</v>
          </cell>
          <cell r="H8" t="str">
            <v></v>
          </cell>
          <cell r="I8">
            <v>0.44916684604475132</v>
          </cell>
          <cell r="J8" t="str">
            <v></v>
          </cell>
          <cell r="K8">
            <v>-2.9398993640009172E-2</v>
          </cell>
          <cell r="L8" t="str">
            <v></v>
          </cell>
          <cell r="N8">
            <v>21</v>
          </cell>
          <cell r="O8">
            <v>13</v>
          </cell>
          <cell r="P8" t="str">
            <v/>
          </cell>
          <cell r="Q8" t="str">
            <v></v>
          </cell>
        </row>
        <row r="9">
          <cell r="B9" t="str">
            <v xml:space="preserve">Rolta India </v>
          </cell>
          <cell r="C9">
            <v>20.694458166823328</v>
          </cell>
          <cell r="D9" t="str">
            <v></v>
          </cell>
          <cell r="E9">
            <v>3.5718800000000002</v>
          </cell>
          <cell r="F9" t="str">
            <v></v>
          </cell>
          <cell r="G9">
            <v>16.154547701816412</v>
          </cell>
          <cell r="H9" t="str">
            <v></v>
          </cell>
          <cell r="I9">
            <v>0.79090585867912133</v>
          </cell>
          <cell r="J9" t="str">
            <v></v>
          </cell>
          <cell r="K9">
            <v>0.32728771640560594</v>
          </cell>
          <cell r="L9" t="str">
            <v></v>
          </cell>
          <cell r="N9">
            <v>4</v>
          </cell>
          <cell r="O9" t="str">
            <v/>
          </cell>
          <cell r="P9" t="str">
            <v/>
          </cell>
          <cell r="Q9" t="str">
            <v></v>
          </cell>
        </row>
        <row r="10">
          <cell r="B10" t="str">
            <v xml:space="preserve">Vakrangee Softwares </v>
          </cell>
          <cell r="C10">
            <v>20.301251956181531</v>
          </cell>
          <cell r="D10" t="str">
            <v></v>
          </cell>
          <cell r="E10">
            <v>1.46147</v>
          </cell>
          <cell r="F10" t="str">
            <v></v>
          </cell>
          <cell r="G10">
            <v>9.5269519425732483</v>
          </cell>
          <cell r="H10" t="str">
            <v></v>
          </cell>
          <cell r="I10">
            <v>1.333836098541981</v>
          </cell>
          <cell r="J10" t="str">
            <v></v>
          </cell>
          <cell r="K10">
            <v>0.70221091762864407</v>
          </cell>
          <cell r="L10" t="str">
            <v></v>
          </cell>
          <cell r="N10">
            <v>2</v>
          </cell>
          <cell r="O10" t="str">
            <v/>
          </cell>
          <cell r="P10" t="str">
            <v/>
          </cell>
          <cell r="Q10" t="str">
            <v></v>
          </cell>
        </row>
        <row r="11">
          <cell r="B11" t="str">
            <v xml:space="preserve">Satyam Computer Services </v>
          </cell>
          <cell r="C11">
            <v>19.718643799889353</v>
          </cell>
          <cell r="D11" t="str">
            <v></v>
          </cell>
          <cell r="E11">
            <v>5.4957700000000003</v>
          </cell>
          <cell r="F11" t="str">
            <v></v>
          </cell>
          <cell r="G11">
            <v>17.078127744277268</v>
          </cell>
          <cell r="H11" t="str">
            <v></v>
          </cell>
          <cell r="I11">
            <v>0.53100814894033643</v>
          </cell>
          <cell r="J11" t="str">
            <v></v>
          </cell>
          <cell r="K11">
            <v>-2.1479713603818614E-2</v>
          </cell>
          <cell r="L11" t="str">
            <v></v>
          </cell>
          <cell r="N11">
            <v>18</v>
          </cell>
          <cell r="O11">
            <v>7</v>
          </cell>
          <cell r="P11" t="str">
            <v/>
          </cell>
          <cell r="Q11" t="str">
            <v></v>
          </cell>
        </row>
        <row r="12">
          <cell r="B12" t="str">
            <v xml:space="preserve">Tata Consultancy Services </v>
          </cell>
          <cell r="C12">
            <v>18.737467646561658</v>
          </cell>
          <cell r="D12" t="str">
            <v></v>
          </cell>
          <cell r="E12">
            <v>13.614140000000001</v>
          </cell>
          <cell r="F12" t="str">
            <v></v>
          </cell>
          <cell r="G12">
            <v>17.602119655051197</v>
          </cell>
          <cell r="H12" t="str">
            <v></v>
          </cell>
          <cell r="I12">
            <v>0.38530689443930721</v>
          </cell>
          <cell r="J12" t="str">
            <v></v>
          </cell>
          <cell r="K12">
            <v>5.2222492105902359E-2</v>
          </cell>
          <cell r="L12" t="str">
            <v></v>
          </cell>
          <cell r="N12">
            <v>16</v>
          </cell>
          <cell r="O12">
            <v>10</v>
          </cell>
          <cell r="P12" t="str">
            <v/>
          </cell>
          <cell r="Q12" t="str">
            <v></v>
          </cell>
        </row>
        <row r="13">
          <cell r="B13" t="str">
            <v xml:space="preserve">Mphasis </v>
          </cell>
          <cell r="C13">
            <v>18.603477724334482</v>
          </cell>
          <cell r="D13" t="str">
            <v></v>
          </cell>
          <cell r="E13">
            <v>4.5919100000000004</v>
          </cell>
          <cell r="F13" t="str">
            <v></v>
          </cell>
          <cell r="G13" t="str">
            <v>NA</v>
          </cell>
          <cell r="H13" t="str">
            <v></v>
          </cell>
          <cell r="I13">
            <v>0.84296926496494584</v>
          </cell>
          <cell r="J13" t="str">
            <v></v>
          </cell>
          <cell r="K13">
            <v>0.1143818334735071</v>
          </cell>
          <cell r="L13" t="str">
            <v></v>
          </cell>
          <cell r="N13">
            <v>8</v>
          </cell>
          <cell r="O13">
            <v>5</v>
          </cell>
          <cell r="P13">
            <v>1</v>
          </cell>
          <cell r="Q13" t="str">
            <v></v>
          </cell>
        </row>
        <row r="14">
          <cell r="B14" t="str">
            <v xml:space="preserve">Wipro </v>
          </cell>
          <cell r="C14">
            <v>18.503024055060422</v>
          </cell>
          <cell r="D14" t="str">
            <v></v>
          </cell>
          <cell r="E14">
            <v>8.4862000000000002</v>
          </cell>
          <cell r="F14" t="str">
            <v></v>
          </cell>
          <cell r="G14">
            <v>19.653327362535961</v>
          </cell>
          <cell r="H14" t="str">
            <v></v>
          </cell>
          <cell r="I14">
            <v>0.419577732468563</v>
          </cell>
          <cell r="J14" t="str">
            <v></v>
          </cell>
          <cell r="K14">
            <v>-1.5748031496062992E-2</v>
          </cell>
          <cell r="L14" t="str">
            <v></v>
          </cell>
          <cell r="N14">
            <v>12</v>
          </cell>
          <cell r="O14">
            <v>11</v>
          </cell>
          <cell r="P14">
            <v>2</v>
          </cell>
          <cell r="Q14" t="str">
            <v></v>
          </cell>
        </row>
        <row r="15">
          <cell r="B15" t="str">
            <v xml:space="preserve">Mindtree </v>
          </cell>
          <cell r="C15">
            <v>17.848498130011894</v>
          </cell>
          <cell r="D15" t="str">
            <v></v>
          </cell>
          <cell r="E15">
            <v>7.19984</v>
          </cell>
          <cell r="F15" t="str">
            <v></v>
          </cell>
          <cell r="G15">
            <v>14.698193597463257</v>
          </cell>
          <cell r="H15" t="str">
            <v></v>
          </cell>
          <cell r="I15">
            <v>9.8563448275862164E-2</v>
          </cell>
          <cell r="J15" t="str">
            <v></v>
          </cell>
          <cell r="K15">
            <v>1.0371003955949889E-2</v>
          </cell>
          <cell r="L15" t="str">
            <v></v>
          </cell>
          <cell r="N15">
            <v>1</v>
          </cell>
          <cell r="O15">
            <v>4</v>
          </cell>
          <cell r="P15">
            <v>2</v>
          </cell>
          <cell r="Q15" t="str">
            <v></v>
          </cell>
        </row>
        <row r="16">
          <cell r="B16" t="str">
            <v xml:space="preserve">Tanla Solutions </v>
          </cell>
          <cell r="C16">
            <v>16.367534456355283</v>
          </cell>
          <cell r="D16" t="str">
            <v></v>
          </cell>
          <cell r="E16">
            <v>3.17971</v>
          </cell>
          <cell r="F16" t="str">
            <v></v>
          </cell>
          <cell r="G16">
            <v>21.602059422204459</v>
          </cell>
          <cell r="H16" t="str">
            <v></v>
          </cell>
          <cell r="I16">
            <v>1.4369973190348526</v>
          </cell>
          <cell r="J16" t="str">
            <v></v>
          </cell>
          <cell r="K16">
            <v>0.53099730458221028</v>
          </cell>
          <cell r="L16" t="str">
            <v></v>
          </cell>
          <cell r="N16">
            <v>3</v>
          </cell>
          <cell r="O16" t="str">
            <v/>
          </cell>
          <cell r="P16" t="str">
            <v/>
          </cell>
          <cell r="Q16" t="str">
            <v></v>
          </cell>
        </row>
        <row r="17">
          <cell r="B17" t="str">
            <v xml:space="preserve">HCL Technologies </v>
          </cell>
          <cell r="C17">
            <v>15.459382224372732</v>
          </cell>
          <cell r="D17" t="str">
            <v></v>
          </cell>
          <cell r="E17">
            <v>4.0106999999999999</v>
          </cell>
          <cell r="F17" t="str">
            <v></v>
          </cell>
          <cell r="G17">
            <v>19.440219078390026</v>
          </cell>
          <cell r="H17" t="str">
            <v></v>
          </cell>
          <cell r="I17">
            <v>5.6880861844350816E-2</v>
          </cell>
          <cell r="J17" t="str">
            <v></v>
          </cell>
          <cell r="K17">
            <v>-3.4835410674336952E-2</v>
          </cell>
          <cell r="L17" t="str">
            <v></v>
          </cell>
          <cell r="N17">
            <v>8</v>
          </cell>
          <cell r="O17">
            <v>7</v>
          </cell>
          <cell r="P17" t="str">
            <v/>
          </cell>
          <cell r="Q17" t="str">
            <v></v>
          </cell>
        </row>
        <row r="18">
          <cell r="B18" t="str">
            <v xml:space="preserve">Nucleus Software Exports </v>
          </cell>
          <cell r="C18">
            <v>13.882666666666667</v>
          </cell>
          <cell r="D18" t="str">
            <v></v>
          </cell>
          <cell r="E18">
            <v>9.3110999999999997</v>
          </cell>
          <cell r="F18" t="str">
            <v></v>
          </cell>
          <cell r="G18">
            <v>12.824442830371405</v>
          </cell>
          <cell r="H18" t="str">
            <v></v>
          </cell>
          <cell r="I18">
            <v>4.7441656623205875E-2</v>
          </cell>
          <cell r="J18" t="str">
            <v></v>
          </cell>
          <cell r="K18" t="str">
            <v>NA</v>
          </cell>
          <cell r="L18" t="str">
            <v></v>
          </cell>
          <cell r="N18">
            <v>2</v>
          </cell>
          <cell r="O18" t="str">
            <v/>
          </cell>
          <cell r="P18" t="str">
            <v/>
          </cell>
          <cell r="Q18" t="str">
            <v></v>
          </cell>
        </row>
        <row r="19">
          <cell r="B19" t="str">
            <v xml:space="preserve">Tech Mahindra </v>
          </cell>
          <cell r="C19">
            <v>13.812760765034616</v>
          </cell>
          <cell r="D19" t="str">
            <v></v>
          </cell>
          <cell r="E19">
            <v>18.844529999999999</v>
          </cell>
          <cell r="F19" t="str">
            <v></v>
          </cell>
          <cell r="G19">
            <v>13.450951219941436</v>
          </cell>
          <cell r="H19" t="str">
            <v></v>
          </cell>
          <cell r="I19">
            <v>0.58809925979642186</v>
          </cell>
          <cell r="J19" t="str">
            <v></v>
          </cell>
          <cell r="K19">
            <v>7.7456647398843934E-2</v>
          </cell>
          <cell r="L19" t="str">
            <v></v>
          </cell>
          <cell r="N19">
            <v>1</v>
          </cell>
          <cell r="O19">
            <v>6</v>
          </cell>
          <cell r="P19">
            <v>2</v>
          </cell>
          <cell r="Q19" t="str">
            <v></v>
          </cell>
        </row>
        <row r="20">
          <cell r="B20" t="str">
            <v xml:space="preserve">Polaris Software Laboratory </v>
          </cell>
          <cell r="C20">
            <v>12.618838282867314</v>
          </cell>
          <cell r="D20" t="str">
            <v></v>
          </cell>
          <cell r="E20">
            <v>2.9498799999999998</v>
          </cell>
          <cell r="F20" t="str">
            <v></v>
          </cell>
          <cell r="G20">
            <v>5.5999741994251204</v>
          </cell>
          <cell r="H20" t="str">
            <v></v>
          </cell>
          <cell r="I20">
            <v>-0.12422553463471286</v>
          </cell>
          <cell r="J20" t="str">
            <v></v>
          </cell>
          <cell r="K20">
            <v>-0.14853358561967836</v>
          </cell>
          <cell r="L20" t="str">
            <v></v>
          </cell>
          <cell r="N20">
            <v>1</v>
          </cell>
          <cell r="O20" t="str">
            <v/>
          </cell>
          <cell r="P20">
            <v>2</v>
          </cell>
          <cell r="Q20" t="str">
            <v></v>
          </cell>
        </row>
        <row r="21">
          <cell r="B21" t="str">
            <v xml:space="preserve">3I Infotech </v>
          </cell>
          <cell r="C21">
            <v>12.503755125606487</v>
          </cell>
          <cell r="D21" t="str">
            <v></v>
          </cell>
          <cell r="E21">
            <v>3.4301499999999998</v>
          </cell>
          <cell r="F21" t="str">
            <v></v>
          </cell>
          <cell r="G21">
            <v>14.896769610153628</v>
          </cell>
          <cell r="H21" t="str">
            <v></v>
          </cell>
          <cell r="I21">
            <v>0.76978386717628511</v>
          </cell>
          <cell r="J21" t="str">
            <v></v>
          </cell>
          <cell r="K21">
            <v>0.42259414225941422</v>
          </cell>
          <cell r="L21" t="str">
            <v></v>
          </cell>
          <cell r="N21">
            <v>6</v>
          </cell>
          <cell r="O21" t="str">
            <v/>
          </cell>
          <cell r="P21" t="str">
            <v/>
          </cell>
          <cell r="Q21" t="str">
            <v></v>
          </cell>
        </row>
        <row r="22">
          <cell r="B22" t="str">
            <v xml:space="preserve">Mastek </v>
          </cell>
          <cell r="C22">
            <v>9.5661768158129501</v>
          </cell>
          <cell r="D22" t="str">
            <v></v>
          </cell>
          <cell r="E22">
            <v>2.3425400000000001</v>
          </cell>
          <cell r="F22" t="str">
            <v></v>
          </cell>
          <cell r="G22">
            <v>7.0488494478281964</v>
          </cell>
          <cell r="H22" t="str">
            <v></v>
          </cell>
          <cell r="I22">
            <v>0.31713018710809826</v>
          </cell>
          <cell r="J22" t="str">
            <v></v>
          </cell>
          <cell r="K22">
            <v>2.9871266091738503E-2</v>
          </cell>
          <cell r="L22" t="str">
            <v></v>
          </cell>
          <cell r="N22">
            <v>1</v>
          </cell>
          <cell r="O22" t="str">
            <v/>
          </cell>
          <cell r="P22">
            <v>1</v>
          </cell>
          <cell r="Q22" t="str">
            <v></v>
          </cell>
        </row>
      </sheetData>
      <sheetData sheetId="13"/>
      <sheetData sheetId="14"/>
      <sheetData sheetId="15" refreshError="1">
        <row r="4">
          <cell r="B4" t="str">
            <v>RNOA</v>
          </cell>
          <cell r="C4">
            <v>0.21299999999999999</v>
          </cell>
        </row>
        <row r="5">
          <cell r="C5">
            <v>0.21299999999999999</v>
          </cell>
          <cell r="D5">
            <v>2.7E-2</v>
          </cell>
          <cell r="E5">
            <v>0.01</v>
          </cell>
          <cell r="F5" t="str">
            <v>LEVERAGE EFFECT</v>
          </cell>
        </row>
        <row r="6">
          <cell r="B6" t="str">
            <v>ROE</v>
          </cell>
          <cell r="C6">
            <v>0.24</v>
          </cell>
        </row>
      </sheetData>
      <sheetData sheetId="16" refreshError="1">
        <row r="1">
          <cell r="T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G11" t="str">
            <v>Highlight?</v>
          </cell>
        </row>
        <row r="12">
          <cell r="D12" t="str">
            <v>gross debt / equity</v>
          </cell>
          <cell r="E12" t="str">
            <v>net debt / equity</v>
          </cell>
          <cell r="X12">
            <v>0.52788485359323334</v>
          </cell>
          <cell r="Y12">
            <v>0.57821807064186992</v>
          </cell>
          <cell r="AG12" t="str">
            <v>No.</v>
          </cell>
          <cell r="AH12" t="str">
            <v>HighlightYes</v>
          </cell>
          <cell r="AI12" t="str">
            <v>HighlightNo</v>
          </cell>
          <cell r="AK12" t="str">
            <v>ArrowLine</v>
          </cell>
        </row>
        <row r="13">
          <cell r="C13">
            <v>2003</v>
          </cell>
          <cell r="D13">
            <v>0.57821807064186992</v>
          </cell>
          <cell r="E13">
            <v>0.52788485359323334</v>
          </cell>
          <cell r="H13" t="b">
            <v>0</v>
          </cell>
          <cell r="X13">
            <v>0.40420988683612807</v>
          </cell>
          <cell r="Y13">
            <v>0.51569232143677413</v>
          </cell>
          <cell r="AG13">
            <v>1</v>
          </cell>
          <cell r="AH13">
            <v>0</v>
          </cell>
          <cell r="AI13">
            <v>0.57821807064186992</v>
          </cell>
          <cell r="AK13">
            <v>0.57821807064186992</v>
          </cell>
        </row>
        <row r="14">
          <cell r="C14">
            <v>2004</v>
          </cell>
          <cell r="D14">
            <v>0.51569232143677413</v>
          </cell>
          <cell r="E14">
            <v>0.40420988683612807</v>
          </cell>
          <cell r="H14" t="b">
            <v>0</v>
          </cell>
          <cell r="X14">
            <v>0.33549403722879967</v>
          </cell>
          <cell r="Y14">
            <v>0.40789307780405337</v>
          </cell>
          <cell r="AG14">
            <v>2</v>
          </cell>
          <cell r="AH14">
            <v>0</v>
          </cell>
          <cell r="AI14">
            <v>0.51569232143677413</v>
          </cell>
          <cell r="AK14">
            <v>0.51569232143677413</v>
          </cell>
        </row>
        <row r="15">
          <cell r="C15">
            <v>2005</v>
          </cell>
          <cell r="D15">
            <v>0.40789307780405337</v>
          </cell>
          <cell r="E15">
            <v>0.33549403722879967</v>
          </cell>
          <cell r="H15" t="b">
            <v>0</v>
          </cell>
          <cell r="X15">
            <v>-8.3832223160540578E-2</v>
          </cell>
          <cell r="Y15">
            <v>1.042127958677893E-2</v>
          </cell>
          <cell r="AG15">
            <v>3</v>
          </cell>
          <cell r="AH15">
            <v>0</v>
          </cell>
          <cell r="AI15">
            <v>0.40789307780405337</v>
          </cell>
          <cell r="AK15">
            <v>0.40789307780405337</v>
          </cell>
        </row>
        <row r="16">
          <cell r="C16">
            <v>2006</v>
          </cell>
          <cell r="D16">
            <v>1.042127958677893E-2</v>
          </cell>
          <cell r="E16">
            <v>-8.3832223160540578E-2</v>
          </cell>
          <cell r="H16" t="b">
            <v>0</v>
          </cell>
          <cell r="X16">
            <v>-2.0328290396999054E-2</v>
          </cell>
          <cell r="Y16">
            <v>0.59017672819298561</v>
          </cell>
          <cell r="AG16">
            <v>4</v>
          </cell>
          <cell r="AH16">
            <v>0</v>
          </cell>
          <cell r="AI16">
            <v>1.042127958677893E-2</v>
          </cell>
          <cell r="AK16">
            <v>1.042127958677893E-2</v>
          </cell>
        </row>
        <row r="17">
          <cell r="C17">
            <v>2007</v>
          </cell>
          <cell r="D17">
            <v>0.59017672819298561</v>
          </cell>
          <cell r="E17">
            <v>-2.0328290396999054E-2</v>
          </cell>
          <cell r="H17" t="b">
            <v>0</v>
          </cell>
          <cell r="X17">
            <v>-0.12525331610907822</v>
          </cell>
          <cell r="Y17">
            <v>0.47700453347612976</v>
          </cell>
          <cell r="AG17">
            <v>5</v>
          </cell>
          <cell r="AH17">
            <v>0</v>
          </cell>
          <cell r="AI17">
            <v>0.59017672819298561</v>
          </cell>
          <cell r="AK17">
            <v>0.59017672819298561</v>
          </cell>
        </row>
        <row r="18">
          <cell r="C18" t="str">
            <v>2008e</v>
          </cell>
          <cell r="D18">
            <v>0.47700453347612976</v>
          </cell>
          <cell r="E18">
            <v>-0.12525331610907822</v>
          </cell>
          <cell r="H18" t="b">
            <v>1</v>
          </cell>
          <cell r="X18">
            <v>2.5009982726265177E-3</v>
          </cell>
          <cell r="Y18">
            <v>0.755736167272412</v>
          </cell>
          <cell r="AG18">
            <v>6</v>
          </cell>
          <cell r="AH18">
            <v>0.47700453347612976</v>
          </cell>
          <cell r="AI18">
            <v>0</v>
          </cell>
          <cell r="AK18">
            <v>0.47700453347612976</v>
          </cell>
        </row>
        <row r="19">
          <cell r="C19" t="str">
            <v>2009e</v>
          </cell>
          <cell r="D19">
            <v>0.755736167272412</v>
          </cell>
          <cell r="E19">
            <v>2.5009982726265177E-3</v>
          </cell>
          <cell r="H19" t="b">
            <v>1</v>
          </cell>
          <cell r="X19">
            <v>-1.3166574701570979E-2</v>
          </cell>
          <cell r="Y19">
            <v>0.78425744278840448</v>
          </cell>
          <cell r="AG19">
            <v>7</v>
          </cell>
          <cell r="AH19">
            <v>0.755736167272412</v>
          </cell>
          <cell r="AI19">
            <v>0</v>
          </cell>
          <cell r="AK19">
            <v>0.755736167272412</v>
          </cell>
        </row>
        <row r="20">
          <cell r="C20" t="str">
            <v>2010e</v>
          </cell>
          <cell r="D20">
            <v>0.78425744278840448</v>
          </cell>
          <cell r="E20">
            <v>-1.3166574701570979E-2</v>
          </cell>
          <cell r="H20" t="b">
            <v>1</v>
          </cell>
          <cell r="AG20">
            <v>8</v>
          </cell>
          <cell r="AH20">
            <v>0.78425744278840448</v>
          </cell>
          <cell r="AI20">
            <v>0</v>
          </cell>
          <cell r="AK20">
            <v>0.78425744278840448</v>
          </cell>
        </row>
        <row r="21">
          <cell r="H21" t="b">
            <v>0</v>
          </cell>
          <cell r="AG21">
            <v>9</v>
          </cell>
          <cell r="AH21">
            <v>0</v>
          </cell>
          <cell r="AI21">
            <v>0</v>
          </cell>
          <cell r="AK21">
            <v>0</v>
          </cell>
        </row>
        <row r="22">
          <cell r="H22" t="b">
            <v>0</v>
          </cell>
          <cell r="AG22">
            <v>10</v>
          </cell>
          <cell r="AH22">
            <v>0</v>
          </cell>
          <cell r="AI22">
            <v>0</v>
          </cell>
          <cell r="AK22">
            <v>0</v>
          </cell>
        </row>
        <row r="23">
          <cell r="H23" t="b">
            <v>0</v>
          </cell>
          <cell r="AG23">
            <v>11</v>
          </cell>
          <cell r="AH23">
            <v>0</v>
          </cell>
          <cell r="AI23">
            <v>0</v>
          </cell>
          <cell r="AK23">
            <v>0</v>
          </cell>
        </row>
        <row r="24">
          <cell r="H24" t="b">
            <v>0</v>
          </cell>
          <cell r="AG24">
            <v>12</v>
          </cell>
          <cell r="AH24">
            <v>0</v>
          </cell>
          <cell r="AI24">
            <v>0</v>
          </cell>
          <cell r="AK24">
            <v>0</v>
          </cell>
        </row>
        <row r="25">
          <cell r="H25" t="b">
            <v>0</v>
          </cell>
          <cell r="AG25">
            <v>13</v>
          </cell>
          <cell r="AH25">
            <v>0</v>
          </cell>
          <cell r="AI25">
            <v>0</v>
          </cell>
          <cell r="AK25">
            <v>0</v>
          </cell>
        </row>
        <row r="26">
          <cell r="H26" t="b">
            <v>0</v>
          </cell>
          <cell r="AG26">
            <v>14</v>
          </cell>
          <cell r="AH26">
            <v>0</v>
          </cell>
          <cell r="AI26">
            <v>0</v>
          </cell>
          <cell r="AK26">
            <v>0</v>
          </cell>
        </row>
        <row r="27">
          <cell r="H27" t="b">
            <v>0</v>
          </cell>
          <cell r="AG27">
            <v>15</v>
          </cell>
          <cell r="AH27">
            <v>0</v>
          </cell>
          <cell r="AI27">
            <v>0</v>
          </cell>
          <cell r="AK27">
            <v>0</v>
          </cell>
        </row>
        <row r="28">
          <cell r="H28" t="b">
            <v>0</v>
          </cell>
          <cell r="AG28">
            <v>16</v>
          </cell>
          <cell r="AH28">
            <v>0</v>
          </cell>
          <cell r="AI28">
            <v>0</v>
          </cell>
          <cell r="AK28">
            <v>0</v>
          </cell>
        </row>
        <row r="29">
          <cell r="H29" t="b">
            <v>0</v>
          </cell>
          <cell r="AG29">
            <v>17</v>
          </cell>
          <cell r="AH29">
            <v>0</v>
          </cell>
          <cell r="AI29">
            <v>0</v>
          </cell>
          <cell r="AK29">
            <v>0</v>
          </cell>
        </row>
        <row r="30">
          <cell r="H30" t="b">
            <v>0</v>
          </cell>
          <cell r="AG30">
            <v>18</v>
          </cell>
          <cell r="AH30">
            <v>0</v>
          </cell>
          <cell r="AI30">
            <v>0</v>
          </cell>
          <cell r="AK30">
            <v>0</v>
          </cell>
        </row>
        <row r="31">
          <cell r="H31" t="b">
            <v>0</v>
          </cell>
          <cell r="AG31">
            <v>19</v>
          </cell>
          <cell r="AH31">
            <v>0</v>
          </cell>
          <cell r="AI31">
            <v>0</v>
          </cell>
          <cell r="AK31">
            <v>0</v>
          </cell>
        </row>
        <row r="32">
          <cell r="H32" t="b">
            <v>0</v>
          </cell>
          <cell r="AG32">
            <v>20</v>
          </cell>
          <cell r="AH32">
            <v>0</v>
          </cell>
          <cell r="AI32">
            <v>0</v>
          </cell>
          <cell r="AK32">
            <v>0</v>
          </cell>
        </row>
        <row r="38">
          <cell r="H38" t="str">
            <v>Do not change the width of the exhibit or font sizes (they are optimized for export to Word).</v>
          </cell>
        </row>
        <row r="40">
          <cell r="H40" t="str">
            <v>Do not delete any rows or columns (some gray cells are used for calculations).</v>
          </cell>
        </row>
      </sheetData>
      <sheetData sheetId="17" refreshError="1">
        <row r="1">
          <cell r="R1" t="str">
            <v>SmartCharts</v>
          </cell>
          <cell r="BB1" t="str">
            <v>.</v>
          </cell>
        </row>
        <row r="2">
          <cell r="BB2" t="str">
            <v>.</v>
          </cell>
        </row>
        <row r="3">
          <cell r="BB3" t="str">
            <v>.</v>
          </cell>
        </row>
        <row r="4">
          <cell r="BB4" t="str">
            <v>.</v>
          </cell>
        </row>
        <row r="5">
          <cell r="C5" t="str">
            <v>Input axis titles here:</v>
          </cell>
        </row>
        <row r="6">
          <cell r="C6" t="str">
            <v>NOPAT margin</v>
          </cell>
        </row>
        <row r="7">
          <cell r="R7" t="str">
            <v>Adjust alignment of quadrant shading by using sliding bars</v>
          </cell>
        </row>
        <row r="8">
          <cell r="C8" t="str">
            <v>Operating asset turnover</v>
          </cell>
        </row>
        <row r="9">
          <cell r="U9">
            <v>105</v>
          </cell>
          <cell r="V9" t="str">
            <v>x cutoff</v>
          </cell>
          <cell r="W9">
            <v>105</v>
          </cell>
        </row>
        <row r="10">
          <cell r="C10" t="str">
            <v>Input your data here:</v>
          </cell>
          <cell r="U10">
            <v>100</v>
          </cell>
          <cell r="V10" t="str">
            <v>y cutoff</v>
          </cell>
          <cell r="W10">
            <v>0.5</v>
          </cell>
          <cell r="BB10" t="str">
            <v>.</v>
          </cell>
        </row>
        <row r="11">
          <cell r="D11" t="str">
            <v>Operating Asset Turnover</v>
          </cell>
          <cell r="E11" t="str">
            <v>NOPAT</v>
          </cell>
          <cell r="W11" t="str">
            <v>botright</v>
          </cell>
          <cell r="X11" t="str">
            <v>botleft</v>
          </cell>
          <cell r="Y11" t="str">
            <v>topright</v>
          </cell>
          <cell r="Z11" t="str">
            <v>topleft</v>
          </cell>
          <cell r="BB11" t="str">
            <v>.</v>
          </cell>
        </row>
        <row r="12">
          <cell r="C12">
            <v>2003</v>
          </cell>
          <cell r="D12">
            <v>0.51162404750171075</v>
          </cell>
          <cell r="E12">
            <v>0.25791490510714449</v>
          </cell>
          <cell r="V12">
            <v>1</v>
          </cell>
          <cell r="W12">
            <v>0</v>
          </cell>
          <cell r="X12">
            <v>0.5</v>
          </cell>
          <cell r="Y12">
            <v>0</v>
          </cell>
          <cell r="Z12">
            <v>0.5</v>
          </cell>
          <cell r="BB12" t="str">
            <v>.</v>
          </cell>
        </row>
        <row r="13">
          <cell r="C13">
            <v>2004</v>
          </cell>
          <cell r="D13">
            <v>0.5533493579376304</v>
          </cell>
          <cell r="E13">
            <v>0.20453169152367823</v>
          </cell>
          <cell r="V13">
            <v>2</v>
          </cell>
          <cell r="W13">
            <v>0</v>
          </cell>
          <cell r="X13">
            <v>0.5</v>
          </cell>
          <cell r="Y13">
            <v>0</v>
          </cell>
          <cell r="Z13">
            <v>0.5</v>
          </cell>
          <cell r="BB13" t="str">
            <v>.</v>
          </cell>
        </row>
        <row r="14">
          <cell r="C14">
            <v>2005</v>
          </cell>
          <cell r="D14">
            <v>0.64966991967460141</v>
          </cell>
          <cell r="E14">
            <v>0.24112877643777889</v>
          </cell>
          <cell r="V14">
            <v>3</v>
          </cell>
          <cell r="W14">
            <v>0</v>
          </cell>
          <cell r="X14">
            <v>0.5</v>
          </cell>
          <cell r="Y14">
            <v>0</v>
          </cell>
          <cell r="Z14">
            <v>0.5</v>
          </cell>
          <cell r="BB14" t="str">
            <v>.</v>
          </cell>
        </row>
        <row r="15">
          <cell r="C15">
            <v>2006</v>
          </cell>
          <cell r="D15">
            <v>0.87831204025758958</v>
          </cell>
          <cell r="E15">
            <v>0.26263821571328488</v>
          </cell>
          <cell r="V15">
            <v>4</v>
          </cell>
          <cell r="W15">
            <v>0</v>
          </cell>
          <cell r="X15">
            <v>0.5</v>
          </cell>
          <cell r="Y15">
            <v>0</v>
          </cell>
          <cell r="Z15">
            <v>0.5</v>
          </cell>
          <cell r="BB15" t="str">
            <v>.</v>
          </cell>
        </row>
        <row r="16">
          <cell r="C16">
            <v>2007</v>
          </cell>
          <cell r="D16">
            <v>0.82481767126442296</v>
          </cell>
          <cell r="E16">
            <v>0.24359957599855883</v>
          </cell>
          <cell r="V16">
            <v>5</v>
          </cell>
          <cell r="W16">
            <v>0</v>
          </cell>
          <cell r="X16">
            <v>0.5</v>
          </cell>
          <cell r="Y16">
            <v>0</v>
          </cell>
          <cell r="Z16">
            <v>0.5</v>
          </cell>
          <cell r="BB16" t="str">
            <v>.</v>
          </cell>
        </row>
        <row r="17">
          <cell r="C17" t="str">
            <v>2008e</v>
          </cell>
          <cell r="D17">
            <v>1.0467651502345015</v>
          </cell>
          <cell r="E17">
            <v>0.20312056758908159</v>
          </cell>
          <cell r="V17">
            <v>6</v>
          </cell>
          <cell r="W17">
            <v>0</v>
          </cell>
          <cell r="X17">
            <v>0.5</v>
          </cell>
          <cell r="Y17">
            <v>0</v>
          </cell>
          <cell r="Z17">
            <v>0.5</v>
          </cell>
          <cell r="BB17" t="str">
            <v>.</v>
          </cell>
        </row>
        <row r="18">
          <cell r="C18" t="str">
            <v>2009e</v>
          </cell>
          <cell r="D18">
            <v>1.0561617334186428</v>
          </cell>
          <cell r="E18">
            <v>0.20777997790026137</v>
          </cell>
          <cell r="V18">
            <v>7</v>
          </cell>
          <cell r="W18">
            <v>0</v>
          </cell>
          <cell r="X18">
            <v>0.5</v>
          </cell>
          <cell r="Y18">
            <v>0</v>
          </cell>
          <cell r="Z18">
            <v>0.5</v>
          </cell>
          <cell r="BB18" t="str">
            <v>.</v>
          </cell>
        </row>
        <row r="19">
          <cell r="C19" t="str">
            <v>2010e</v>
          </cell>
          <cell r="D19">
            <v>1.1146995097666987</v>
          </cell>
          <cell r="E19">
            <v>0.21341018553141616</v>
          </cell>
          <cell r="V19">
            <v>8</v>
          </cell>
          <cell r="W19">
            <v>0</v>
          </cell>
          <cell r="X19">
            <v>0.5</v>
          </cell>
          <cell r="Y19">
            <v>0</v>
          </cell>
          <cell r="Z19">
            <v>0.5</v>
          </cell>
          <cell r="BB19" t="str">
            <v>.</v>
          </cell>
        </row>
        <row r="20">
          <cell r="V20">
            <v>9</v>
          </cell>
          <cell r="W20">
            <v>0</v>
          </cell>
          <cell r="X20">
            <v>0.5</v>
          </cell>
          <cell r="Y20">
            <v>0</v>
          </cell>
          <cell r="Z20">
            <v>0.5</v>
          </cell>
          <cell r="BB20" t="str">
            <v>.</v>
          </cell>
        </row>
        <row r="21">
          <cell r="V21">
            <v>10</v>
          </cell>
          <cell r="W21">
            <v>0</v>
          </cell>
          <cell r="X21">
            <v>0.5</v>
          </cell>
          <cell r="Y21">
            <v>0</v>
          </cell>
          <cell r="Z21">
            <v>0.5</v>
          </cell>
          <cell r="BB21" t="str">
            <v>.</v>
          </cell>
        </row>
        <row r="22">
          <cell r="V22">
            <v>11</v>
          </cell>
          <cell r="W22">
            <v>0</v>
          </cell>
          <cell r="X22">
            <v>0.5</v>
          </cell>
          <cell r="Y22">
            <v>0</v>
          </cell>
          <cell r="Z22">
            <v>0.5</v>
          </cell>
          <cell r="BB22" t="str">
            <v>.</v>
          </cell>
        </row>
        <row r="23">
          <cell r="V23">
            <v>12</v>
          </cell>
          <cell r="W23">
            <v>0</v>
          </cell>
          <cell r="X23">
            <v>0.5</v>
          </cell>
          <cell r="Y23">
            <v>0</v>
          </cell>
          <cell r="Z23">
            <v>0.5</v>
          </cell>
          <cell r="BB23" t="str">
            <v>.</v>
          </cell>
        </row>
        <row r="24">
          <cell r="V24">
            <v>13</v>
          </cell>
          <cell r="W24">
            <v>0</v>
          </cell>
          <cell r="X24">
            <v>0.5</v>
          </cell>
          <cell r="Y24">
            <v>0</v>
          </cell>
          <cell r="Z24">
            <v>0.5</v>
          </cell>
          <cell r="BB24" t="str">
            <v>.</v>
          </cell>
        </row>
        <row r="25">
          <cell r="V25">
            <v>14</v>
          </cell>
          <cell r="W25">
            <v>0</v>
          </cell>
          <cell r="X25">
            <v>0.5</v>
          </cell>
          <cell r="Y25">
            <v>0</v>
          </cell>
          <cell r="Z25">
            <v>0.5</v>
          </cell>
          <cell r="BB25" t="str">
            <v>.</v>
          </cell>
        </row>
        <row r="26">
          <cell r="V26">
            <v>15</v>
          </cell>
          <cell r="W26">
            <v>0</v>
          </cell>
          <cell r="X26">
            <v>0.5</v>
          </cell>
          <cell r="Y26">
            <v>0</v>
          </cell>
          <cell r="Z26">
            <v>0.5</v>
          </cell>
          <cell r="BB26" t="str">
            <v>.</v>
          </cell>
        </row>
        <row r="27">
          <cell r="V27">
            <v>16</v>
          </cell>
          <cell r="W27">
            <v>0</v>
          </cell>
          <cell r="X27">
            <v>0.5</v>
          </cell>
          <cell r="Y27">
            <v>0</v>
          </cell>
          <cell r="Z27">
            <v>0.5</v>
          </cell>
          <cell r="BB27" t="str">
            <v>.</v>
          </cell>
        </row>
        <row r="28">
          <cell r="V28">
            <v>17</v>
          </cell>
          <cell r="W28">
            <v>0</v>
          </cell>
          <cell r="X28">
            <v>0.5</v>
          </cell>
          <cell r="Y28">
            <v>0</v>
          </cell>
          <cell r="Z28">
            <v>0.5</v>
          </cell>
          <cell r="BB28" t="str">
            <v>.</v>
          </cell>
        </row>
        <row r="29">
          <cell r="V29">
            <v>18</v>
          </cell>
          <cell r="W29">
            <v>0</v>
          </cell>
          <cell r="X29">
            <v>0.5</v>
          </cell>
          <cell r="Y29">
            <v>0</v>
          </cell>
          <cell r="Z29">
            <v>0.5</v>
          </cell>
          <cell r="BB29" t="str">
            <v>.</v>
          </cell>
        </row>
        <row r="30">
          <cell r="V30">
            <v>19</v>
          </cell>
          <cell r="W30">
            <v>0</v>
          </cell>
          <cell r="X30">
            <v>0.5</v>
          </cell>
          <cell r="Y30">
            <v>0</v>
          </cell>
          <cell r="Z30">
            <v>0.5</v>
          </cell>
          <cell r="BB30" t="str">
            <v>.</v>
          </cell>
        </row>
        <row r="31">
          <cell r="V31">
            <v>20</v>
          </cell>
          <cell r="W31">
            <v>0</v>
          </cell>
          <cell r="X31">
            <v>0.5</v>
          </cell>
          <cell r="Y31">
            <v>0</v>
          </cell>
          <cell r="Z31">
            <v>0.5</v>
          </cell>
          <cell r="BB31" t="str">
            <v>.</v>
          </cell>
        </row>
        <row r="32">
          <cell r="V32">
            <v>21</v>
          </cell>
          <cell r="W32">
            <v>0</v>
          </cell>
          <cell r="X32">
            <v>0.5</v>
          </cell>
          <cell r="Y32">
            <v>0</v>
          </cell>
          <cell r="Z32">
            <v>0.5</v>
          </cell>
          <cell r="BB32" t="str">
            <v>.</v>
          </cell>
        </row>
        <row r="33">
          <cell r="V33">
            <v>22</v>
          </cell>
          <cell r="W33">
            <v>0</v>
          </cell>
          <cell r="X33">
            <v>0.5</v>
          </cell>
          <cell r="Y33">
            <v>0</v>
          </cell>
          <cell r="Z33">
            <v>0.5</v>
          </cell>
          <cell r="BB33" t="str">
            <v>.</v>
          </cell>
        </row>
        <row r="34">
          <cell r="V34">
            <v>23</v>
          </cell>
          <cell r="W34">
            <v>0</v>
          </cell>
          <cell r="X34">
            <v>0.5</v>
          </cell>
          <cell r="Y34">
            <v>0</v>
          </cell>
          <cell r="Z34">
            <v>0.5</v>
          </cell>
          <cell r="BB34" t="str">
            <v>.</v>
          </cell>
        </row>
        <row r="35">
          <cell r="V35">
            <v>24</v>
          </cell>
          <cell r="W35">
            <v>0</v>
          </cell>
          <cell r="X35">
            <v>0.5</v>
          </cell>
          <cell r="Y35">
            <v>0</v>
          </cell>
          <cell r="Z35">
            <v>0.5</v>
          </cell>
          <cell r="BB35" t="str">
            <v>.</v>
          </cell>
        </row>
        <row r="36">
          <cell r="V36">
            <v>25</v>
          </cell>
          <cell r="W36">
            <v>0</v>
          </cell>
          <cell r="X36">
            <v>0.5</v>
          </cell>
          <cell r="Y36">
            <v>0</v>
          </cell>
          <cell r="Z36">
            <v>0.5</v>
          </cell>
          <cell r="BB36" t="str">
            <v>.</v>
          </cell>
        </row>
        <row r="37">
          <cell r="V37">
            <v>26</v>
          </cell>
          <cell r="W37">
            <v>0</v>
          </cell>
          <cell r="X37">
            <v>0.5</v>
          </cell>
          <cell r="Y37">
            <v>0</v>
          </cell>
          <cell r="Z37">
            <v>0.5</v>
          </cell>
          <cell r="BB37" t="str">
            <v>.</v>
          </cell>
        </row>
        <row r="38">
          <cell r="V38">
            <v>27</v>
          </cell>
          <cell r="W38">
            <v>0</v>
          </cell>
          <cell r="X38">
            <v>0.5</v>
          </cell>
          <cell r="Y38">
            <v>0</v>
          </cell>
          <cell r="Z38">
            <v>0.5</v>
          </cell>
          <cell r="BB38" t="str">
            <v>.</v>
          </cell>
        </row>
        <row r="39">
          <cell r="V39">
            <v>28</v>
          </cell>
          <cell r="W39">
            <v>0</v>
          </cell>
          <cell r="X39">
            <v>0.5</v>
          </cell>
          <cell r="Y39">
            <v>0</v>
          </cell>
          <cell r="Z39">
            <v>0.5</v>
          </cell>
          <cell r="BB39" t="str">
            <v>.</v>
          </cell>
        </row>
        <row r="40">
          <cell r="V40">
            <v>29</v>
          </cell>
          <cell r="W40">
            <v>0</v>
          </cell>
          <cell r="X40">
            <v>0.5</v>
          </cell>
          <cell r="Y40">
            <v>0</v>
          </cell>
          <cell r="Z40">
            <v>0.5</v>
          </cell>
          <cell r="BB40" t="str">
            <v>.</v>
          </cell>
        </row>
        <row r="41">
          <cell r="V41">
            <v>30</v>
          </cell>
          <cell r="W41">
            <v>0</v>
          </cell>
          <cell r="X41">
            <v>0.5</v>
          </cell>
          <cell r="Y41">
            <v>0</v>
          </cell>
          <cell r="Z41">
            <v>0.5</v>
          </cell>
          <cell r="BB41" t="str">
            <v>.</v>
          </cell>
        </row>
        <row r="42">
          <cell r="V42">
            <v>31</v>
          </cell>
          <cell r="W42">
            <v>0</v>
          </cell>
          <cell r="X42">
            <v>0.5</v>
          </cell>
          <cell r="Y42">
            <v>0</v>
          </cell>
          <cell r="Z42">
            <v>0.5</v>
          </cell>
          <cell r="BB42" t="str">
            <v>.</v>
          </cell>
        </row>
        <row r="43">
          <cell r="V43">
            <v>32</v>
          </cell>
          <cell r="W43">
            <v>0</v>
          </cell>
          <cell r="X43">
            <v>0.5</v>
          </cell>
          <cell r="Y43">
            <v>0</v>
          </cell>
          <cell r="Z43">
            <v>0.5</v>
          </cell>
          <cell r="BB43" t="str">
            <v>.</v>
          </cell>
        </row>
        <row r="44">
          <cell r="V44">
            <v>33</v>
          </cell>
          <cell r="W44">
            <v>0</v>
          </cell>
          <cell r="X44">
            <v>0.5</v>
          </cell>
          <cell r="Y44">
            <v>0</v>
          </cell>
          <cell r="Z44">
            <v>0.5</v>
          </cell>
          <cell r="BB44" t="str">
            <v>.</v>
          </cell>
        </row>
        <row r="45">
          <cell r="V45">
            <v>34</v>
          </cell>
          <cell r="W45">
            <v>0</v>
          </cell>
          <cell r="X45">
            <v>0.5</v>
          </cell>
          <cell r="Y45">
            <v>0</v>
          </cell>
          <cell r="Z45">
            <v>0.5</v>
          </cell>
          <cell r="BB45" t="str">
            <v>.</v>
          </cell>
        </row>
        <row r="46">
          <cell r="V46">
            <v>35</v>
          </cell>
          <cell r="W46">
            <v>0</v>
          </cell>
          <cell r="X46">
            <v>0.5</v>
          </cell>
          <cell r="Y46">
            <v>0</v>
          </cell>
          <cell r="Z46">
            <v>0.5</v>
          </cell>
          <cell r="BB46" t="str">
            <v>.</v>
          </cell>
        </row>
        <row r="47">
          <cell r="V47">
            <v>36</v>
          </cell>
          <cell r="W47">
            <v>0</v>
          </cell>
          <cell r="X47">
            <v>0.5</v>
          </cell>
          <cell r="Y47">
            <v>0</v>
          </cell>
          <cell r="Z47">
            <v>0.5</v>
          </cell>
          <cell r="BB47" t="str">
            <v>.</v>
          </cell>
        </row>
        <row r="48">
          <cell r="V48">
            <v>37</v>
          </cell>
          <cell r="W48">
            <v>0</v>
          </cell>
          <cell r="X48">
            <v>0.5</v>
          </cell>
          <cell r="Y48">
            <v>0</v>
          </cell>
          <cell r="Z48">
            <v>0.5</v>
          </cell>
          <cell r="BB48" t="str">
            <v>.</v>
          </cell>
        </row>
        <row r="49">
          <cell r="V49">
            <v>38</v>
          </cell>
          <cell r="W49">
            <v>0</v>
          </cell>
          <cell r="X49">
            <v>0.5</v>
          </cell>
          <cell r="Y49">
            <v>0</v>
          </cell>
          <cell r="Z49">
            <v>0.5</v>
          </cell>
          <cell r="BB49" t="str">
            <v>.</v>
          </cell>
        </row>
        <row r="50">
          <cell r="V50">
            <v>39</v>
          </cell>
          <cell r="W50">
            <v>0</v>
          </cell>
          <cell r="X50">
            <v>0.5</v>
          </cell>
          <cell r="Y50">
            <v>0</v>
          </cell>
          <cell r="Z50">
            <v>0.5</v>
          </cell>
          <cell r="BB50" t="str">
            <v>.</v>
          </cell>
        </row>
        <row r="51">
          <cell r="V51">
            <v>40</v>
          </cell>
          <cell r="W51">
            <v>0</v>
          </cell>
          <cell r="X51">
            <v>0.5</v>
          </cell>
          <cell r="Y51">
            <v>0</v>
          </cell>
          <cell r="Z51">
            <v>0.5</v>
          </cell>
          <cell r="BB51" t="str">
            <v>.</v>
          </cell>
        </row>
        <row r="52">
          <cell r="V52">
            <v>41</v>
          </cell>
          <cell r="W52">
            <v>0</v>
          </cell>
          <cell r="X52">
            <v>0.5</v>
          </cell>
          <cell r="Y52">
            <v>0</v>
          </cell>
          <cell r="Z52">
            <v>0.5</v>
          </cell>
          <cell r="BB52" t="str">
            <v>.</v>
          </cell>
        </row>
        <row r="53">
          <cell r="V53">
            <v>42</v>
          </cell>
          <cell r="W53">
            <v>0</v>
          </cell>
          <cell r="X53">
            <v>0.5</v>
          </cell>
          <cell r="Y53">
            <v>0</v>
          </cell>
          <cell r="Z53">
            <v>0.5</v>
          </cell>
          <cell r="BB53" t="str">
            <v>.</v>
          </cell>
        </row>
        <row r="54">
          <cell r="V54">
            <v>43</v>
          </cell>
          <cell r="W54">
            <v>0</v>
          </cell>
          <cell r="X54">
            <v>0.5</v>
          </cell>
          <cell r="Y54">
            <v>0</v>
          </cell>
          <cell r="Z54">
            <v>0.5</v>
          </cell>
          <cell r="BB54" t="str">
            <v>.</v>
          </cell>
        </row>
        <row r="55">
          <cell r="V55">
            <v>44</v>
          </cell>
          <cell r="W55">
            <v>0</v>
          </cell>
          <cell r="X55">
            <v>0.5</v>
          </cell>
          <cell r="Y55">
            <v>0</v>
          </cell>
          <cell r="Z55">
            <v>0.5</v>
          </cell>
          <cell r="BB55" t="str">
            <v>.</v>
          </cell>
        </row>
        <row r="56">
          <cell r="V56">
            <v>45</v>
          </cell>
          <cell r="W56">
            <v>0</v>
          </cell>
          <cell r="X56">
            <v>0.5</v>
          </cell>
          <cell r="Y56">
            <v>0</v>
          </cell>
          <cell r="Z56">
            <v>0.5</v>
          </cell>
          <cell r="BB56" t="str">
            <v>.</v>
          </cell>
        </row>
        <row r="57">
          <cell r="V57">
            <v>46</v>
          </cell>
          <cell r="W57">
            <v>0</v>
          </cell>
          <cell r="X57">
            <v>0.5</v>
          </cell>
          <cell r="Y57">
            <v>0</v>
          </cell>
          <cell r="Z57">
            <v>0.5</v>
          </cell>
          <cell r="BB57" t="str">
            <v>.</v>
          </cell>
        </row>
        <row r="58">
          <cell r="V58">
            <v>47</v>
          </cell>
          <cell r="W58">
            <v>0</v>
          </cell>
          <cell r="X58">
            <v>0.5</v>
          </cell>
          <cell r="Y58">
            <v>0</v>
          </cell>
          <cell r="Z58">
            <v>0.5</v>
          </cell>
          <cell r="BB58" t="str">
            <v>.</v>
          </cell>
        </row>
        <row r="59">
          <cell r="V59">
            <v>48</v>
          </cell>
          <cell r="W59">
            <v>0</v>
          </cell>
          <cell r="X59">
            <v>0.5</v>
          </cell>
          <cell r="Y59">
            <v>0</v>
          </cell>
          <cell r="Z59">
            <v>0.5</v>
          </cell>
          <cell r="BB59" t="str">
            <v>.</v>
          </cell>
        </row>
        <row r="60">
          <cell r="V60">
            <v>49</v>
          </cell>
          <cell r="W60">
            <v>0</v>
          </cell>
          <cell r="X60">
            <v>0.5</v>
          </cell>
          <cell r="Y60">
            <v>0</v>
          </cell>
          <cell r="Z60">
            <v>0.5</v>
          </cell>
          <cell r="BB60" t="str">
            <v>.</v>
          </cell>
        </row>
        <row r="61">
          <cell r="V61">
            <v>50</v>
          </cell>
          <cell r="W61">
            <v>0</v>
          </cell>
          <cell r="X61">
            <v>0.5</v>
          </cell>
          <cell r="Y61">
            <v>0</v>
          </cell>
          <cell r="Z61">
            <v>0.5</v>
          </cell>
          <cell r="BB61" t="str">
            <v>.</v>
          </cell>
        </row>
        <row r="62">
          <cell r="V62">
            <v>51</v>
          </cell>
          <cell r="W62">
            <v>0</v>
          </cell>
          <cell r="X62">
            <v>0.5</v>
          </cell>
          <cell r="Y62">
            <v>0</v>
          </cell>
          <cell r="Z62">
            <v>0.5</v>
          </cell>
          <cell r="BB62" t="str">
            <v>.</v>
          </cell>
        </row>
        <row r="63">
          <cell r="V63">
            <v>52</v>
          </cell>
          <cell r="W63">
            <v>0</v>
          </cell>
          <cell r="X63">
            <v>0.5</v>
          </cell>
          <cell r="Y63">
            <v>0</v>
          </cell>
          <cell r="Z63">
            <v>0.5</v>
          </cell>
          <cell r="BB63" t="str">
            <v>.</v>
          </cell>
        </row>
        <row r="64">
          <cell r="V64">
            <v>53</v>
          </cell>
          <cell r="W64">
            <v>0</v>
          </cell>
          <cell r="X64">
            <v>0.5</v>
          </cell>
          <cell r="Y64">
            <v>0</v>
          </cell>
          <cell r="Z64">
            <v>0.5</v>
          </cell>
          <cell r="BB64" t="str">
            <v>.</v>
          </cell>
        </row>
        <row r="65">
          <cell r="V65">
            <v>54</v>
          </cell>
          <cell r="W65">
            <v>0</v>
          </cell>
          <cell r="X65">
            <v>0.5</v>
          </cell>
          <cell r="Y65">
            <v>0</v>
          </cell>
          <cell r="Z65">
            <v>0.5</v>
          </cell>
          <cell r="BB65" t="str">
            <v>.</v>
          </cell>
        </row>
        <row r="66">
          <cell r="V66">
            <v>55</v>
          </cell>
          <cell r="W66">
            <v>0</v>
          </cell>
          <cell r="X66">
            <v>0.5</v>
          </cell>
          <cell r="Y66">
            <v>0</v>
          </cell>
          <cell r="Z66">
            <v>0.5</v>
          </cell>
          <cell r="BB66" t="str">
            <v>.</v>
          </cell>
        </row>
        <row r="67">
          <cell r="V67">
            <v>56</v>
          </cell>
          <cell r="W67">
            <v>0</v>
          </cell>
          <cell r="X67">
            <v>0.5</v>
          </cell>
          <cell r="Y67">
            <v>0</v>
          </cell>
          <cell r="Z67">
            <v>0.5</v>
          </cell>
          <cell r="BB67" t="str">
            <v>.</v>
          </cell>
        </row>
        <row r="68">
          <cell r="V68">
            <v>57</v>
          </cell>
          <cell r="W68">
            <v>0</v>
          </cell>
          <cell r="X68">
            <v>0.5</v>
          </cell>
          <cell r="Y68">
            <v>0</v>
          </cell>
          <cell r="Z68">
            <v>0.5</v>
          </cell>
          <cell r="BB68" t="str">
            <v>.</v>
          </cell>
        </row>
        <row r="69">
          <cell r="V69">
            <v>58</v>
          </cell>
          <cell r="W69">
            <v>0</v>
          </cell>
          <cell r="X69">
            <v>0.5</v>
          </cell>
          <cell r="Y69">
            <v>0</v>
          </cell>
          <cell r="Z69">
            <v>0.5</v>
          </cell>
          <cell r="BB69" t="str">
            <v>.</v>
          </cell>
        </row>
        <row r="70">
          <cell r="V70">
            <v>59</v>
          </cell>
          <cell r="W70">
            <v>0</v>
          </cell>
          <cell r="X70">
            <v>0.5</v>
          </cell>
          <cell r="Y70">
            <v>0</v>
          </cell>
          <cell r="Z70">
            <v>0.5</v>
          </cell>
          <cell r="BB70" t="str">
            <v>.</v>
          </cell>
        </row>
        <row r="71">
          <cell r="V71">
            <v>60</v>
          </cell>
          <cell r="W71">
            <v>0</v>
          </cell>
          <cell r="X71">
            <v>0.5</v>
          </cell>
          <cell r="Y71">
            <v>0</v>
          </cell>
          <cell r="Z71">
            <v>0.5</v>
          </cell>
          <cell r="BB71" t="str">
            <v>.</v>
          </cell>
        </row>
        <row r="72">
          <cell r="V72">
            <v>61</v>
          </cell>
          <cell r="W72">
            <v>0</v>
          </cell>
          <cell r="X72">
            <v>0.5</v>
          </cell>
          <cell r="Y72">
            <v>0</v>
          </cell>
          <cell r="Z72">
            <v>0.5</v>
          </cell>
          <cell r="BB72" t="str">
            <v>.</v>
          </cell>
        </row>
        <row r="73">
          <cell r="V73">
            <v>62</v>
          </cell>
          <cell r="W73">
            <v>0</v>
          </cell>
          <cell r="X73">
            <v>0.5</v>
          </cell>
          <cell r="Y73">
            <v>0</v>
          </cell>
          <cell r="Z73">
            <v>0.5</v>
          </cell>
          <cell r="BB73" t="str">
            <v>.</v>
          </cell>
        </row>
        <row r="74">
          <cell r="V74">
            <v>63</v>
          </cell>
          <cell r="W74">
            <v>0</v>
          </cell>
          <cell r="X74">
            <v>0.5</v>
          </cell>
          <cell r="Y74">
            <v>0</v>
          </cell>
          <cell r="Z74">
            <v>0.5</v>
          </cell>
          <cell r="BB74" t="str">
            <v>.</v>
          </cell>
        </row>
        <row r="75">
          <cell r="V75">
            <v>64</v>
          </cell>
          <cell r="W75">
            <v>0</v>
          </cell>
          <cell r="X75">
            <v>0.5</v>
          </cell>
          <cell r="Y75">
            <v>0</v>
          </cell>
          <cell r="Z75">
            <v>0.5</v>
          </cell>
          <cell r="BB75" t="str">
            <v>.</v>
          </cell>
        </row>
        <row r="76">
          <cell r="V76">
            <v>65</v>
          </cell>
          <cell r="W76">
            <v>0</v>
          </cell>
          <cell r="X76">
            <v>0.5</v>
          </cell>
          <cell r="Y76">
            <v>0</v>
          </cell>
          <cell r="Z76">
            <v>0.5</v>
          </cell>
          <cell r="BB76" t="str">
            <v>.</v>
          </cell>
        </row>
        <row r="77">
          <cell r="V77">
            <v>66</v>
          </cell>
          <cell r="W77">
            <v>0</v>
          </cell>
          <cell r="X77">
            <v>0.5</v>
          </cell>
          <cell r="Y77">
            <v>0</v>
          </cell>
          <cell r="Z77">
            <v>0.5</v>
          </cell>
          <cell r="BB77" t="str">
            <v>.</v>
          </cell>
        </row>
        <row r="78">
          <cell r="V78">
            <v>67</v>
          </cell>
          <cell r="W78">
            <v>0</v>
          </cell>
          <cell r="X78">
            <v>0.5</v>
          </cell>
          <cell r="Y78">
            <v>0</v>
          </cell>
          <cell r="Z78">
            <v>0.5</v>
          </cell>
          <cell r="BB78" t="str">
            <v>.</v>
          </cell>
        </row>
        <row r="79">
          <cell r="V79">
            <v>68</v>
          </cell>
          <cell r="W79">
            <v>0</v>
          </cell>
          <cell r="X79">
            <v>0.5</v>
          </cell>
          <cell r="Y79">
            <v>0</v>
          </cell>
          <cell r="Z79">
            <v>0.5</v>
          </cell>
          <cell r="BB79" t="str">
            <v>.</v>
          </cell>
        </row>
        <row r="80">
          <cell r="V80">
            <v>69</v>
          </cell>
          <cell r="W80">
            <v>0</v>
          </cell>
          <cell r="X80">
            <v>0.5</v>
          </cell>
          <cell r="Y80">
            <v>0</v>
          </cell>
          <cell r="Z80">
            <v>0.5</v>
          </cell>
          <cell r="BB80" t="str">
            <v>.</v>
          </cell>
        </row>
        <row r="81">
          <cell r="V81">
            <v>70</v>
          </cell>
          <cell r="W81">
            <v>0</v>
          </cell>
          <cell r="X81">
            <v>0.5</v>
          </cell>
          <cell r="Y81">
            <v>0</v>
          </cell>
          <cell r="Z81">
            <v>0.5</v>
          </cell>
          <cell r="BB81" t="str">
            <v>.</v>
          </cell>
        </row>
        <row r="82">
          <cell r="V82">
            <v>71</v>
          </cell>
          <cell r="W82">
            <v>0</v>
          </cell>
          <cell r="X82">
            <v>0.5</v>
          </cell>
          <cell r="Y82">
            <v>0</v>
          </cell>
          <cell r="Z82">
            <v>0.5</v>
          </cell>
          <cell r="BB82" t="str">
            <v>.</v>
          </cell>
        </row>
        <row r="83">
          <cell r="V83">
            <v>72</v>
          </cell>
          <cell r="W83">
            <v>0</v>
          </cell>
          <cell r="X83">
            <v>0.5</v>
          </cell>
          <cell r="Y83">
            <v>0</v>
          </cell>
          <cell r="Z83">
            <v>0.5</v>
          </cell>
          <cell r="BB83" t="str">
            <v>.</v>
          </cell>
        </row>
        <row r="84">
          <cell r="V84">
            <v>73</v>
          </cell>
          <cell r="W84">
            <v>0</v>
          </cell>
          <cell r="X84">
            <v>0.5</v>
          </cell>
          <cell r="Y84">
            <v>0</v>
          </cell>
          <cell r="Z84">
            <v>0.5</v>
          </cell>
          <cell r="BB84" t="str">
            <v>.</v>
          </cell>
        </row>
        <row r="85">
          <cell r="V85">
            <v>74</v>
          </cell>
          <cell r="W85">
            <v>0</v>
          </cell>
          <cell r="X85">
            <v>0.5</v>
          </cell>
          <cell r="Y85">
            <v>0</v>
          </cell>
          <cell r="Z85">
            <v>0.5</v>
          </cell>
          <cell r="BB85" t="str">
            <v>.</v>
          </cell>
        </row>
        <row r="86">
          <cell r="V86">
            <v>75</v>
          </cell>
          <cell r="W86">
            <v>0</v>
          </cell>
          <cell r="X86">
            <v>0.5</v>
          </cell>
          <cell r="Y86">
            <v>0</v>
          </cell>
          <cell r="Z86">
            <v>0.5</v>
          </cell>
          <cell r="BB86" t="str">
            <v>.</v>
          </cell>
        </row>
        <row r="87">
          <cell r="V87">
            <v>76</v>
          </cell>
          <cell r="W87">
            <v>0</v>
          </cell>
          <cell r="X87">
            <v>0.5</v>
          </cell>
          <cell r="Y87">
            <v>0</v>
          </cell>
          <cell r="Z87">
            <v>0.5</v>
          </cell>
          <cell r="BB87" t="str">
            <v>.</v>
          </cell>
        </row>
        <row r="88">
          <cell r="V88">
            <v>77</v>
          </cell>
          <cell r="W88">
            <v>0</v>
          </cell>
          <cell r="X88">
            <v>0.5</v>
          </cell>
          <cell r="Y88">
            <v>0</v>
          </cell>
          <cell r="Z88">
            <v>0.5</v>
          </cell>
          <cell r="BB88" t="str">
            <v>.</v>
          </cell>
        </row>
        <row r="89">
          <cell r="V89">
            <v>78</v>
          </cell>
          <cell r="W89">
            <v>0</v>
          </cell>
          <cell r="X89">
            <v>0.5</v>
          </cell>
          <cell r="Y89">
            <v>0</v>
          </cell>
          <cell r="Z89">
            <v>0.5</v>
          </cell>
          <cell r="BB89" t="str">
            <v>.</v>
          </cell>
        </row>
        <row r="90">
          <cell r="V90">
            <v>79</v>
          </cell>
          <cell r="W90">
            <v>0</v>
          </cell>
          <cell r="X90">
            <v>0.5</v>
          </cell>
          <cell r="Y90">
            <v>0</v>
          </cell>
          <cell r="Z90">
            <v>0.5</v>
          </cell>
          <cell r="BB90" t="str">
            <v>.</v>
          </cell>
        </row>
        <row r="91">
          <cell r="V91">
            <v>80</v>
          </cell>
          <cell r="W91">
            <v>0</v>
          </cell>
          <cell r="X91">
            <v>0.5</v>
          </cell>
          <cell r="Y91">
            <v>0</v>
          </cell>
          <cell r="Z91">
            <v>0.5</v>
          </cell>
          <cell r="BB91" t="str">
            <v>.</v>
          </cell>
        </row>
        <row r="92">
          <cell r="V92">
            <v>81</v>
          </cell>
          <cell r="W92">
            <v>0</v>
          </cell>
          <cell r="X92">
            <v>0.5</v>
          </cell>
          <cell r="Y92">
            <v>0</v>
          </cell>
          <cell r="Z92">
            <v>0.5</v>
          </cell>
          <cell r="BB92" t="str">
            <v>.</v>
          </cell>
        </row>
        <row r="93">
          <cell r="V93">
            <v>82</v>
          </cell>
          <cell r="W93">
            <v>0</v>
          </cell>
          <cell r="X93">
            <v>0.5</v>
          </cell>
          <cell r="Y93">
            <v>0</v>
          </cell>
          <cell r="Z93">
            <v>0.5</v>
          </cell>
          <cell r="BB93" t="str">
            <v>.</v>
          </cell>
        </row>
        <row r="94">
          <cell r="V94">
            <v>83</v>
          </cell>
          <cell r="W94">
            <v>0</v>
          </cell>
          <cell r="X94">
            <v>0.5</v>
          </cell>
          <cell r="Y94">
            <v>0</v>
          </cell>
          <cell r="Z94">
            <v>0.5</v>
          </cell>
          <cell r="BB94" t="str">
            <v>.</v>
          </cell>
        </row>
        <row r="95">
          <cell r="V95">
            <v>84</v>
          </cell>
          <cell r="W95">
            <v>0</v>
          </cell>
          <cell r="X95">
            <v>0.5</v>
          </cell>
          <cell r="Y95">
            <v>0</v>
          </cell>
          <cell r="Z95">
            <v>0.5</v>
          </cell>
          <cell r="BB95" t="str">
            <v>.</v>
          </cell>
        </row>
        <row r="96">
          <cell r="V96">
            <v>85</v>
          </cell>
          <cell r="W96">
            <v>0</v>
          </cell>
          <cell r="X96">
            <v>0.5</v>
          </cell>
          <cell r="Y96">
            <v>0</v>
          </cell>
          <cell r="Z96">
            <v>0.5</v>
          </cell>
          <cell r="BB96" t="str">
            <v>.</v>
          </cell>
        </row>
        <row r="97">
          <cell r="V97">
            <v>86</v>
          </cell>
          <cell r="W97">
            <v>0</v>
          </cell>
          <cell r="X97">
            <v>0.5</v>
          </cell>
          <cell r="Y97">
            <v>0</v>
          </cell>
          <cell r="Z97">
            <v>0.5</v>
          </cell>
          <cell r="BB97" t="str">
            <v>.</v>
          </cell>
        </row>
        <row r="98">
          <cell r="V98">
            <v>87</v>
          </cell>
          <cell r="W98">
            <v>0</v>
          </cell>
          <cell r="X98">
            <v>0.5</v>
          </cell>
          <cell r="Y98">
            <v>0</v>
          </cell>
          <cell r="Z98">
            <v>0.5</v>
          </cell>
          <cell r="BB98" t="str">
            <v>.</v>
          </cell>
        </row>
        <row r="99">
          <cell r="V99">
            <v>88</v>
          </cell>
          <cell r="W99">
            <v>0</v>
          </cell>
          <cell r="X99">
            <v>0.5</v>
          </cell>
          <cell r="Y99">
            <v>0</v>
          </cell>
          <cell r="Z99">
            <v>0.5</v>
          </cell>
          <cell r="BB99" t="str">
            <v>.</v>
          </cell>
        </row>
        <row r="100">
          <cell r="V100">
            <v>89</v>
          </cell>
          <cell r="W100">
            <v>0</v>
          </cell>
          <cell r="X100">
            <v>0.5</v>
          </cell>
          <cell r="Y100">
            <v>0</v>
          </cell>
          <cell r="Z100">
            <v>0.5</v>
          </cell>
          <cell r="BB100" t="str">
            <v>.</v>
          </cell>
        </row>
        <row r="101">
          <cell r="V101">
            <v>90</v>
          </cell>
          <cell r="W101">
            <v>0</v>
          </cell>
          <cell r="X101">
            <v>0.5</v>
          </cell>
          <cell r="Y101">
            <v>0</v>
          </cell>
          <cell r="Z101">
            <v>0.5</v>
          </cell>
          <cell r="BB101" t="str">
            <v>.</v>
          </cell>
        </row>
        <row r="102">
          <cell r="V102">
            <v>91</v>
          </cell>
          <cell r="W102">
            <v>0</v>
          </cell>
          <cell r="X102">
            <v>0.5</v>
          </cell>
          <cell r="Y102">
            <v>0</v>
          </cell>
          <cell r="Z102">
            <v>0.5</v>
          </cell>
          <cell r="BB102" t="str">
            <v>.</v>
          </cell>
        </row>
        <row r="103">
          <cell r="V103">
            <v>92</v>
          </cell>
          <cell r="W103">
            <v>0</v>
          </cell>
          <cell r="X103">
            <v>0.5</v>
          </cell>
          <cell r="Y103">
            <v>0</v>
          </cell>
          <cell r="Z103">
            <v>0.5</v>
          </cell>
          <cell r="BB103" t="str">
            <v>.</v>
          </cell>
        </row>
        <row r="104">
          <cell r="V104">
            <v>93</v>
          </cell>
          <cell r="W104">
            <v>0</v>
          </cell>
          <cell r="X104">
            <v>0.5</v>
          </cell>
          <cell r="Y104">
            <v>0</v>
          </cell>
          <cell r="Z104">
            <v>0.5</v>
          </cell>
          <cell r="BB104" t="str">
            <v>.</v>
          </cell>
        </row>
        <row r="105">
          <cell r="V105">
            <v>94</v>
          </cell>
          <cell r="W105">
            <v>0</v>
          </cell>
          <cell r="X105">
            <v>0.5</v>
          </cell>
          <cell r="Y105">
            <v>0</v>
          </cell>
          <cell r="Z105">
            <v>0.5</v>
          </cell>
          <cell r="BB105" t="str">
            <v>.</v>
          </cell>
        </row>
        <row r="106">
          <cell r="V106">
            <v>95</v>
          </cell>
          <cell r="W106">
            <v>0</v>
          </cell>
          <cell r="X106">
            <v>0.5</v>
          </cell>
          <cell r="Y106">
            <v>0</v>
          </cell>
          <cell r="Z106">
            <v>0.5</v>
          </cell>
          <cell r="BB106" t="str">
            <v>.</v>
          </cell>
        </row>
        <row r="107">
          <cell r="V107">
            <v>96</v>
          </cell>
          <cell r="W107">
            <v>0</v>
          </cell>
          <cell r="X107">
            <v>0.5</v>
          </cell>
          <cell r="Y107">
            <v>0</v>
          </cell>
          <cell r="Z107">
            <v>0.5</v>
          </cell>
          <cell r="BB107" t="str">
            <v>.</v>
          </cell>
        </row>
        <row r="108">
          <cell r="V108">
            <v>97</v>
          </cell>
          <cell r="W108">
            <v>0</v>
          </cell>
          <cell r="X108">
            <v>0.5</v>
          </cell>
          <cell r="Y108">
            <v>0</v>
          </cell>
          <cell r="Z108">
            <v>0.5</v>
          </cell>
          <cell r="BB108" t="str">
            <v>.</v>
          </cell>
        </row>
        <row r="109">
          <cell r="V109">
            <v>98</v>
          </cell>
          <cell r="W109">
            <v>0</v>
          </cell>
          <cell r="X109">
            <v>0.5</v>
          </cell>
          <cell r="Y109">
            <v>0</v>
          </cell>
          <cell r="Z109">
            <v>0.5</v>
          </cell>
          <cell r="BB109" t="str">
            <v>.</v>
          </cell>
        </row>
        <row r="110">
          <cell r="V110">
            <v>99</v>
          </cell>
          <cell r="W110">
            <v>0</v>
          </cell>
          <cell r="X110">
            <v>0.5</v>
          </cell>
          <cell r="Y110">
            <v>0</v>
          </cell>
          <cell r="Z110">
            <v>0.5</v>
          </cell>
          <cell r="BB110" t="str">
            <v>.</v>
          </cell>
        </row>
        <row r="111">
          <cell r="V111">
            <v>100</v>
          </cell>
          <cell r="W111">
            <v>0</v>
          </cell>
          <cell r="X111">
            <v>0.5</v>
          </cell>
          <cell r="Y111">
            <v>0</v>
          </cell>
          <cell r="Z111">
            <v>0.5</v>
          </cell>
          <cell r="BB111" t="str">
            <v>.</v>
          </cell>
        </row>
        <row r="112">
          <cell r="V112">
            <v>101</v>
          </cell>
          <cell r="W112">
            <v>0</v>
          </cell>
          <cell r="X112">
            <v>0.5</v>
          </cell>
          <cell r="Y112">
            <v>0</v>
          </cell>
          <cell r="Z112">
            <v>0.5</v>
          </cell>
          <cell r="BB112" t="str">
            <v>.</v>
          </cell>
        </row>
        <row r="113">
          <cell r="V113">
            <v>102</v>
          </cell>
          <cell r="W113">
            <v>0</v>
          </cell>
          <cell r="X113">
            <v>0.5</v>
          </cell>
          <cell r="Y113">
            <v>0</v>
          </cell>
          <cell r="Z113">
            <v>0.5</v>
          </cell>
          <cell r="BB113" t="str">
            <v>.</v>
          </cell>
        </row>
        <row r="114">
          <cell r="V114">
            <v>103</v>
          </cell>
          <cell r="W114">
            <v>0</v>
          </cell>
          <cell r="X114">
            <v>0.5</v>
          </cell>
          <cell r="Y114">
            <v>0</v>
          </cell>
          <cell r="Z114">
            <v>0.5</v>
          </cell>
          <cell r="BB114" t="str">
            <v>.</v>
          </cell>
        </row>
        <row r="115">
          <cell r="V115">
            <v>104</v>
          </cell>
          <cell r="W115">
            <v>0</v>
          </cell>
          <cell r="X115">
            <v>0.5</v>
          </cell>
          <cell r="Y115">
            <v>0</v>
          </cell>
          <cell r="Z115">
            <v>0.5</v>
          </cell>
          <cell r="BB115" t="str">
            <v>.</v>
          </cell>
        </row>
        <row r="116">
          <cell r="V116">
            <v>105</v>
          </cell>
          <cell r="W116">
            <v>0</v>
          </cell>
          <cell r="X116">
            <v>0.5</v>
          </cell>
          <cell r="Y116">
            <v>0</v>
          </cell>
          <cell r="Z116">
            <v>0.5</v>
          </cell>
          <cell r="BB116" t="str">
            <v>.</v>
          </cell>
        </row>
        <row r="117">
          <cell r="V117">
            <v>106</v>
          </cell>
          <cell r="W117">
            <v>0.5</v>
          </cell>
          <cell r="X117">
            <v>0</v>
          </cell>
          <cell r="Y117">
            <v>0.5</v>
          </cell>
          <cell r="Z117">
            <v>0</v>
          </cell>
          <cell r="BB117" t="str">
            <v>.</v>
          </cell>
        </row>
        <row r="118">
          <cell r="V118">
            <v>107</v>
          </cell>
          <cell r="W118">
            <v>0.5</v>
          </cell>
          <cell r="X118">
            <v>0</v>
          </cell>
          <cell r="Y118">
            <v>0.5</v>
          </cell>
          <cell r="Z118">
            <v>0</v>
          </cell>
          <cell r="BB118" t="str">
            <v>.</v>
          </cell>
        </row>
        <row r="119">
          <cell r="V119">
            <v>108</v>
          </cell>
          <cell r="W119">
            <v>0.5</v>
          </cell>
          <cell r="X119">
            <v>0</v>
          </cell>
          <cell r="Y119">
            <v>0.5</v>
          </cell>
          <cell r="Z119">
            <v>0</v>
          </cell>
          <cell r="BB119" t="str">
            <v>.</v>
          </cell>
        </row>
        <row r="120">
          <cell r="V120">
            <v>109</v>
          </cell>
          <cell r="W120">
            <v>0.5</v>
          </cell>
          <cell r="X120">
            <v>0</v>
          </cell>
          <cell r="Y120">
            <v>0.5</v>
          </cell>
          <cell r="Z120">
            <v>0</v>
          </cell>
          <cell r="BB120" t="str">
            <v>.</v>
          </cell>
        </row>
        <row r="121">
          <cell r="V121">
            <v>110</v>
          </cell>
          <cell r="W121">
            <v>0.5</v>
          </cell>
          <cell r="X121">
            <v>0</v>
          </cell>
          <cell r="Y121">
            <v>0.5</v>
          </cell>
          <cell r="Z121">
            <v>0</v>
          </cell>
          <cell r="BB121" t="str">
            <v>.</v>
          </cell>
        </row>
        <row r="122">
          <cell r="V122">
            <v>111</v>
          </cell>
          <cell r="W122">
            <v>0.5</v>
          </cell>
          <cell r="X122">
            <v>0</v>
          </cell>
          <cell r="Y122">
            <v>0.5</v>
          </cell>
          <cell r="Z122">
            <v>0</v>
          </cell>
          <cell r="BB122" t="str">
            <v>.</v>
          </cell>
        </row>
        <row r="123">
          <cell r="V123">
            <v>112</v>
          </cell>
          <cell r="W123">
            <v>0.5</v>
          </cell>
          <cell r="X123">
            <v>0</v>
          </cell>
          <cell r="Y123">
            <v>0.5</v>
          </cell>
          <cell r="Z123">
            <v>0</v>
          </cell>
          <cell r="BB123" t="str">
            <v>.</v>
          </cell>
        </row>
        <row r="124">
          <cell r="V124">
            <v>113</v>
          </cell>
          <cell r="W124">
            <v>0.5</v>
          </cell>
          <cell r="X124">
            <v>0</v>
          </cell>
          <cell r="Y124">
            <v>0.5</v>
          </cell>
          <cell r="Z124">
            <v>0</v>
          </cell>
          <cell r="BB124" t="str">
            <v>.</v>
          </cell>
        </row>
        <row r="125">
          <cell r="V125">
            <v>114</v>
          </cell>
          <cell r="W125">
            <v>0.5</v>
          </cell>
          <cell r="X125">
            <v>0</v>
          </cell>
          <cell r="Y125">
            <v>0.5</v>
          </cell>
          <cell r="Z125">
            <v>0</v>
          </cell>
          <cell r="BB125" t="str">
            <v>.</v>
          </cell>
        </row>
        <row r="126">
          <cell r="V126">
            <v>115</v>
          </cell>
          <cell r="W126">
            <v>0.5</v>
          </cell>
          <cell r="X126">
            <v>0</v>
          </cell>
          <cell r="Y126">
            <v>0.5</v>
          </cell>
          <cell r="Z126">
            <v>0</v>
          </cell>
          <cell r="BB126" t="str">
            <v>.</v>
          </cell>
        </row>
        <row r="127">
          <cell r="V127">
            <v>116</v>
          </cell>
          <cell r="W127">
            <v>0.5</v>
          </cell>
          <cell r="X127">
            <v>0</v>
          </cell>
          <cell r="Y127">
            <v>0.5</v>
          </cell>
          <cell r="Z127">
            <v>0</v>
          </cell>
          <cell r="BB127" t="str">
            <v>.</v>
          </cell>
        </row>
        <row r="128">
          <cell r="V128">
            <v>117</v>
          </cell>
          <cell r="W128">
            <v>0.5</v>
          </cell>
          <cell r="X128">
            <v>0</v>
          </cell>
          <cell r="Y128">
            <v>0.5</v>
          </cell>
          <cell r="Z128">
            <v>0</v>
          </cell>
          <cell r="BB128" t="str">
            <v>.</v>
          </cell>
        </row>
        <row r="129">
          <cell r="V129">
            <v>118</v>
          </cell>
          <cell r="W129">
            <v>0.5</v>
          </cell>
          <cell r="X129">
            <v>0</v>
          </cell>
          <cell r="Y129">
            <v>0.5</v>
          </cell>
          <cell r="Z129">
            <v>0</v>
          </cell>
          <cell r="BB129" t="str">
            <v>.</v>
          </cell>
        </row>
        <row r="130">
          <cell r="V130">
            <v>119</v>
          </cell>
          <cell r="W130">
            <v>0.5</v>
          </cell>
          <cell r="X130">
            <v>0</v>
          </cell>
          <cell r="Y130">
            <v>0.5</v>
          </cell>
          <cell r="Z130">
            <v>0</v>
          </cell>
          <cell r="BB130" t="str">
            <v>.</v>
          </cell>
        </row>
        <row r="131">
          <cell r="V131">
            <v>120</v>
          </cell>
          <cell r="W131">
            <v>0.5</v>
          </cell>
          <cell r="X131">
            <v>0</v>
          </cell>
          <cell r="Y131">
            <v>0.5</v>
          </cell>
          <cell r="Z131">
            <v>0</v>
          </cell>
          <cell r="BB131" t="str">
            <v>.</v>
          </cell>
        </row>
        <row r="132">
          <cell r="V132">
            <v>121</v>
          </cell>
          <cell r="W132">
            <v>0.5</v>
          </cell>
          <cell r="X132">
            <v>0</v>
          </cell>
          <cell r="Y132">
            <v>0.5</v>
          </cell>
          <cell r="Z132">
            <v>0</v>
          </cell>
          <cell r="BB132" t="str">
            <v>.</v>
          </cell>
        </row>
        <row r="133">
          <cell r="V133">
            <v>122</v>
          </cell>
          <cell r="W133">
            <v>0.5</v>
          </cell>
          <cell r="X133">
            <v>0</v>
          </cell>
          <cell r="Y133">
            <v>0.5</v>
          </cell>
          <cell r="Z133">
            <v>0</v>
          </cell>
          <cell r="BB133" t="str">
            <v>.</v>
          </cell>
        </row>
        <row r="134">
          <cell r="V134">
            <v>123</v>
          </cell>
          <cell r="W134">
            <v>0.5</v>
          </cell>
          <cell r="X134">
            <v>0</v>
          </cell>
          <cell r="Y134">
            <v>0.5</v>
          </cell>
          <cell r="Z134">
            <v>0</v>
          </cell>
          <cell r="BB134" t="str">
            <v>.</v>
          </cell>
        </row>
        <row r="135">
          <cell r="V135">
            <v>124</v>
          </cell>
          <cell r="W135">
            <v>0.5</v>
          </cell>
          <cell r="X135">
            <v>0</v>
          </cell>
          <cell r="Y135">
            <v>0.5</v>
          </cell>
          <cell r="Z135">
            <v>0</v>
          </cell>
          <cell r="BB135" t="str">
            <v>.</v>
          </cell>
        </row>
        <row r="136">
          <cell r="V136">
            <v>125</v>
          </cell>
          <cell r="W136">
            <v>0.5</v>
          </cell>
          <cell r="X136">
            <v>0</v>
          </cell>
          <cell r="Y136">
            <v>0.5</v>
          </cell>
          <cell r="Z136">
            <v>0</v>
          </cell>
          <cell r="BB136" t="str">
            <v>.</v>
          </cell>
        </row>
        <row r="137">
          <cell r="V137">
            <v>126</v>
          </cell>
          <cell r="W137">
            <v>0.5</v>
          </cell>
          <cell r="X137">
            <v>0</v>
          </cell>
          <cell r="Y137">
            <v>0.5</v>
          </cell>
          <cell r="Z137">
            <v>0</v>
          </cell>
          <cell r="BB137" t="str">
            <v>.</v>
          </cell>
        </row>
        <row r="138">
          <cell r="V138">
            <v>127</v>
          </cell>
          <cell r="W138">
            <v>0.5</v>
          </cell>
          <cell r="X138">
            <v>0</v>
          </cell>
          <cell r="Y138">
            <v>0.5</v>
          </cell>
          <cell r="Z138">
            <v>0</v>
          </cell>
          <cell r="BB138" t="str">
            <v>.</v>
          </cell>
        </row>
        <row r="139">
          <cell r="V139">
            <v>128</v>
          </cell>
          <cell r="W139">
            <v>0.5</v>
          </cell>
          <cell r="X139">
            <v>0</v>
          </cell>
          <cell r="Y139">
            <v>0.5</v>
          </cell>
          <cell r="Z139">
            <v>0</v>
          </cell>
          <cell r="BB139" t="str">
            <v>.</v>
          </cell>
        </row>
        <row r="140">
          <cell r="V140">
            <v>129</v>
          </cell>
          <cell r="W140">
            <v>0.5</v>
          </cell>
          <cell r="X140">
            <v>0</v>
          </cell>
          <cell r="Y140">
            <v>0.5</v>
          </cell>
          <cell r="Z140">
            <v>0</v>
          </cell>
          <cell r="BB140" t="str">
            <v>.</v>
          </cell>
        </row>
        <row r="141">
          <cell r="V141">
            <v>130</v>
          </cell>
          <cell r="W141">
            <v>0.5</v>
          </cell>
          <cell r="X141">
            <v>0</v>
          </cell>
          <cell r="Y141">
            <v>0.5</v>
          </cell>
          <cell r="Z141">
            <v>0</v>
          </cell>
          <cell r="BB141" t="str">
            <v>.</v>
          </cell>
        </row>
        <row r="142">
          <cell r="V142">
            <v>131</v>
          </cell>
          <cell r="W142">
            <v>0.5</v>
          </cell>
          <cell r="X142">
            <v>0</v>
          </cell>
          <cell r="Y142">
            <v>0.5</v>
          </cell>
          <cell r="Z142">
            <v>0</v>
          </cell>
          <cell r="BB142" t="str">
            <v>.</v>
          </cell>
        </row>
        <row r="143">
          <cell r="V143">
            <v>132</v>
          </cell>
          <cell r="W143">
            <v>0.5</v>
          </cell>
          <cell r="X143">
            <v>0</v>
          </cell>
          <cell r="Y143">
            <v>0.5</v>
          </cell>
          <cell r="Z143">
            <v>0</v>
          </cell>
          <cell r="BB143" t="str">
            <v>.</v>
          </cell>
        </row>
        <row r="144">
          <cell r="V144">
            <v>133</v>
          </cell>
          <cell r="W144">
            <v>0.5</v>
          </cell>
          <cell r="X144">
            <v>0</v>
          </cell>
          <cell r="Y144">
            <v>0.5</v>
          </cell>
          <cell r="Z144">
            <v>0</v>
          </cell>
          <cell r="BB144" t="str">
            <v>.</v>
          </cell>
        </row>
        <row r="145">
          <cell r="V145">
            <v>134</v>
          </cell>
          <cell r="W145">
            <v>0.5</v>
          </cell>
          <cell r="X145">
            <v>0</v>
          </cell>
          <cell r="Y145">
            <v>0.5</v>
          </cell>
          <cell r="Z145">
            <v>0</v>
          </cell>
          <cell r="BB145" t="str">
            <v>.</v>
          </cell>
        </row>
        <row r="146">
          <cell r="V146">
            <v>135</v>
          </cell>
          <cell r="W146">
            <v>0.5</v>
          </cell>
          <cell r="X146">
            <v>0</v>
          </cell>
          <cell r="Y146">
            <v>0.5</v>
          </cell>
          <cell r="Z146">
            <v>0</v>
          </cell>
          <cell r="BB146" t="str">
            <v>.</v>
          </cell>
        </row>
        <row r="147">
          <cell r="V147">
            <v>136</v>
          </cell>
          <cell r="W147">
            <v>0.5</v>
          </cell>
          <cell r="X147">
            <v>0</v>
          </cell>
          <cell r="Y147">
            <v>0.5</v>
          </cell>
          <cell r="Z147">
            <v>0</v>
          </cell>
          <cell r="BB147" t="str">
            <v>.</v>
          </cell>
        </row>
        <row r="148">
          <cell r="V148">
            <v>137</v>
          </cell>
          <cell r="W148">
            <v>0.5</v>
          </cell>
          <cell r="X148">
            <v>0</v>
          </cell>
          <cell r="Y148">
            <v>0.5</v>
          </cell>
          <cell r="Z148">
            <v>0</v>
          </cell>
          <cell r="BB148" t="str">
            <v>.</v>
          </cell>
        </row>
        <row r="149">
          <cell r="V149">
            <v>138</v>
          </cell>
          <cell r="W149">
            <v>0.5</v>
          </cell>
          <cell r="X149">
            <v>0</v>
          </cell>
          <cell r="Y149">
            <v>0.5</v>
          </cell>
          <cell r="Z149">
            <v>0</v>
          </cell>
          <cell r="BB149" t="str">
            <v>.</v>
          </cell>
        </row>
        <row r="150">
          <cell r="V150">
            <v>139</v>
          </cell>
          <cell r="W150">
            <v>0.5</v>
          </cell>
          <cell r="X150">
            <v>0</v>
          </cell>
          <cell r="Y150">
            <v>0.5</v>
          </cell>
          <cell r="Z150">
            <v>0</v>
          </cell>
          <cell r="BB150" t="str">
            <v>.</v>
          </cell>
        </row>
        <row r="151">
          <cell r="V151">
            <v>140</v>
          </cell>
          <cell r="W151">
            <v>0.5</v>
          </cell>
          <cell r="X151">
            <v>0</v>
          </cell>
          <cell r="Y151">
            <v>0.5</v>
          </cell>
          <cell r="Z151">
            <v>0</v>
          </cell>
          <cell r="BB151" t="str">
            <v>.</v>
          </cell>
        </row>
        <row r="152">
          <cell r="V152">
            <v>141</v>
          </cell>
          <cell r="W152">
            <v>0.5</v>
          </cell>
          <cell r="X152">
            <v>0</v>
          </cell>
          <cell r="Y152">
            <v>0.5</v>
          </cell>
          <cell r="Z152">
            <v>0</v>
          </cell>
          <cell r="BB152" t="str">
            <v>.</v>
          </cell>
        </row>
        <row r="153">
          <cell r="V153">
            <v>142</v>
          </cell>
          <cell r="W153">
            <v>0.5</v>
          </cell>
          <cell r="X153">
            <v>0</v>
          </cell>
          <cell r="Y153">
            <v>0.5</v>
          </cell>
          <cell r="Z153">
            <v>0</v>
          </cell>
          <cell r="BB153" t="str">
            <v>.</v>
          </cell>
        </row>
        <row r="154">
          <cell r="V154">
            <v>143</v>
          </cell>
          <cell r="W154">
            <v>0.5</v>
          </cell>
          <cell r="X154">
            <v>0</v>
          </cell>
          <cell r="Y154">
            <v>0.5</v>
          </cell>
          <cell r="Z154">
            <v>0</v>
          </cell>
          <cell r="BB154" t="str">
            <v>.</v>
          </cell>
        </row>
        <row r="155">
          <cell r="V155">
            <v>144</v>
          </cell>
          <cell r="W155">
            <v>0.5</v>
          </cell>
          <cell r="X155">
            <v>0</v>
          </cell>
          <cell r="Y155">
            <v>0.5</v>
          </cell>
          <cell r="Z155">
            <v>0</v>
          </cell>
          <cell r="BB155" t="str">
            <v>.</v>
          </cell>
        </row>
        <row r="156">
          <cell r="V156">
            <v>145</v>
          </cell>
          <cell r="W156">
            <v>0.5</v>
          </cell>
          <cell r="X156">
            <v>0</v>
          </cell>
          <cell r="Y156">
            <v>0.5</v>
          </cell>
          <cell r="Z156">
            <v>0</v>
          </cell>
          <cell r="BB156" t="str">
            <v>.</v>
          </cell>
        </row>
        <row r="157">
          <cell r="V157">
            <v>146</v>
          </cell>
          <cell r="W157">
            <v>0.5</v>
          </cell>
          <cell r="X157">
            <v>0</v>
          </cell>
          <cell r="Y157">
            <v>0.5</v>
          </cell>
          <cell r="Z157">
            <v>0</v>
          </cell>
          <cell r="BB157" t="str">
            <v>.</v>
          </cell>
        </row>
        <row r="158">
          <cell r="V158">
            <v>147</v>
          </cell>
          <cell r="W158">
            <v>0.5</v>
          </cell>
          <cell r="X158">
            <v>0</v>
          </cell>
          <cell r="Y158">
            <v>0.5</v>
          </cell>
          <cell r="Z158">
            <v>0</v>
          </cell>
          <cell r="BB158" t="str">
            <v>.</v>
          </cell>
        </row>
        <row r="159">
          <cell r="V159">
            <v>148</v>
          </cell>
          <cell r="W159">
            <v>0.5</v>
          </cell>
          <cell r="X159">
            <v>0</v>
          </cell>
          <cell r="Y159">
            <v>0.5</v>
          </cell>
          <cell r="Z159">
            <v>0</v>
          </cell>
          <cell r="BB159" t="str">
            <v>.</v>
          </cell>
        </row>
        <row r="160">
          <cell r="V160">
            <v>149</v>
          </cell>
          <cell r="W160">
            <v>0.5</v>
          </cell>
          <cell r="X160">
            <v>0</v>
          </cell>
          <cell r="Y160">
            <v>0.5</v>
          </cell>
          <cell r="Z160">
            <v>0</v>
          </cell>
          <cell r="BB160" t="str">
            <v>.</v>
          </cell>
        </row>
        <row r="161">
          <cell r="V161">
            <v>150</v>
          </cell>
          <cell r="W161">
            <v>0.5</v>
          </cell>
          <cell r="X161">
            <v>0</v>
          </cell>
          <cell r="Y161">
            <v>0.5</v>
          </cell>
          <cell r="Z161">
            <v>0</v>
          </cell>
          <cell r="BB161" t="str">
            <v>.</v>
          </cell>
        </row>
        <row r="162">
          <cell r="V162">
            <v>151</v>
          </cell>
          <cell r="W162">
            <v>0.5</v>
          </cell>
          <cell r="X162">
            <v>0</v>
          </cell>
          <cell r="Y162">
            <v>0.5</v>
          </cell>
          <cell r="Z162">
            <v>0</v>
          </cell>
          <cell r="BB162" t="str">
            <v>.</v>
          </cell>
        </row>
        <row r="163">
          <cell r="V163">
            <v>152</v>
          </cell>
          <cell r="W163">
            <v>0.5</v>
          </cell>
          <cell r="X163">
            <v>0</v>
          </cell>
          <cell r="Y163">
            <v>0.5</v>
          </cell>
          <cell r="Z163">
            <v>0</v>
          </cell>
          <cell r="BB163" t="str">
            <v>.</v>
          </cell>
        </row>
        <row r="164">
          <cell r="V164">
            <v>153</v>
          </cell>
          <cell r="W164">
            <v>0.5</v>
          </cell>
          <cell r="X164">
            <v>0</v>
          </cell>
          <cell r="Y164">
            <v>0.5</v>
          </cell>
          <cell r="Z164">
            <v>0</v>
          </cell>
          <cell r="BB164" t="str">
            <v>.</v>
          </cell>
        </row>
        <row r="165">
          <cell r="V165">
            <v>154</v>
          </cell>
          <cell r="W165">
            <v>0.5</v>
          </cell>
          <cell r="X165">
            <v>0</v>
          </cell>
          <cell r="Y165">
            <v>0.5</v>
          </cell>
          <cell r="Z165">
            <v>0</v>
          </cell>
          <cell r="BB165" t="str">
            <v>.</v>
          </cell>
        </row>
        <row r="166">
          <cell r="V166">
            <v>155</v>
          </cell>
          <cell r="W166">
            <v>0.5</v>
          </cell>
          <cell r="X166">
            <v>0</v>
          </cell>
          <cell r="Y166">
            <v>0.5</v>
          </cell>
          <cell r="Z166">
            <v>0</v>
          </cell>
          <cell r="BB166" t="str">
            <v>.</v>
          </cell>
        </row>
        <row r="167">
          <cell r="V167">
            <v>156</v>
          </cell>
          <cell r="W167">
            <v>0.5</v>
          </cell>
          <cell r="X167">
            <v>0</v>
          </cell>
          <cell r="Y167">
            <v>0.5</v>
          </cell>
          <cell r="Z167">
            <v>0</v>
          </cell>
          <cell r="BB167" t="str">
            <v>.</v>
          </cell>
        </row>
        <row r="168">
          <cell r="V168">
            <v>157</v>
          </cell>
          <cell r="W168">
            <v>0.5</v>
          </cell>
          <cell r="X168">
            <v>0</v>
          </cell>
          <cell r="Y168">
            <v>0.5</v>
          </cell>
          <cell r="Z168">
            <v>0</v>
          </cell>
          <cell r="BB168" t="str">
            <v>.</v>
          </cell>
        </row>
        <row r="169">
          <cell r="V169">
            <v>158</v>
          </cell>
          <cell r="W169">
            <v>0.5</v>
          </cell>
          <cell r="X169">
            <v>0</v>
          </cell>
          <cell r="Y169">
            <v>0.5</v>
          </cell>
          <cell r="Z169">
            <v>0</v>
          </cell>
          <cell r="BB169" t="str">
            <v>.</v>
          </cell>
        </row>
        <row r="170">
          <cell r="V170">
            <v>159</v>
          </cell>
          <cell r="W170">
            <v>0.5</v>
          </cell>
          <cell r="X170">
            <v>0</v>
          </cell>
          <cell r="Y170">
            <v>0.5</v>
          </cell>
          <cell r="Z170">
            <v>0</v>
          </cell>
          <cell r="BB170" t="str">
            <v>.</v>
          </cell>
        </row>
        <row r="171">
          <cell r="V171">
            <v>160</v>
          </cell>
          <cell r="W171">
            <v>0.5</v>
          </cell>
          <cell r="X171">
            <v>0</v>
          </cell>
          <cell r="Y171">
            <v>0.5</v>
          </cell>
          <cell r="Z171">
            <v>0</v>
          </cell>
          <cell r="BB171" t="str">
            <v>.</v>
          </cell>
        </row>
        <row r="172">
          <cell r="V172">
            <v>161</v>
          </cell>
          <cell r="W172">
            <v>0.5</v>
          </cell>
          <cell r="X172">
            <v>0</v>
          </cell>
          <cell r="Y172">
            <v>0.5</v>
          </cell>
          <cell r="Z172">
            <v>0</v>
          </cell>
          <cell r="BB172" t="str">
            <v>.</v>
          </cell>
        </row>
        <row r="173">
          <cell r="V173">
            <v>162</v>
          </cell>
          <cell r="W173">
            <v>0.5</v>
          </cell>
          <cell r="X173">
            <v>0</v>
          </cell>
          <cell r="Y173">
            <v>0.5</v>
          </cell>
          <cell r="Z173">
            <v>0</v>
          </cell>
          <cell r="BB173" t="str">
            <v>.</v>
          </cell>
        </row>
        <row r="174">
          <cell r="V174">
            <v>163</v>
          </cell>
          <cell r="W174">
            <v>0.5</v>
          </cell>
          <cell r="X174">
            <v>0</v>
          </cell>
          <cell r="Y174">
            <v>0.5</v>
          </cell>
          <cell r="Z174">
            <v>0</v>
          </cell>
          <cell r="BB174" t="str">
            <v>.</v>
          </cell>
        </row>
        <row r="175">
          <cell r="V175">
            <v>164</v>
          </cell>
          <cell r="W175">
            <v>0.5</v>
          </cell>
          <cell r="X175">
            <v>0</v>
          </cell>
          <cell r="Y175">
            <v>0.5</v>
          </cell>
          <cell r="Z175">
            <v>0</v>
          </cell>
          <cell r="BB175" t="str">
            <v>.</v>
          </cell>
        </row>
        <row r="176">
          <cell r="V176">
            <v>165</v>
          </cell>
          <cell r="W176">
            <v>0.5</v>
          </cell>
          <cell r="X176">
            <v>0</v>
          </cell>
          <cell r="Y176">
            <v>0.5</v>
          </cell>
          <cell r="Z176">
            <v>0</v>
          </cell>
          <cell r="BB176" t="str">
            <v>.</v>
          </cell>
        </row>
        <row r="177">
          <cell r="V177">
            <v>166</v>
          </cell>
          <cell r="W177">
            <v>0.5</v>
          </cell>
          <cell r="X177">
            <v>0</v>
          </cell>
          <cell r="Y177">
            <v>0.5</v>
          </cell>
          <cell r="Z177">
            <v>0</v>
          </cell>
          <cell r="BB177" t="str">
            <v>.</v>
          </cell>
        </row>
        <row r="178">
          <cell r="V178">
            <v>167</v>
          </cell>
          <cell r="W178">
            <v>0.5</v>
          </cell>
          <cell r="X178">
            <v>0</v>
          </cell>
          <cell r="Y178">
            <v>0.5</v>
          </cell>
          <cell r="Z178">
            <v>0</v>
          </cell>
          <cell r="BB178" t="str">
            <v>.</v>
          </cell>
        </row>
        <row r="179">
          <cell r="V179">
            <v>168</v>
          </cell>
          <cell r="W179">
            <v>0.5</v>
          </cell>
          <cell r="X179">
            <v>0</v>
          </cell>
          <cell r="Y179">
            <v>0.5</v>
          </cell>
          <cell r="Z179">
            <v>0</v>
          </cell>
          <cell r="BB179" t="str">
            <v>.</v>
          </cell>
        </row>
        <row r="180">
          <cell r="V180">
            <v>169</v>
          </cell>
          <cell r="W180">
            <v>0.5</v>
          </cell>
          <cell r="X180">
            <v>0</v>
          </cell>
          <cell r="Y180">
            <v>0.5</v>
          </cell>
          <cell r="Z180">
            <v>0</v>
          </cell>
          <cell r="BB180" t="str">
            <v>.</v>
          </cell>
        </row>
        <row r="181">
          <cell r="V181">
            <v>170</v>
          </cell>
          <cell r="W181">
            <v>0.5</v>
          </cell>
          <cell r="X181">
            <v>0</v>
          </cell>
          <cell r="Y181">
            <v>0.5</v>
          </cell>
          <cell r="Z181">
            <v>0</v>
          </cell>
          <cell r="BB181" t="str">
            <v>.</v>
          </cell>
        </row>
        <row r="182">
          <cell r="V182">
            <v>171</v>
          </cell>
          <cell r="W182">
            <v>0.5</v>
          </cell>
          <cell r="X182">
            <v>0</v>
          </cell>
          <cell r="Y182">
            <v>0.5</v>
          </cell>
          <cell r="Z182">
            <v>0</v>
          </cell>
          <cell r="BB182" t="str">
            <v>.</v>
          </cell>
        </row>
        <row r="183">
          <cell r="V183">
            <v>172</v>
          </cell>
          <cell r="W183">
            <v>0.5</v>
          </cell>
          <cell r="X183">
            <v>0</v>
          </cell>
          <cell r="Y183">
            <v>0.5</v>
          </cell>
          <cell r="Z183">
            <v>0</v>
          </cell>
          <cell r="BB183" t="str">
            <v>.</v>
          </cell>
        </row>
        <row r="184">
          <cell r="V184">
            <v>173</v>
          </cell>
          <cell r="W184">
            <v>0.5</v>
          </cell>
          <cell r="X184">
            <v>0</v>
          </cell>
          <cell r="Y184">
            <v>0.5</v>
          </cell>
          <cell r="Z184">
            <v>0</v>
          </cell>
          <cell r="BB184" t="str">
            <v>.</v>
          </cell>
        </row>
        <row r="185">
          <cell r="V185">
            <v>174</v>
          </cell>
          <cell r="W185">
            <v>0.5</v>
          </cell>
          <cell r="X185">
            <v>0</v>
          </cell>
          <cell r="Y185">
            <v>0.5</v>
          </cell>
          <cell r="Z185">
            <v>0</v>
          </cell>
          <cell r="BB185" t="str">
            <v>.</v>
          </cell>
        </row>
        <row r="186">
          <cell r="V186">
            <v>175</v>
          </cell>
          <cell r="W186">
            <v>0.5</v>
          </cell>
          <cell r="X186">
            <v>0</v>
          </cell>
          <cell r="Y186">
            <v>0.5</v>
          </cell>
          <cell r="Z186">
            <v>0</v>
          </cell>
          <cell r="BB186" t="str">
            <v>.</v>
          </cell>
        </row>
        <row r="187">
          <cell r="V187">
            <v>176</v>
          </cell>
          <cell r="W187">
            <v>0.5</v>
          </cell>
          <cell r="X187">
            <v>0</v>
          </cell>
          <cell r="Y187">
            <v>0.5</v>
          </cell>
          <cell r="Z187">
            <v>0</v>
          </cell>
          <cell r="BB187" t="str">
            <v>.</v>
          </cell>
        </row>
        <row r="188">
          <cell r="V188">
            <v>177</v>
          </cell>
          <cell r="W188">
            <v>0.5</v>
          </cell>
          <cell r="X188">
            <v>0</v>
          </cell>
          <cell r="Y188">
            <v>0.5</v>
          </cell>
          <cell r="Z188">
            <v>0</v>
          </cell>
          <cell r="BB188" t="str">
            <v>.</v>
          </cell>
        </row>
        <row r="189">
          <cell r="V189">
            <v>178</v>
          </cell>
          <cell r="W189">
            <v>0.5</v>
          </cell>
          <cell r="X189">
            <v>0</v>
          </cell>
          <cell r="Y189">
            <v>0.5</v>
          </cell>
          <cell r="Z189">
            <v>0</v>
          </cell>
          <cell r="BB189" t="str">
            <v>.</v>
          </cell>
        </row>
        <row r="190">
          <cell r="V190">
            <v>179</v>
          </cell>
          <cell r="W190">
            <v>0.5</v>
          </cell>
          <cell r="X190">
            <v>0</v>
          </cell>
          <cell r="Y190">
            <v>0.5</v>
          </cell>
          <cell r="Z190">
            <v>0</v>
          </cell>
          <cell r="BB190" t="str">
            <v>.</v>
          </cell>
        </row>
        <row r="191">
          <cell r="V191">
            <v>180</v>
          </cell>
          <cell r="W191">
            <v>0.5</v>
          </cell>
          <cell r="X191">
            <v>0</v>
          </cell>
          <cell r="Y191">
            <v>0.5</v>
          </cell>
          <cell r="Z191">
            <v>0</v>
          </cell>
          <cell r="BB191" t="str">
            <v>.</v>
          </cell>
        </row>
        <row r="192">
          <cell r="V192">
            <v>181</v>
          </cell>
          <cell r="W192">
            <v>0.5</v>
          </cell>
          <cell r="X192">
            <v>0</v>
          </cell>
          <cell r="Y192">
            <v>0.5</v>
          </cell>
          <cell r="Z192">
            <v>0</v>
          </cell>
          <cell r="BB192" t="str">
            <v>.</v>
          </cell>
        </row>
        <row r="193">
          <cell r="V193">
            <v>182</v>
          </cell>
          <cell r="W193">
            <v>0.5</v>
          </cell>
          <cell r="X193">
            <v>0</v>
          </cell>
          <cell r="Y193">
            <v>0.5</v>
          </cell>
          <cell r="Z193">
            <v>0</v>
          </cell>
          <cell r="BB193" t="str">
            <v>.</v>
          </cell>
        </row>
        <row r="194">
          <cell r="V194">
            <v>183</v>
          </cell>
          <cell r="W194">
            <v>0.5</v>
          </cell>
          <cell r="X194">
            <v>0</v>
          </cell>
          <cell r="Y194">
            <v>0.5</v>
          </cell>
          <cell r="Z194">
            <v>0</v>
          </cell>
          <cell r="BB194" t="str">
            <v>.</v>
          </cell>
        </row>
        <row r="195">
          <cell r="V195">
            <v>184</v>
          </cell>
          <cell r="W195">
            <v>0.5</v>
          </cell>
          <cell r="X195">
            <v>0</v>
          </cell>
          <cell r="Y195">
            <v>0.5</v>
          </cell>
          <cell r="Z195">
            <v>0</v>
          </cell>
          <cell r="BB195" t="str">
            <v>.</v>
          </cell>
        </row>
        <row r="196">
          <cell r="V196">
            <v>185</v>
          </cell>
          <cell r="W196">
            <v>0.5</v>
          </cell>
          <cell r="X196">
            <v>0</v>
          </cell>
          <cell r="Y196">
            <v>0.5</v>
          </cell>
          <cell r="Z196">
            <v>0</v>
          </cell>
          <cell r="BB196" t="str">
            <v>.</v>
          </cell>
        </row>
        <row r="197">
          <cell r="V197">
            <v>186</v>
          </cell>
          <cell r="W197">
            <v>0.5</v>
          </cell>
          <cell r="X197">
            <v>0</v>
          </cell>
          <cell r="Y197">
            <v>0.5</v>
          </cell>
          <cell r="Z197">
            <v>0</v>
          </cell>
          <cell r="BB197" t="str">
            <v>.</v>
          </cell>
        </row>
        <row r="198">
          <cell r="V198">
            <v>187</v>
          </cell>
          <cell r="W198">
            <v>0.5</v>
          </cell>
          <cell r="X198">
            <v>0</v>
          </cell>
          <cell r="Y198">
            <v>0.5</v>
          </cell>
          <cell r="Z198">
            <v>0</v>
          </cell>
          <cell r="BB198" t="str">
            <v>.</v>
          </cell>
        </row>
        <row r="199">
          <cell r="V199">
            <v>188</v>
          </cell>
          <cell r="W199">
            <v>0.5</v>
          </cell>
          <cell r="X199">
            <v>0</v>
          </cell>
          <cell r="Y199">
            <v>0.5</v>
          </cell>
          <cell r="Z199">
            <v>0</v>
          </cell>
          <cell r="BB199" t="str">
            <v>.</v>
          </cell>
        </row>
        <row r="200">
          <cell r="V200">
            <v>189</v>
          </cell>
          <cell r="W200">
            <v>0.5</v>
          </cell>
          <cell r="X200">
            <v>0</v>
          </cell>
          <cell r="Y200">
            <v>0.5</v>
          </cell>
          <cell r="Z200">
            <v>0</v>
          </cell>
          <cell r="BB200" t="str">
            <v>.</v>
          </cell>
        </row>
        <row r="201">
          <cell r="V201">
            <v>190</v>
          </cell>
          <cell r="W201">
            <v>0.5</v>
          </cell>
          <cell r="X201">
            <v>0</v>
          </cell>
          <cell r="Y201">
            <v>0.5</v>
          </cell>
          <cell r="Z201">
            <v>0</v>
          </cell>
          <cell r="BB201" t="str">
            <v>.</v>
          </cell>
        </row>
        <row r="202">
          <cell r="V202">
            <v>191</v>
          </cell>
          <cell r="W202">
            <v>0.5</v>
          </cell>
          <cell r="X202">
            <v>0</v>
          </cell>
          <cell r="Y202">
            <v>0.5</v>
          </cell>
          <cell r="Z202">
            <v>0</v>
          </cell>
          <cell r="BB202" t="str">
            <v>.</v>
          </cell>
        </row>
        <row r="203">
          <cell r="V203">
            <v>192</v>
          </cell>
          <cell r="W203">
            <v>0.5</v>
          </cell>
          <cell r="X203">
            <v>0</v>
          </cell>
          <cell r="Y203">
            <v>0.5</v>
          </cell>
          <cell r="Z203">
            <v>0</v>
          </cell>
          <cell r="BB203" t="str">
            <v>.</v>
          </cell>
        </row>
        <row r="204">
          <cell r="V204">
            <v>193</v>
          </cell>
          <cell r="W204">
            <v>0.5</v>
          </cell>
          <cell r="X204">
            <v>0</v>
          </cell>
          <cell r="Y204">
            <v>0.5</v>
          </cell>
          <cell r="Z204">
            <v>0</v>
          </cell>
          <cell r="BB204" t="str">
            <v>.</v>
          </cell>
        </row>
        <row r="205">
          <cell r="V205">
            <v>194</v>
          </cell>
          <cell r="W205">
            <v>0.5</v>
          </cell>
          <cell r="X205">
            <v>0</v>
          </cell>
          <cell r="Y205">
            <v>0.5</v>
          </cell>
          <cell r="Z205">
            <v>0</v>
          </cell>
          <cell r="BB205" t="str">
            <v>.</v>
          </cell>
        </row>
        <row r="206">
          <cell r="V206">
            <v>195</v>
          </cell>
          <cell r="W206">
            <v>0.5</v>
          </cell>
          <cell r="X206">
            <v>0</v>
          </cell>
          <cell r="Y206">
            <v>0.5</v>
          </cell>
          <cell r="Z206">
            <v>0</v>
          </cell>
          <cell r="BB206" t="str">
            <v>.</v>
          </cell>
        </row>
        <row r="207">
          <cell r="V207">
            <v>196</v>
          </cell>
          <cell r="W207">
            <v>0.5</v>
          </cell>
          <cell r="X207">
            <v>0</v>
          </cell>
          <cell r="Y207">
            <v>0.5</v>
          </cell>
          <cell r="Z207">
            <v>0</v>
          </cell>
          <cell r="BB207" t="str">
            <v>.</v>
          </cell>
        </row>
        <row r="208">
          <cell r="V208">
            <v>197</v>
          </cell>
          <cell r="W208">
            <v>0.5</v>
          </cell>
          <cell r="X208">
            <v>0</v>
          </cell>
          <cell r="Y208">
            <v>0.5</v>
          </cell>
          <cell r="Z208">
            <v>0</v>
          </cell>
          <cell r="BB208" t="str">
            <v>.</v>
          </cell>
        </row>
        <row r="209">
          <cell r="V209">
            <v>198</v>
          </cell>
          <cell r="W209">
            <v>0.5</v>
          </cell>
          <cell r="X209">
            <v>0</v>
          </cell>
          <cell r="Y209">
            <v>0.5</v>
          </cell>
          <cell r="Z209">
            <v>0</v>
          </cell>
          <cell r="BB209" t="str">
            <v>.</v>
          </cell>
        </row>
        <row r="210">
          <cell r="V210">
            <v>199</v>
          </cell>
          <cell r="W210">
            <v>0.5</v>
          </cell>
          <cell r="X210">
            <v>0</v>
          </cell>
          <cell r="Y210">
            <v>0.5</v>
          </cell>
          <cell r="Z210">
            <v>0</v>
          </cell>
          <cell r="BB210" t="str">
            <v>.</v>
          </cell>
        </row>
        <row r="211">
          <cell r="V211">
            <v>200</v>
          </cell>
          <cell r="W211">
            <v>0.5</v>
          </cell>
          <cell r="X211">
            <v>0</v>
          </cell>
          <cell r="Y211">
            <v>0.5</v>
          </cell>
          <cell r="Z211">
            <v>0</v>
          </cell>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cell r="BB996" t="str">
            <v>.</v>
          </cell>
        </row>
      </sheetData>
      <sheetData sheetId="18" refreshError="1">
        <row r="1">
          <cell r="S1" t="str">
            <v>SmartCharts</v>
          </cell>
        </row>
        <row r="5">
          <cell r="C5" t="str">
            <v>Define value axis here:</v>
          </cell>
        </row>
        <row r="6">
          <cell r="C6" t="str">
            <v>Value axis definition</v>
          </cell>
        </row>
        <row r="8">
          <cell r="C8" t="str">
            <v>Define highlighted areas here:</v>
          </cell>
        </row>
        <row r="9">
          <cell r="C9" t="str">
            <v>MarketView expectation</v>
          </cell>
        </row>
        <row r="11">
          <cell r="C11" t="str">
            <v>Input your data here:</v>
          </cell>
          <cell r="F11" t="str">
            <v>Highlight?</v>
          </cell>
        </row>
        <row r="12">
          <cell r="D12" t="str">
            <v>Series1</v>
          </cell>
          <cell r="AF12" t="str">
            <v>No.</v>
          </cell>
          <cell r="AG12" t="str">
            <v>HighlightYes</v>
          </cell>
          <cell r="AH12" t="str">
            <v>HighlightNo</v>
          </cell>
          <cell r="AJ12" t="str">
            <v>ArrowLine</v>
          </cell>
        </row>
        <row r="13">
          <cell r="C13">
            <v>2003</v>
          </cell>
          <cell r="D13">
            <v>1.5839551986872611</v>
          </cell>
          <cell r="G13" t="b">
            <v>0</v>
          </cell>
          <cell r="AF13">
            <v>1</v>
          </cell>
          <cell r="AG13">
            <v>0</v>
          </cell>
          <cell r="AH13">
            <v>1.5839551986872611</v>
          </cell>
          <cell r="AJ13">
            <v>1.5839551986872611</v>
          </cell>
        </row>
        <row r="14">
          <cell r="C14">
            <v>2004</v>
          </cell>
          <cell r="D14">
            <v>1.2663892799762217</v>
          </cell>
          <cell r="G14" t="b">
            <v>0</v>
          </cell>
          <cell r="AF14">
            <v>2</v>
          </cell>
          <cell r="AG14">
            <v>0</v>
          </cell>
          <cell r="AH14">
            <v>1.2663892799762217</v>
          </cell>
          <cell r="AJ14">
            <v>1.2663892799762217</v>
          </cell>
        </row>
        <row r="15">
          <cell r="C15">
            <v>2005</v>
          </cell>
          <cell r="D15">
            <v>0.96620408615259445</v>
          </cell>
          <cell r="G15" t="b">
            <v>0</v>
          </cell>
          <cell r="AF15">
            <v>3</v>
          </cell>
          <cell r="AG15">
            <v>0</v>
          </cell>
          <cell r="AH15">
            <v>0.96620408615259445</v>
          </cell>
          <cell r="AJ15">
            <v>0.96620408615259445</v>
          </cell>
        </row>
        <row r="16">
          <cell r="C16">
            <v>2006</v>
          </cell>
          <cell r="D16">
            <v>-0.34099731302541975</v>
          </cell>
          <cell r="G16" t="b">
            <v>0</v>
          </cell>
          <cell r="AF16">
            <v>4</v>
          </cell>
          <cell r="AG16">
            <v>0</v>
          </cell>
          <cell r="AH16">
            <v>-0.34099731302541975</v>
          </cell>
          <cell r="AJ16">
            <v>-0.34099731302541975</v>
          </cell>
        </row>
        <row r="17">
          <cell r="C17">
            <v>2007</v>
          </cell>
          <cell r="D17">
            <v>-7.1640215703390825E-2</v>
          </cell>
          <cell r="G17" t="b">
            <v>0</v>
          </cell>
          <cell r="AF17">
            <v>5</v>
          </cell>
          <cell r="AG17">
            <v>0</v>
          </cell>
          <cell r="AH17">
            <v>-7.1640215703390825E-2</v>
          </cell>
          <cell r="AJ17">
            <v>-7.1640215703390825E-2</v>
          </cell>
        </row>
        <row r="18">
          <cell r="C18" t="str">
            <v>2008e</v>
          </cell>
          <cell r="D18">
            <v>-0.5190145343785133</v>
          </cell>
          <cell r="G18" t="b">
            <v>1</v>
          </cell>
          <cell r="AF18">
            <v>6</v>
          </cell>
          <cell r="AG18">
            <v>-0.5190145343785133</v>
          </cell>
          <cell r="AH18">
            <v>0</v>
          </cell>
          <cell r="AJ18">
            <v>-0.5190145343785133</v>
          </cell>
        </row>
        <row r="19">
          <cell r="C19" t="str">
            <v>2009e</v>
          </cell>
          <cell r="D19">
            <v>8.0202609200936657E-3</v>
          </cell>
          <cell r="G19" t="b">
            <v>1</v>
          </cell>
          <cell r="AF19">
            <v>7</v>
          </cell>
          <cell r="AG19">
            <v>8.0202609200936657E-3</v>
          </cell>
          <cell r="AH19">
            <v>0</v>
          </cell>
          <cell r="AJ19">
            <v>8.0202609200936657E-3</v>
          </cell>
        </row>
        <row r="20">
          <cell r="C20" t="str">
            <v>2010e</v>
          </cell>
          <cell r="D20">
            <v>0</v>
          </cell>
          <cell r="G20" t="b">
            <v>1</v>
          </cell>
          <cell r="AF20">
            <v>8</v>
          </cell>
          <cell r="AG20">
            <v>0</v>
          </cell>
          <cell r="AH20">
            <v>0</v>
          </cell>
          <cell r="AJ20">
            <v>0</v>
          </cell>
        </row>
        <row r="21">
          <cell r="G21" t="b">
            <v>0</v>
          </cell>
          <cell r="AF21">
            <v>9</v>
          </cell>
          <cell r="AG21">
            <v>0</v>
          </cell>
          <cell r="AH21">
            <v>0</v>
          </cell>
          <cell r="AJ21">
            <v>0</v>
          </cell>
        </row>
        <row r="22">
          <cell r="G22" t="b">
            <v>0</v>
          </cell>
          <cell r="AF22">
            <v>10</v>
          </cell>
          <cell r="AG22">
            <v>0</v>
          </cell>
          <cell r="AH22">
            <v>0</v>
          </cell>
          <cell r="AJ22">
            <v>0</v>
          </cell>
        </row>
        <row r="23">
          <cell r="G23" t="b">
            <v>0</v>
          </cell>
          <cell r="AF23">
            <v>11</v>
          </cell>
          <cell r="AG23">
            <v>0</v>
          </cell>
          <cell r="AH23">
            <v>0</v>
          </cell>
          <cell r="AJ23">
            <v>0</v>
          </cell>
        </row>
        <row r="24">
          <cell r="G24" t="b">
            <v>0</v>
          </cell>
          <cell r="AF24">
            <v>12</v>
          </cell>
          <cell r="AG24">
            <v>0</v>
          </cell>
          <cell r="AH24">
            <v>0</v>
          </cell>
          <cell r="AJ24">
            <v>0</v>
          </cell>
        </row>
        <row r="25">
          <cell r="G25" t="b">
            <v>0</v>
          </cell>
          <cell r="AF25">
            <v>13</v>
          </cell>
          <cell r="AG25">
            <v>0</v>
          </cell>
          <cell r="AH25">
            <v>0</v>
          </cell>
          <cell r="AJ25">
            <v>0</v>
          </cell>
        </row>
        <row r="26">
          <cell r="G26" t="b">
            <v>0</v>
          </cell>
          <cell r="AF26">
            <v>14</v>
          </cell>
          <cell r="AG26">
            <v>0</v>
          </cell>
          <cell r="AH26">
            <v>0</v>
          </cell>
          <cell r="AJ26">
            <v>0</v>
          </cell>
        </row>
        <row r="27">
          <cell r="G27" t="b">
            <v>0</v>
          </cell>
          <cell r="AF27">
            <v>15</v>
          </cell>
          <cell r="AG27">
            <v>0</v>
          </cell>
          <cell r="AH27">
            <v>0</v>
          </cell>
          <cell r="AJ27">
            <v>0</v>
          </cell>
        </row>
        <row r="28">
          <cell r="G28" t="b">
            <v>0</v>
          </cell>
          <cell r="AF28">
            <v>16</v>
          </cell>
          <cell r="AG28">
            <v>0</v>
          </cell>
          <cell r="AH28">
            <v>0</v>
          </cell>
          <cell r="AJ28">
            <v>0</v>
          </cell>
        </row>
        <row r="29">
          <cell r="G29" t="b">
            <v>0</v>
          </cell>
          <cell r="AF29">
            <v>17</v>
          </cell>
          <cell r="AG29">
            <v>0</v>
          </cell>
          <cell r="AH29">
            <v>0</v>
          </cell>
          <cell r="AJ29">
            <v>0</v>
          </cell>
        </row>
        <row r="30">
          <cell r="G30" t="b">
            <v>0</v>
          </cell>
          <cell r="AF30">
            <v>18</v>
          </cell>
          <cell r="AG30">
            <v>0</v>
          </cell>
          <cell r="AH30">
            <v>0</v>
          </cell>
          <cell r="AJ30">
            <v>0</v>
          </cell>
        </row>
        <row r="31">
          <cell r="G31" t="b">
            <v>0</v>
          </cell>
          <cell r="AF31">
            <v>19</v>
          </cell>
          <cell r="AG31">
            <v>0</v>
          </cell>
          <cell r="AH31">
            <v>0</v>
          </cell>
          <cell r="AJ31">
            <v>0</v>
          </cell>
        </row>
        <row r="32">
          <cell r="G32" t="b">
            <v>0</v>
          </cell>
          <cell r="AF32">
            <v>20</v>
          </cell>
          <cell r="AG32">
            <v>0</v>
          </cell>
          <cell r="AH32">
            <v>0</v>
          </cell>
          <cell r="AJ32">
            <v>0</v>
          </cell>
        </row>
        <row r="38">
          <cell r="G38" t="str">
            <v>Do not change the width of the exhibit or font sizes (they are optimized for export to Word).</v>
          </cell>
        </row>
        <row r="40">
          <cell r="G40" t="str">
            <v>Do not delete any rows or columns (some gray cells are used for calculations).</v>
          </cell>
        </row>
      </sheetData>
      <sheetData sheetId="19" refreshError="1">
        <row r="1">
          <cell r="T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G11" t="str">
            <v>Highlight?</v>
          </cell>
        </row>
        <row r="12">
          <cell r="D12" t="str">
            <v>dividends</v>
          </cell>
          <cell r="E12" t="str">
            <v>dividend payout ratio</v>
          </cell>
          <cell r="AG12" t="str">
            <v>No.</v>
          </cell>
          <cell r="AH12" t="str">
            <v>HighlightYes</v>
          </cell>
          <cell r="AI12" t="str">
            <v>HighlightNo</v>
          </cell>
          <cell r="AK12" t="str">
            <v>ArrowLine</v>
          </cell>
        </row>
        <row r="13">
          <cell r="C13">
            <v>2003</v>
          </cell>
          <cell r="D13">
            <v>1.5</v>
          </cell>
          <cell r="E13">
            <v>0.35496750495172369</v>
          </cell>
          <cell r="H13" t="b">
            <v>0</v>
          </cell>
          <cell r="AG13">
            <v>1</v>
          </cell>
          <cell r="AH13">
            <v>0</v>
          </cell>
          <cell r="AI13">
            <v>1.5</v>
          </cell>
          <cell r="AK13">
            <v>1.5</v>
          </cell>
        </row>
        <row r="14">
          <cell r="C14">
            <v>2004</v>
          </cell>
          <cell r="D14">
            <v>1.5</v>
          </cell>
          <cell r="E14">
            <v>0.29928583712848106</v>
          </cell>
          <cell r="H14" t="b">
            <v>0</v>
          </cell>
          <cell r="AG14">
            <v>2</v>
          </cell>
          <cell r="AH14">
            <v>0</v>
          </cell>
          <cell r="AI14">
            <v>1.5</v>
          </cell>
          <cell r="AK14">
            <v>1.5</v>
          </cell>
        </row>
        <row r="15">
          <cell r="C15">
            <v>2005</v>
          </cell>
          <cell r="D15">
            <v>1.75</v>
          </cell>
          <cell r="E15">
            <v>0.2471011007153065</v>
          </cell>
          <cell r="H15" t="b">
            <v>0</v>
          </cell>
          <cell r="X15">
            <v>0.35496750495172369</v>
          </cell>
          <cell r="Y15">
            <v>1.5</v>
          </cell>
          <cell r="AG15">
            <v>3</v>
          </cell>
          <cell r="AH15">
            <v>0</v>
          </cell>
          <cell r="AI15">
            <v>1.75</v>
          </cell>
          <cell r="AK15">
            <v>1.75</v>
          </cell>
        </row>
        <row r="16">
          <cell r="C16">
            <v>2006</v>
          </cell>
          <cell r="D16">
            <v>2</v>
          </cell>
          <cell r="E16">
            <v>0.2128905630975233</v>
          </cell>
          <cell r="H16" t="b">
            <v>0</v>
          </cell>
          <cell r="X16">
            <v>0.29928583712848106</v>
          </cell>
          <cell r="Y16">
            <v>1.5</v>
          </cell>
          <cell r="AG16">
            <v>4</v>
          </cell>
          <cell r="AH16">
            <v>0</v>
          </cell>
          <cell r="AI16">
            <v>2</v>
          </cell>
          <cell r="AK16">
            <v>2</v>
          </cell>
        </row>
        <row r="17">
          <cell r="C17">
            <v>2007</v>
          </cell>
          <cell r="D17">
            <v>2.5</v>
          </cell>
          <cell r="E17">
            <v>0.23266612431999104</v>
          </cell>
          <cell r="H17" t="b">
            <v>0</v>
          </cell>
          <cell r="X17">
            <v>0.2471011007153065</v>
          </cell>
          <cell r="Y17">
            <v>1.75</v>
          </cell>
          <cell r="AG17">
            <v>5</v>
          </cell>
          <cell r="AH17">
            <v>0</v>
          </cell>
          <cell r="AI17">
            <v>2.5</v>
          </cell>
          <cell r="AK17">
            <v>2.5</v>
          </cell>
        </row>
        <row r="18">
          <cell r="C18" t="str">
            <v>2008e</v>
          </cell>
          <cell r="D18">
            <v>3.3818579999999998</v>
          </cell>
          <cell r="E18">
            <v>0.23316914511789721</v>
          </cell>
          <cell r="H18" t="b">
            <v>1</v>
          </cell>
          <cell r="X18">
            <v>0.2128905630975233</v>
          </cell>
          <cell r="Y18">
            <v>2</v>
          </cell>
          <cell r="AG18">
            <v>6</v>
          </cell>
          <cell r="AH18">
            <v>3.3818579999999998</v>
          </cell>
          <cell r="AI18">
            <v>0</v>
          </cell>
          <cell r="AK18">
            <v>3.3818579999999998</v>
          </cell>
        </row>
        <row r="19">
          <cell r="C19" t="str">
            <v>2009e</v>
          </cell>
          <cell r="D19">
            <v>4.64391</v>
          </cell>
          <cell r="E19">
            <v>0.2413796394220093</v>
          </cell>
          <cell r="H19" t="b">
            <v>1</v>
          </cell>
          <cell r="X19">
            <v>0.23266612431999104</v>
          </cell>
          <cell r="Y19">
            <v>2.5</v>
          </cell>
          <cell r="AG19">
            <v>7</v>
          </cell>
          <cell r="AH19">
            <v>4.64391</v>
          </cell>
          <cell r="AI19">
            <v>0</v>
          </cell>
          <cell r="AK19">
            <v>4.64391</v>
          </cell>
        </row>
        <row r="20">
          <cell r="C20" t="str">
            <v>2010e</v>
          </cell>
          <cell r="D20">
            <v>5.685314</v>
          </cell>
          <cell r="E20">
            <v>0.22662169627183337</v>
          </cell>
          <cell r="H20" t="b">
            <v>1</v>
          </cell>
          <cell r="X20">
            <v>0.23316914511789721</v>
          </cell>
          <cell r="Y20">
            <v>3.3818579999999998</v>
          </cell>
          <cell r="AG20">
            <v>8</v>
          </cell>
          <cell r="AH20">
            <v>5.685314</v>
          </cell>
          <cell r="AI20">
            <v>0</v>
          </cell>
          <cell r="AK20">
            <v>5.685314</v>
          </cell>
        </row>
        <row r="21">
          <cell r="H21" t="b">
            <v>0</v>
          </cell>
          <cell r="X21">
            <v>0.2413796394220093</v>
          </cell>
          <cell r="Y21">
            <v>4.64391</v>
          </cell>
          <cell r="AG21">
            <v>9</v>
          </cell>
          <cell r="AH21">
            <v>0</v>
          </cell>
          <cell r="AI21">
            <v>0</v>
          </cell>
          <cell r="AK21">
            <v>0</v>
          </cell>
        </row>
        <row r="22">
          <cell r="H22" t="b">
            <v>0</v>
          </cell>
          <cell r="X22">
            <v>0.22662169627183337</v>
          </cell>
          <cell r="Y22">
            <v>5.685314</v>
          </cell>
          <cell r="AG22">
            <v>10</v>
          </cell>
          <cell r="AH22">
            <v>0</v>
          </cell>
          <cell r="AI22">
            <v>0</v>
          </cell>
          <cell r="AK22">
            <v>0</v>
          </cell>
        </row>
        <row r="23">
          <cell r="H23" t="b">
            <v>0</v>
          </cell>
          <cell r="AG23">
            <v>11</v>
          </cell>
          <cell r="AH23">
            <v>0</v>
          </cell>
          <cell r="AI23">
            <v>0</v>
          </cell>
          <cell r="AK23">
            <v>0</v>
          </cell>
        </row>
        <row r="24">
          <cell r="H24" t="b">
            <v>0</v>
          </cell>
          <cell r="AG24">
            <v>12</v>
          </cell>
          <cell r="AH24">
            <v>0</v>
          </cell>
          <cell r="AI24">
            <v>0</v>
          </cell>
          <cell r="AK24">
            <v>0</v>
          </cell>
        </row>
        <row r="25">
          <cell r="H25" t="b">
            <v>0</v>
          </cell>
          <cell r="AG25">
            <v>13</v>
          </cell>
          <cell r="AH25">
            <v>0</v>
          </cell>
          <cell r="AI25">
            <v>0</v>
          </cell>
          <cell r="AK25">
            <v>0</v>
          </cell>
        </row>
        <row r="26">
          <cell r="H26" t="b">
            <v>0</v>
          </cell>
          <cell r="AG26">
            <v>14</v>
          </cell>
          <cell r="AH26">
            <v>0</v>
          </cell>
          <cell r="AI26">
            <v>0</v>
          </cell>
          <cell r="AK26">
            <v>0</v>
          </cell>
        </row>
        <row r="27">
          <cell r="H27" t="b">
            <v>0</v>
          </cell>
          <cell r="AG27">
            <v>15</v>
          </cell>
          <cell r="AH27">
            <v>0</v>
          </cell>
          <cell r="AI27">
            <v>0</v>
          </cell>
          <cell r="AK27">
            <v>0</v>
          </cell>
        </row>
        <row r="28">
          <cell r="H28" t="b">
            <v>0</v>
          </cell>
          <cell r="AG28">
            <v>16</v>
          </cell>
          <cell r="AH28">
            <v>0</v>
          </cell>
          <cell r="AI28">
            <v>0</v>
          </cell>
          <cell r="AK28">
            <v>0</v>
          </cell>
        </row>
        <row r="29">
          <cell r="H29" t="b">
            <v>0</v>
          </cell>
          <cell r="AG29">
            <v>17</v>
          </cell>
          <cell r="AH29">
            <v>0</v>
          </cell>
          <cell r="AI29">
            <v>0</v>
          </cell>
          <cell r="AK29">
            <v>0</v>
          </cell>
        </row>
        <row r="30">
          <cell r="H30" t="b">
            <v>0</v>
          </cell>
          <cell r="AG30">
            <v>18</v>
          </cell>
          <cell r="AH30">
            <v>0</v>
          </cell>
          <cell r="AI30">
            <v>0</v>
          </cell>
          <cell r="AK30">
            <v>0</v>
          </cell>
        </row>
        <row r="31">
          <cell r="H31" t="b">
            <v>0</v>
          </cell>
          <cell r="AG31">
            <v>19</v>
          </cell>
          <cell r="AH31">
            <v>0</v>
          </cell>
          <cell r="AI31">
            <v>0</v>
          </cell>
          <cell r="AK31">
            <v>0</v>
          </cell>
        </row>
        <row r="32">
          <cell r="H32" t="b">
            <v>0</v>
          </cell>
          <cell r="AG32">
            <v>20</v>
          </cell>
          <cell r="AH32">
            <v>0</v>
          </cell>
          <cell r="AI32">
            <v>0</v>
          </cell>
          <cell r="AK32">
            <v>0</v>
          </cell>
        </row>
        <row r="38">
          <cell r="H38" t="str">
            <v>Do not change the width of the exhibit or font sizes (they are optimized for export to Word).</v>
          </cell>
        </row>
        <row r="40">
          <cell r="H40" t="str">
            <v>Do not delete any rows or columns (some gray cells are used for calculations).</v>
          </cell>
        </row>
      </sheetData>
      <sheetData sheetId="20" refreshError="1">
        <row r="1">
          <cell r="S1" t="str">
            <v>SmartCharts</v>
          </cell>
        </row>
        <row r="5">
          <cell r="C5" t="str">
            <v>Define value axis here:</v>
          </cell>
        </row>
        <row r="6">
          <cell r="C6" t="str">
            <v>Value axis definition</v>
          </cell>
        </row>
        <row r="8">
          <cell r="C8" t="str">
            <v>Define highlighted areas here:</v>
          </cell>
        </row>
        <row r="9">
          <cell r="C9" t="str">
            <v>MarketView expectation</v>
          </cell>
        </row>
        <row r="11">
          <cell r="C11" t="str">
            <v>Input your data here:</v>
          </cell>
          <cell r="F11" t="str">
            <v>Highlight?</v>
          </cell>
        </row>
        <row r="12">
          <cell r="D12" t="str">
            <v>Series1</v>
          </cell>
          <cell r="AF12" t="str">
            <v>No.</v>
          </cell>
          <cell r="AG12" t="str">
            <v>HighlightYes</v>
          </cell>
          <cell r="AH12" t="str">
            <v>HighlightNo</v>
          </cell>
          <cell r="AJ12" t="str">
            <v>ArrowLine</v>
          </cell>
        </row>
        <row r="13">
          <cell r="C13">
            <v>2003</v>
          </cell>
          <cell r="G13" t="b">
            <v>0</v>
          </cell>
          <cell r="AF13">
            <v>1</v>
          </cell>
          <cell r="AG13">
            <v>0</v>
          </cell>
          <cell r="AH13">
            <v>0</v>
          </cell>
          <cell r="AJ13">
            <v>0</v>
          </cell>
        </row>
        <row r="14">
          <cell r="C14">
            <v>2004</v>
          </cell>
          <cell r="D14">
            <v>177.23304599999989</v>
          </cell>
          <cell r="G14" t="b">
            <v>0</v>
          </cell>
          <cell r="AF14">
            <v>2</v>
          </cell>
          <cell r="AG14">
            <v>0</v>
          </cell>
          <cell r="AH14">
            <v>177.23304599999989</v>
          </cell>
          <cell r="AJ14">
            <v>177.23304599999989</v>
          </cell>
        </row>
        <row r="15">
          <cell r="C15">
            <v>2005</v>
          </cell>
          <cell r="D15">
            <v>722.12711799999988</v>
          </cell>
          <cell r="G15" t="b">
            <v>0</v>
          </cell>
          <cell r="AF15">
            <v>3</v>
          </cell>
          <cell r="AG15">
            <v>0</v>
          </cell>
          <cell r="AH15">
            <v>722.12711799999988</v>
          </cell>
          <cell r="AJ15">
            <v>722.12711799999988</v>
          </cell>
        </row>
        <row r="16">
          <cell r="C16">
            <v>2006</v>
          </cell>
          <cell r="D16">
            <v>-1971.1971309999997</v>
          </cell>
          <cell r="G16" t="b">
            <v>0</v>
          </cell>
          <cell r="AF16">
            <v>4</v>
          </cell>
          <cell r="AG16">
            <v>0</v>
          </cell>
          <cell r="AH16">
            <v>-1971.1971309999997</v>
          </cell>
          <cell r="AJ16">
            <v>-1971.1971309999997</v>
          </cell>
        </row>
        <row r="17">
          <cell r="C17">
            <v>2007</v>
          </cell>
          <cell r="D17">
            <v>-5722.6101679999992</v>
          </cell>
          <cell r="G17" t="b">
            <v>0</v>
          </cell>
          <cell r="AF17">
            <v>5</v>
          </cell>
          <cell r="AG17">
            <v>0</v>
          </cell>
          <cell r="AH17">
            <v>-5722.6101679999992</v>
          </cell>
          <cell r="AJ17">
            <v>-5722.6101679999992</v>
          </cell>
        </row>
        <row r="18">
          <cell r="C18" t="str">
            <v>2008e</v>
          </cell>
          <cell r="D18">
            <v>-1644.8594304764192</v>
          </cell>
          <cell r="G18" t="b">
            <v>1</v>
          </cell>
          <cell r="AF18">
            <v>6</v>
          </cell>
          <cell r="AG18">
            <v>-1644.8594304764192</v>
          </cell>
          <cell r="AH18">
            <v>0</v>
          </cell>
          <cell r="AJ18">
            <v>-1644.8594304764192</v>
          </cell>
        </row>
        <row r="19">
          <cell r="C19" t="str">
            <v>2009e</v>
          </cell>
          <cell r="D19">
            <v>-1262.8725615223339</v>
          </cell>
          <cell r="G19" t="b">
            <v>1</v>
          </cell>
          <cell r="AF19">
            <v>7</v>
          </cell>
          <cell r="AG19">
            <v>-1262.8725615223339</v>
          </cell>
          <cell r="AH19">
            <v>0</v>
          </cell>
          <cell r="AJ19">
            <v>-1262.8725615223339</v>
          </cell>
        </row>
        <row r="20">
          <cell r="C20" t="str">
            <v>2010e</v>
          </cell>
          <cell r="D20">
            <v>-879.388901922684</v>
          </cell>
          <cell r="G20" t="b">
            <v>1</v>
          </cell>
          <cell r="AF20">
            <v>8</v>
          </cell>
          <cell r="AG20">
            <v>-879.388901922684</v>
          </cell>
          <cell r="AH20">
            <v>0</v>
          </cell>
          <cell r="AJ20">
            <v>-879.388901922684</v>
          </cell>
        </row>
        <row r="21">
          <cell r="G21" t="b">
            <v>0</v>
          </cell>
          <cell r="AF21">
            <v>9</v>
          </cell>
          <cell r="AG21">
            <v>0</v>
          </cell>
          <cell r="AH21">
            <v>0</v>
          </cell>
          <cell r="AJ21">
            <v>0</v>
          </cell>
        </row>
        <row r="22">
          <cell r="G22" t="b">
            <v>0</v>
          </cell>
          <cell r="AF22">
            <v>10</v>
          </cell>
          <cell r="AG22">
            <v>0</v>
          </cell>
          <cell r="AH22">
            <v>0</v>
          </cell>
          <cell r="AJ22">
            <v>0</v>
          </cell>
        </row>
        <row r="23">
          <cell r="G23" t="b">
            <v>0</v>
          </cell>
          <cell r="AF23">
            <v>11</v>
          </cell>
          <cell r="AG23">
            <v>0</v>
          </cell>
          <cell r="AH23">
            <v>0</v>
          </cell>
          <cell r="AJ23">
            <v>0</v>
          </cell>
        </row>
        <row r="24">
          <cell r="G24" t="b">
            <v>0</v>
          </cell>
          <cell r="AF24">
            <v>12</v>
          </cell>
          <cell r="AG24">
            <v>0</v>
          </cell>
          <cell r="AH24">
            <v>0</v>
          </cell>
          <cell r="AJ24">
            <v>0</v>
          </cell>
        </row>
        <row r="25">
          <cell r="G25" t="b">
            <v>0</v>
          </cell>
          <cell r="AF25">
            <v>13</v>
          </cell>
          <cell r="AG25">
            <v>0</v>
          </cell>
          <cell r="AH25">
            <v>0</v>
          </cell>
          <cell r="AJ25">
            <v>0</v>
          </cell>
        </row>
        <row r="26">
          <cell r="G26" t="b">
            <v>0</v>
          </cell>
          <cell r="AF26">
            <v>14</v>
          </cell>
          <cell r="AG26">
            <v>0</v>
          </cell>
          <cell r="AH26">
            <v>0</v>
          </cell>
          <cell r="AJ26">
            <v>0</v>
          </cell>
        </row>
        <row r="27">
          <cell r="G27" t="b">
            <v>0</v>
          </cell>
          <cell r="AF27">
            <v>15</v>
          </cell>
          <cell r="AG27">
            <v>0</v>
          </cell>
          <cell r="AH27">
            <v>0</v>
          </cell>
          <cell r="AJ27">
            <v>0</v>
          </cell>
        </row>
        <row r="28">
          <cell r="G28" t="b">
            <v>0</v>
          </cell>
          <cell r="AF28">
            <v>16</v>
          </cell>
          <cell r="AG28">
            <v>0</v>
          </cell>
          <cell r="AH28">
            <v>0</v>
          </cell>
          <cell r="AJ28">
            <v>0</v>
          </cell>
        </row>
        <row r="29">
          <cell r="G29" t="b">
            <v>0</v>
          </cell>
          <cell r="AF29">
            <v>17</v>
          </cell>
          <cell r="AG29">
            <v>0</v>
          </cell>
          <cell r="AH29">
            <v>0</v>
          </cell>
          <cell r="AJ29">
            <v>0</v>
          </cell>
        </row>
        <row r="30">
          <cell r="G30" t="b">
            <v>0</v>
          </cell>
          <cell r="AF30">
            <v>18</v>
          </cell>
          <cell r="AG30">
            <v>0</v>
          </cell>
          <cell r="AH30">
            <v>0</v>
          </cell>
          <cell r="AJ30">
            <v>0</v>
          </cell>
        </row>
        <row r="31">
          <cell r="G31" t="b">
            <v>0</v>
          </cell>
          <cell r="AF31">
            <v>19</v>
          </cell>
          <cell r="AG31">
            <v>0</v>
          </cell>
          <cell r="AH31">
            <v>0</v>
          </cell>
          <cell r="AJ31">
            <v>0</v>
          </cell>
        </row>
        <row r="32">
          <cell r="G32" t="b">
            <v>0</v>
          </cell>
          <cell r="AF32">
            <v>20</v>
          </cell>
          <cell r="AG32">
            <v>0</v>
          </cell>
          <cell r="AH32">
            <v>0</v>
          </cell>
          <cell r="AJ32">
            <v>0</v>
          </cell>
        </row>
        <row r="38">
          <cell r="G38" t="str">
            <v>Do not change the width of the exhibit or font sizes (they are optimized for export to Word).</v>
          </cell>
        </row>
        <row r="40">
          <cell r="G40" t="str">
            <v>Do not delete any rows or columns (some gray cells are used for calculations).</v>
          </cell>
        </row>
      </sheetData>
      <sheetData sheetId="21" refreshError="1">
        <row r="1">
          <cell r="O1" t="str">
            <v>SmartCharts</v>
          </cell>
          <cell r="AY1" t="str">
            <v>.</v>
          </cell>
        </row>
        <row r="2">
          <cell r="AY2" t="str">
            <v>.</v>
          </cell>
        </row>
        <row r="3">
          <cell r="AY3" t="str">
            <v>.</v>
          </cell>
        </row>
        <row r="4">
          <cell r="AY4" t="str">
            <v>.</v>
          </cell>
        </row>
        <row r="5">
          <cell r="C5" t="str">
            <v>Define value axis here:</v>
          </cell>
        </row>
        <row r="6">
          <cell r="C6" t="str">
            <v>Value axis definition</v>
          </cell>
        </row>
        <row r="10">
          <cell r="D10" t="str">
            <v>EPS</v>
          </cell>
          <cell r="E10" t="str">
            <v>Depreciation &amp; amortization</v>
          </cell>
          <cell r="F10" t="str">
            <v>Capital expenditures</v>
          </cell>
          <cell r="G10" t="str">
            <v>Changes in Working Capital</v>
          </cell>
          <cell r="H10" t="str">
            <v>Other activities</v>
          </cell>
          <cell r="AY10" t="str">
            <v>.</v>
          </cell>
        </row>
        <row r="11">
          <cell r="C11">
            <v>2003</v>
          </cell>
        </row>
        <row r="12">
          <cell r="C12">
            <v>2004</v>
          </cell>
          <cell r="D12">
            <v>7.9945801893321705E-2</v>
          </cell>
          <cell r="E12">
            <v>7.6815948629398292E-2</v>
          </cell>
          <cell r="F12">
            <v>-0.18968046490102697</v>
          </cell>
          <cell r="G12">
            <v>-5.5883018111168102E-2</v>
          </cell>
          <cell r="H12">
            <v>7.7132093461970469E-4</v>
          </cell>
          <cell r="U12">
            <v>7.9945801893321705E-2</v>
          </cell>
          <cell r="V12">
            <v>7.6815948629398292E-2</v>
          </cell>
          <cell r="W12">
            <v>0.18968046490102697</v>
          </cell>
          <cell r="X12">
            <v>5.5883018111168102E-2</v>
          </cell>
          <cell r="Y12">
            <v>7.7132093461970469E-4</v>
          </cell>
          <cell r="Z12">
            <v>-0.18968046490102697</v>
          </cell>
          <cell r="AA12">
            <v>-5.5883018111168102E-2</v>
          </cell>
          <cell r="AY12" t="str">
            <v>.</v>
          </cell>
        </row>
        <row r="13">
          <cell r="C13">
            <v>2005</v>
          </cell>
          <cell r="D13">
            <v>0.112967612882259</v>
          </cell>
          <cell r="E13">
            <v>6.124317209128273E-2</v>
          </cell>
          <cell r="F13">
            <v>-0.20099249463138427</v>
          </cell>
          <cell r="G13">
            <v>-0.15468398459088162</v>
          </cell>
          <cell r="H13">
            <v>3.7478084469610123E-2</v>
          </cell>
          <cell r="U13">
            <v>0.112967612882259</v>
          </cell>
          <cell r="V13">
            <v>6.124317209128273E-2</v>
          </cell>
          <cell r="W13">
            <v>0.20099249463138427</v>
          </cell>
          <cell r="X13">
            <v>0.15468398459088162</v>
          </cell>
          <cell r="Y13">
            <v>3.7478084469610123E-2</v>
          </cell>
          <cell r="Z13">
            <v>-0.20099249463138427</v>
          </cell>
          <cell r="AA13">
            <v>-0.15468398459088162</v>
          </cell>
          <cell r="AY13" t="str">
            <v>.</v>
          </cell>
        </row>
        <row r="14">
          <cell r="C14">
            <v>2006</v>
          </cell>
          <cell r="D14">
            <v>0.15942547250595618</v>
          </cell>
          <cell r="E14">
            <v>9.356012675157209E-2</v>
          </cell>
          <cell r="F14">
            <v>-0.41459417372638463</v>
          </cell>
          <cell r="G14">
            <v>-4.2491885358200379E-2</v>
          </cell>
          <cell r="H14">
            <v>4.273129648223719E-2</v>
          </cell>
          <cell r="U14">
            <v>0.15942547250595618</v>
          </cell>
          <cell r="V14">
            <v>9.356012675157209E-2</v>
          </cell>
          <cell r="W14">
            <v>0.41459417372638463</v>
          </cell>
          <cell r="X14">
            <v>4.2491885358200379E-2</v>
          </cell>
          <cell r="Y14">
            <v>4.273129648223719E-2</v>
          </cell>
          <cell r="Z14">
            <v>-0.41459417372638463</v>
          </cell>
          <cell r="AA14">
            <v>-4.2491885358200379E-2</v>
          </cell>
          <cell r="AY14" t="str">
            <v>.</v>
          </cell>
        </row>
        <row r="15">
          <cell r="C15">
            <v>2007</v>
          </cell>
          <cell r="D15">
            <v>0.21618446238326433</v>
          </cell>
          <cell r="E15">
            <v>0.12757746580736426</v>
          </cell>
          <cell r="F15">
            <v>-1</v>
          </cell>
          <cell r="G15">
            <v>-5.9079172820426691E-2</v>
          </cell>
          <cell r="H15">
            <v>1.2635053250695338E-3</v>
          </cell>
          <cell r="U15">
            <v>0.21618446238326433</v>
          </cell>
          <cell r="V15">
            <v>0.12757746580736426</v>
          </cell>
          <cell r="W15">
            <v>1</v>
          </cell>
          <cell r="X15">
            <v>5.9079172820426691E-2</v>
          </cell>
          <cell r="Y15">
            <v>1.2635053250695338E-3</v>
          </cell>
          <cell r="Z15">
            <v>-1</v>
          </cell>
          <cell r="AA15">
            <v>-5.9079172820426691E-2</v>
          </cell>
          <cell r="AY15" t="str">
            <v>.</v>
          </cell>
        </row>
        <row r="16">
          <cell r="C16" t="str">
            <v>2008e</v>
          </cell>
          <cell r="D16">
            <v>0.31378056857959363</v>
          </cell>
          <cell r="E16">
            <v>0.16731322559989192</v>
          </cell>
          <cell r="F16">
            <v>-0.38767868799905131</v>
          </cell>
          <cell r="G16">
            <v>-0.24012208801364401</v>
          </cell>
          <cell r="H16">
            <v>5.9261023964582507E-2</v>
          </cell>
          <cell r="U16">
            <v>0.31378056857959363</v>
          </cell>
          <cell r="V16">
            <v>0.16731322559989192</v>
          </cell>
          <cell r="W16">
            <v>0.38767868799905131</v>
          </cell>
          <cell r="X16">
            <v>0.24012208801364401</v>
          </cell>
          <cell r="Y16">
            <v>5.9261023964582507E-2</v>
          </cell>
          <cell r="Z16">
            <v>-0.38767868799905131</v>
          </cell>
          <cell r="AA16">
            <v>-0.24012208801364401</v>
          </cell>
          <cell r="AY16" t="str">
            <v>.</v>
          </cell>
        </row>
        <row r="17">
          <cell r="C17" t="str">
            <v>2009e</v>
          </cell>
          <cell r="D17">
            <v>0.41015983926676164</v>
          </cell>
          <cell r="E17">
            <v>0.21151206848508192</v>
          </cell>
          <cell r="F17">
            <v>-0.45554750224177926</v>
          </cell>
          <cell r="G17">
            <v>-0.2690530395822569</v>
          </cell>
          <cell r="H17">
            <v>5.5207276057322743E-2</v>
          </cell>
          <cell r="U17">
            <v>0.41015983926676164</v>
          </cell>
          <cell r="V17">
            <v>0.21151206848508192</v>
          </cell>
          <cell r="W17">
            <v>0.45554750224177926</v>
          </cell>
          <cell r="X17">
            <v>0.2690530395822569</v>
          </cell>
          <cell r="Y17">
            <v>5.5207276057322743E-2</v>
          </cell>
          <cell r="Z17">
            <v>-0.45554750224177926</v>
          </cell>
          <cell r="AA17">
            <v>-0.2690530395822569</v>
          </cell>
          <cell r="AY17" t="str">
            <v>.</v>
          </cell>
        </row>
        <row r="18">
          <cell r="C18" t="str">
            <v>2010e</v>
          </cell>
          <cell r="D18">
            <v>0.54440384618548221</v>
          </cell>
          <cell r="E18">
            <v>0.26054921262738706</v>
          </cell>
          <cell r="F18">
            <v>-0.53105468856717586</v>
          </cell>
          <cell r="G18">
            <v>-0.32624916542241911</v>
          </cell>
          <cell r="H18">
            <v>5.7765592335649193E-2</v>
          </cell>
          <cell r="U18">
            <v>0.54440384618548221</v>
          </cell>
          <cell r="V18">
            <v>0.26054921262738706</v>
          </cell>
          <cell r="W18">
            <v>0.53105468856717586</v>
          </cell>
          <cell r="X18">
            <v>0.32624916542241911</v>
          </cell>
          <cell r="Y18">
            <v>5.7765592335649193E-2</v>
          </cell>
          <cell r="Z18">
            <v>-0.53105468856717586</v>
          </cell>
          <cell r="AA18">
            <v>-0.32624916542241911</v>
          </cell>
          <cell r="AY18" t="str">
            <v>.</v>
          </cell>
        </row>
        <row r="19">
          <cell r="AY19" t="str">
            <v>.</v>
          </cell>
        </row>
        <row r="20">
          <cell r="AY20" t="str">
            <v>.</v>
          </cell>
        </row>
        <row r="21">
          <cell r="AY21" t="str">
            <v>.</v>
          </cell>
        </row>
        <row r="22">
          <cell r="AY22" t="str">
            <v>.</v>
          </cell>
        </row>
        <row r="23">
          <cell r="AY23" t="str">
            <v>.</v>
          </cell>
        </row>
        <row r="24">
          <cell r="AY24" t="str">
            <v>.</v>
          </cell>
        </row>
        <row r="25">
          <cell r="AY25" t="str">
            <v>.</v>
          </cell>
        </row>
        <row r="26">
          <cell r="AY26" t="str">
            <v>.</v>
          </cell>
        </row>
        <row r="27">
          <cell r="AY27" t="str">
            <v>.</v>
          </cell>
        </row>
        <row r="28">
          <cell r="AY28" t="str">
            <v>.</v>
          </cell>
        </row>
        <row r="29">
          <cell r="AY29" t="str">
            <v>.</v>
          </cell>
        </row>
        <row r="30">
          <cell r="AY30" t="str">
            <v>.</v>
          </cell>
        </row>
        <row r="31">
          <cell r="AY31" t="str">
            <v>.</v>
          </cell>
        </row>
        <row r="32">
          <cell r="AY32" t="str">
            <v>.</v>
          </cell>
        </row>
        <row r="33">
          <cell r="AY33" t="str">
            <v>.</v>
          </cell>
        </row>
        <row r="34">
          <cell r="AY34" t="str">
            <v>.</v>
          </cell>
        </row>
        <row r="35">
          <cell r="AY35" t="str">
            <v>.</v>
          </cell>
        </row>
        <row r="36">
          <cell r="AY36" t="str">
            <v>.</v>
          </cell>
        </row>
        <row r="37">
          <cell r="AY37" t="str">
            <v>.</v>
          </cell>
        </row>
        <row r="38">
          <cell r="AY38" t="str">
            <v>.</v>
          </cell>
        </row>
        <row r="39">
          <cell r="AY39" t="str">
            <v>.</v>
          </cell>
        </row>
        <row r="40">
          <cell r="AY40" t="str">
            <v>.</v>
          </cell>
        </row>
        <row r="41">
          <cell r="AY41" t="str">
            <v>.</v>
          </cell>
        </row>
        <row r="42">
          <cell r="AY42" t="str">
            <v>.</v>
          </cell>
        </row>
        <row r="43">
          <cell r="AY43" t="str">
            <v>.</v>
          </cell>
        </row>
        <row r="44">
          <cell r="AY44" t="str">
            <v>.</v>
          </cell>
        </row>
        <row r="45">
          <cell r="AY45" t="str">
            <v>.</v>
          </cell>
        </row>
        <row r="46">
          <cell r="AY46" t="str">
            <v>.</v>
          </cell>
        </row>
        <row r="47">
          <cell r="AY47" t="str">
            <v>.</v>
          </cell>
        </row>
        <row r="48">
          <cell r="AY48" t="str">
            <v>.</v>
          </cell>
        </row>
        <row r="49">
          <cell r="AY49" t="str">
            <v>.</v>
          </cell>
        </row>
        <row r="50">
          <cell r="AY50" t="str">
            <v>.</v>
          </cell>
        </row>
        <row r="51">
          <cell r="AY51" t="str">
            <v>.</v>
          </cell>
        </row>
        <row r="52">
          <cell r="AY52" t="str">
            <v>.</v>
          </cell>
        </row>
        <row r="53">
          <cell r="AY53" t="str">
            <v>.</v>
          </cell>
        </row>
        <row r="54">
          <cell r="AY54" t="str">
            <v>.</v>
          </cell>
        </row>
        <row r="55">
          <cell r="AY55" t="str">
            <v>.</v>
          </cell>
        </row>
        <row r="56">
          <cell r="AY56" t="str">
            <v>.</v>
          </cell>
        </row>
        <row r="57">
          <cell r="AY57" t="str">
            <v>.</v>
          </cell>
        </row>
        <row r="58">
          <cell r="AY58" t="str">
            <v>.</v>
          </cell>
        </row>
        <row r="59">
          <cell r="AY59" t="str">
            <v>.</v>
          </cell>
        </row>
        <row r="60">
          <cell r="AY60" t="str">
            <v>.</v>
          </cell>
        </row>
        <row r="61">
          <cell r="AY61" t="str">
            <v>.</v>
          </cell>
        </row>
        <row r="62">
          <cell r="AY62" t="str">
            <v>.</v>
          </cell>
        </row>
        <row r="63">
          <cell r="AY63" t="str">
            <v>.</v>
          </cell>
        </row>
        <row r="64">
          <cell r="AY64" t="str">
            <v>.</v>
          </cell>
        </row>
        <row r="65">
          <cell r="AY65" t="str">
            <v>.</v>
          </cell>
        </row>
        <row r="66">
          <cell r="AY66" t="str">
            <v>.</v>
          </cell>
        </row>
        <row r="67">
          <cell r="AY67" t="str">
            <v>.</v>
          </cell>
        </row>
        <row r="68">
          <cell r="AY68" t="str">
            <v>.</v>
          </cell>
        </row>
        <row r="69">
          <cell r="AY69" t="str">
            <v>.</v>
          </cell>
        </row>
        <row r="70">
          <cell r="AY70" t="str">
            <v>.</v>
          </cell>
        </row>
        <row r="71">
          <cell r="AY71" t="str">
            <v>.</v>
          </cell>
        </row>
        <row r="72">
          <cell r="AY72" t="str">
            <v>.</v>
          </cell>
        </row>
        <row r="73">
          <cell r="AY73" t="str">
            <v>.</v>
          </cell>
        </row>
        <row r="74">
          <cell r="AY74" t="str">
            <v>.</v>
          </cell>
        </row>
        <row r="75">
          <cell r="AY75" t="str">
            <v>.</v>
          </cell>
        </row>
        <row r="76">
          <cell r="AY76" t="str">
            <v>.</v>
          </cell>
        </row>
        <row r="77">
          <cell r="AY77" t="str">
            <v>.</v>
          </cell>
        </row>
        <row r="78">
          <cell r="AY78" t="str">
            <v>.</v>
          </cell>
        </row>
        <row r="79">
          <cell r="AY79" t="str">
            <v>.</v>
          </cell>
        </row>
        <row r="80">
          <cell r="AY80" t="str">
            <v>.</v>
          </cell>
        </row>
        <row r="81">
          <cell r="AY81" t="str">
            <v>.</v>
          </cell>
        </row>
        <row r="82">
          <cell r="AY82" t="str">
            <v>.</v>
          </cell>
        </row>
        <row r="83">
          <cell r="AY83" t="str">
            <v>.</v>
          </cell>
        </row>
        <row r="84">
          <cell r="AY84" t="str">
            <v>.</v>
          </cell>
        </row>
        <row r="85">
          <cell r="AY85" t="str">
            <v>.</v>
          </cell>
        </row>
        <row r="86">
          <cell r="AY86" t="str">
            <v>.</v>
          </cell>
        </row>
        <row r="87">
          <cell r="AY87" t="str">
            <v>.</v>
          </cell>
        </row>
        <row r="88">
          <cell r="AY88" t="str">
            <v>.</v>
          </cell>
        </row>
        <row r="89">
          <cell r="AY89" t="str">
            <v>.</v>
          </cell>
        </row>
        <row r="90">
          <cell r="AY90" t="str">
            <v>.</v>
          </cell>
        </row>
        <row r="91">
          <cell r="AY91" t="str">
            <v>.</v>
          </cell>
        </row>
        <row r="92">
          <cell r="AY92" t="str">
            <v>.</v>
          </cell>
        </row>
        <row r="93">
          <cell r="AY93" t="str">
            <v>.</v>
          </cell>
        </row>
        <row r="94">
          <cell r="AY94" t="str">
            <v>.</v>
          </cell>
        </row>
        <row r="95">
          <cell r="AY95" t="str">
            <v>.</v>
          </cell>
        </row>
        <row r="96">
          <cell r="AY96" t="str">
            <v>.</v>
          </cell>
        </row>
        <row r="97">
          <cell r="AY97" t="str">
            <v>.</v>
          </cell>
        </row>
        <row r="98">
          <cell r="AY98" t="str">
            <v>.</v>
          </cell>
        </row>
        <row r="99">
          <cell r="AY99" t="str">
            <v>.</v>
          </cell>
        </row>
        <row r="100">
          <cell r="AY100" t="str">
            <v>.</v>
          </cell>
        </row>
        <row r="101">
          <cell r="AY101" t="str">
            <v>.</v>
          </cell>
        </row>
        <row r="102">
          <cell r="AY102" t="str">
            <v>.</v>
          </cell>
        </row>
        <row r="103">
          <cell r="AY103" t="str">
            <v>.</v>
          </cell>
        </row>
        <row r="104">
          <cell r="AY104" t="str">
            <v>.</v>
          </cell>
        </row>
        <row r="105">
          <cell r="AY105" t="str">
            <v>.</v>
          </cell>
        </row>
        <row r="106">
          <cell r="AY106" t="str">
            <v>.</v>
          </cell>
        </row>
        <row r="107">
          <cell r="AY107" t="str">
            <v>.</v>
          </cell>
        </row>
        <row r="108">
          <cell r="AY108" t="str">
            <v>.</v>
          </cell>
        </row>
        <row r="109">
          <cell r="AY109" t="str">
            <v>.</v>
          </cell>
        </row>
        <row r="110">
          <cell r="AY110" t="str">
            <v>.</v>
          </cell>
        </row>
        <row r="111">
          <cell r="AY111" t="str">
            <v>.</v>
          </cell>
        </row>
        <row r="112">
          <cell r="AY112" t="str">
            <v>.</v>
          </cell>
        </row>
        <row r="113">
          <cell r="AY113" t="str">
            <v>.</v>
          </cell>
        </row>
        <row r="114">
          <cell r="AY114" t="str">
            <v>.</v>
          </cell>
        </row>
        <row r="115">
          <cell r="AY115" t="str">
            <v>.</v>
          </cell>
        </row>
        <row r="116">
          <cell r="AY116" t="str">
            <v>.</v>
          </cell>
        </row>
        <row r="117">
          <cell r="AY117" t="str">
            <v>.</v>
          </cell>
        </row>
        <row r="118">
          <cell r="AY118" t="str">
            <v>.</v>
          </cell>
        </row>
        <row r="119">
          <cell r="AY119" t="str">
            <v>.</v>
          </cell>
        </row>
        <row r="120">
          <cell r="AY120" t="str">
            <v>.</v>
          </cell>
        </row>
        <row r="121">
          <cell r="AY121" t="str">
            <v>.</v>
          </cell>
        </row>
        <row r="122">
          <cell r="AY122" t="str">
            <v>.</v>
          </cell>
        </row>
        <row r="123">
          <cell r="AY123" t="str">
            <v>.</v>
          </cell>
        </row>
        <row r="124">
          <cell r="AY124" t="str">
            <v>.</v>
          </cell>
        </row>
        <row r="125">
          <cell r="AY125" t="str">
            <v>.</v>
          </cell>
        </row>
        <row r="126">
          <cell r="AY126" t="str">
            <v>.</v>
          </cell>
        </row>
        <row r="127">
          <cell r="AY127" t="str">
            <v>.</v>
          </cell>
        </row>
        <row r="128">
          <cell r="AY128" t="str">
            <v>.</v>
          </cell>
        </row>
        <row r="129">
          <cell r="AY129" t="str">
            <v>.</v>
          </cell>
        </row>
        <row r="130">
          <cell r="AY130" t="str">
            <v>.</v>
          </cell>
        </row>
        <row r="131">
          <cell r="AY131" t="str">
            <v>.</v>
          </cell>
        </row>
        <row r="132">
          <cell r="AY132" t="str">
            <v>.</v>
          </cell>
        </row>
        <row r="133">
          <cell r="AY133" t="str">
            <v>.</v>
          </cell>
        </row>
        <row r="134">
          <cell r="AY134" t="str">
            <v>.</v>
          </cell>
        </row>
        <row r="135">
          <cell r="AY135" t="str">
            <v>.</v>
          </cell>
        </row>
        <row r="136">
          <cell r="AY136" t="str">
            <v>.</v>
          </cell>
        </row>
        <row r="137">
          <cell r="AY137" t="str">
            <v>.</v>
          </cell>
        </row>
        <row r="138">
          <cell r="AY138" t="str">
            <v>.</v>
          </cell>
        </row>
        <row r="139">
          <cell r="AY139" t="str">
            <v>.</v>
          </cell>
        </row>
        <row r="140">
          <cell r="AY140" t="str">
            <v>.</v>
          </cell>
        </row>
        <row r="141">
          <cell r="AY141" t="str">
            <v>.</v>
          </cell>
        </row>
        <row r="142">
          <cell r="AY142" t="str">
            <v>.</v>
          </cell>
        </row>
        <row r="143">
          <cell r="AY143" t="str">
            <v>.</v>
          </cell>
        </row>
        <row r="144">
          <cell r="AY144" t="str">
            <v>.</v>
          </cell>
        </row>
        <row r="145">
          <cell r="AY145" t="str">
            <v>.</v>
          </cell>
        </row>
        <row r="146">
          <cell r="AY146" t="str">
            <v>.</v>
          </cell>
        </row>
        <row r="147">
          <cell r="AY147" t="str">
            <v>.</v>
          </cell>
        </row>
        <row r="148">
          <cell r="AY148" t="str">
            <v>.</v>
          </cell>
        </row>
        <row r="149">
          <cell r="AY149" t="str">
            <v>.</v>
          </cell>
        </row>
        <row r="150">
          <cell r="AY150" t="str">
            <v>.</v>
          </cell>
        </row>
        <row r="151">
          <cell r="AY151" t="str">
            <v>.</v>
          </cell>
        </row>
        <row r="152">
          <cell r="AY152" t="str">
            <v>.</v>
          </cell>
        </row>
        <row r="153">
          <cell r="AY153" t="str">
            <v>.</v>
          </cell>
        </row>
        <row r="154">
          <cell r="AY154" t="str">
            <v>.</v>
          </cell>
        </row>
        <row r="155">
          <cell r="AY155" t="str">
            <v>.</v>
          </cell>
        </row>
        <row r="156">
          <cell r="AY156" t="str">
            <v>.</v>
          </cell>
        </row>
        <row r="157">
          <cell r="AY157" t="str">
            <v>.</v>
          </cell>
        </row>
        <row r="158">
          <cell r="AY158" t="str">
            <v>.</v>
          </cell>
        </row>
        <row r="159">
          <cell r="AY159" t="str">
            <v>.</v>
          </cell>
        </row>
        <row r="160">
          <cell r="AY160" t="str">
            <v>.</v>
          </cell>
        </row>
        <row r="161">
          <cell r="AY161" t="str">
            <v>.</v>
          </cell>
        </row>
        <row r="162">
          <cell r="AY162" t="str">
            <v>.</v>
          </cell>
        </row>
        <row r="163">
          <cell r="AY163" t="str">
            <v>.</v>
          </cell>
        </row>
        <row r="164">
          <cell r="AY164" t="str">
            <v>.</v>
          </cell>
        </row>
        <row r="165">
          <cell r="AY165" t="str">
            <v>.</v>
          </cell>
        </row>
        <row r="166">
          <cell r="AY166" t="str">
            <v>.</v>
          </cell>
        </row>
        <row r="167">
          <cell r="AY167" t="str">
            <v>.</v>
          </cell>
        </row>
        <row r="168">
          <cell r="AY168" t="str">
            <v>.</v>
          </cell>
        </row>
        <row r="169">
          <cell r="AY169" t="str">
            <v>.</v>
          </cell>
        </row>
        <row r="170">
          <cell r="AY170" t="str">
            <v>.</v>
          </cell>
        </row>
        <row r="171">
          <cell r="AY171" t="str">
            <v>.</v>
          </cell>
        </row>
        <row r="172">
          <cell r="AY172" t="str">
            <v>.</v>
          </cell>
        </row>
        <row r="173">
          <cell r="AY173" t="str">
            <v>.</v>
          </cell>
        </row>
        <row r="174">
          <cell r="AY174" t="str">
            <v>.</v>
          </cell>
        </row>
        <row r="175">
          <cell r="AY175" t="str">
            <v>.</v>
          </cell>
        </row>
        <row r="176">
          <cell r="AY176" t="str">
            <v>.</v>
          </cell>
        </row>
        <row r="177">
          <cell r="AY177" t="str">
            <v>.</v>
          </cell>
        </row>
        <row r="178">
          <cell r="AY178" t="str">
            <v>.</v>
          </cell>
        </row>
        <row r="179">
          <cell r="AY179" t="str">
            <v>.</v>
          </cell>
        </row>
        <row r="180">
          <cell r="AY180" t="str">
            <v>.</v>
          </cell>
        </row>
        <row r="181">
          <cell r="AY181" t="str">
            <v>.</v>
          </cell>
        </row>
        <row r="182">
          <cell r="AY182" t="str">
            <v>.</v>
          </cell>
        </row>
        <row r="183">
          <cell r="AY183" t="str">
            <v>.</v>
          </cell>
        </row>
        <row r="184">
          <cell r="AY184" t="str">
            <v>.</v>
          </cell>
        </row>
        <row r="185">
          <cell r="AY185" t="str">
            <v>.</v>
          </cell>
        </row>
        <row r="186">
          <cell r="AY186" t="str">
            <v>.</v>
          </cell>
        </row>
        <row r="187">
          <cell r="AY187" t="str">
            <v>.</v>
          </cell>
        </row>
        <row r="188">
          <cell r="AY188" t="str">
            <v>.</v>
          </cell>
        </row>
        <row r="189">
          <cell r="AY189" t="str">
            <v>.</v>
          </cell>
        </row>
        <row r="190">
          <cell r="AY190" t="str">
            <v>.</v>
          </cell>
        </row>
        <row r="191">
          <cell r="AY191" t="str">
            <v>.</v>
          </cell>
        </row>
        <row r="192">
          <cell r="AY192" t="str">
            <v>.</v>
          </cell>
        </row>
        <row r="193">
          <cell r="AY193" t="str">
            <v>.</v>
          </cell>
        </row>
        <row r="194">
          <cell r="AY194" t="str">
            <v>.</v>
          </cell>
        </row>
        <row r="195">
          <cell r="AY195" t="str">
            <v>.</v>
          </cell>
        </row>
        <row r="196">
          <cell r="AY196" t="str">
            <v>.</v>
          </cell>
        </row>
        <row r="197">
          <cell r="AY197" t="str">
            <v>.</v>
          </cell>
        </row>
        <row r="198">
          <cell r="AY198" t="str">
            <v>.</v>
          </cell>
        </row>
        <row r="199">
          <cell r="AY199" t="str">
            <v>.</v>
          </cell>
        </row>
        <row r="200">
          <cell r="AY200" t="str">
            <v>.</v>
          </cell>
        </row>
        <row r="201">
          <cell r="AY201" t="str">
            <v>.</v>
          </cell>
        </row>
        <row r="202">
          <cell r="AY202" t="str">
            <v>.</v>
          </cell>
        </row>
        <row r="203">
          <cell r="AY203" t="str">
            <v>.</v>
          </cell>
        </row>
        <row r="204">
          <cell r="AY204" t="str">
            <v>.</v>
          </cell>
        </row>
        <row r="205">
          <cell r="AY205" t="str">
            <v>.</v>
          </cell>
        </row>
        <row r="206">
          <cell r="AY206" t="str">
            <v>.</v>
          </cell>
        </row>
        <row r="207">
          <cell r="AY207" t="str">
            <v>.</v>
          </cell>
        </row>
        <row r="208">
          <cell r="AY208" t="str">
            <v>.</v>
          </cell>
        </row>
        <row r="209">
          <cell r="AY209" t="str">
            <v>.</v>
          </cell>
        </row>
        <row r="210">
          <cell r="AY210" t="str">
            <v>.</v>
          </cell>
        </row>
        <row r="211">
          <cell r="AY211" t="str">
            <v>.</v>
          </cell>
        </row>
        <row r="212">
          <cell r="AY212" t="str">
            <v>.</v>
          </cell>
        </row>
        <row r="213">
          <cell r="AY213" t="str">
            <v>.</v>
          </cell>
        </row>
        <row r="214">
          <cell r="AY214" t="str">
            <v>.</v>
          </cell>
        </row>
        <row r="215">
          <cell r="AY215" t="str">
            <v>.</v>
          </cell>
        </row>
        <row r="216">
          <cell r="AY216" t="str">
            <v>.</v>
          </cell>
        </row>
        <row r="217">
          <cell r="AY217" t="str">
            <v>.</v>
          </cell>
        </row>
        <row r="218">
          <cell r="AY218" t="str">
            <v>.</v>
          </cell>
        </row>
        <row r="219">
          <cell r="AY219" t="str">
            <v>.</v>
          </cell>
        </row>
        <row r="220">
          <cell r="AY220" t="str">
            <v>.</v>
          </cell>
        </row>
        <row r="221">
          <cell r="AY221" t="str">
            <v>.</v>
          </cell>
        </row>
        <row r="222">
          <cell r="AY222" t="str">
            <v>.</v>
          </cell>
        </row>
        <row r="223">
          <cell r="AY223" t="str">
            <v>.</v>
          </cell>
        </row>
        <row r="224">
          <cell r="AY224" t="str">
            <v>.</v>
          </cell>
        </row>
        <row r="225">
          <cell r="AY225" t="str">
            <v>.</v>
          </cell>
        </row>
        <row r="226">
          <cell r="AY226" t="str">
            <v>.</v>
          </cell>
        </row>
        <row r="227">
          <cell r="AY227" t="str">
            <v>.</v>
          </cell>
        </row>
        <row r="228">
          <cell r="AY228" t="str">
            <v>.</v>
          </cell>
        </row>
        <row r="229">
          <cell r="AY229" t="str">
            <v>.</v>
          </cell>
        </row>
        <row r="230">
          <cell r="AY230" t="str">
            <v>.</v>
          </cell>
        </row>
        <row r="231">
          <cell r="AY231" t="str">
            <v>.</v>
          </cell>
        </row>
        <row r="232">
          <cell r="AY232" t="str">
            <v>.</v>
          </cell>
        </row>
        <row r="233">
          <cell r="AY233" t="str">
            <v>.</v>
          </cell>
        </row>
        <row r="234">
          <cell r="AY234" t="str">
            <v>.</v>
          </cell>
        </row>
        <row r="235">
          <cell r="AY235" t="str">
            <v>.</v>
          </cell>
        </row>
        <row r="236">
          <cell r="AY236" t="str">
            <v>.</v>
          </cell>
        </row>
        <row r="237">
          <cell r="AY237" t="str">
            <v>.</v>
          </cell>
        </row>
        <row r="238">
          <cell r="AY238" t="str">
            <v>.</v>
          </cell>
        </row>
        <row r="239">
          <cell r="AY239" t="str">
            <v>.</v>
          </cell>
        </row>
        <row r="240">
          <cell r="AY240" t="str">
            <v>.</v>
          </cell>
        </row>
        <row r="241">
          <cell r="AY241" t="str">
            <v>.</v>
          </cell>
        </row>
        <row r="242">
          <cell r="AY242" t="str">
            <v>.</v>
          </cell>
        </row>
        <row r="243">
          <cell r="AY243" t="str">
            <v>.</v>
          </cell>
        </row>
        <row r="244">
          <cell r="AY244" t="str">
            <v>.</v>
          </cell>
        </row>
        <row r="245">
          <cell r="AY245" t="str">
            <v>.</v>
          </cell>
        </row>
        <row r="246">
          <cell r="AY246" t="str">
            <v>.</v>
          </cell>
        </row>
        <row r="247">
          <cell r="AY247" t="str">
            <v>.</v>
          </cell>
        </row>
        <row r="248">
          <cell r="AY248" t="str">
            <v>.</v>
          </cell>
        </row>
        <row r="249">
          <cell r="AY249" t="str">
            <v>.</v>
          </cell>
        </row>
        <row r="250">
          <cell r="AY250" t="str">
            <v>.</v>
          </cell>
        </row>
        <row r="251">
          <cell r="AY251" t="str">
            <v>.</v>
          </cell>
        </row>
        <row r="252">
          <cell r="AY252" t="str">
            <v>.</v>
          </cell>
        </row>
        <row r="253">
          <cell r="AY253" t="str">
            <v>.</v>
          </cell>
        </row>
        <row r="254">
          <cell r="AY254" t="str">
            <v>.</v>
          </cell>
        </row>
        <row r="255">
          <cell r="AY255" t="str">
            <v>.</v>
          </cell>
        </row>
        <row r="256">
          <cell r="AY256" t="str">
            <v>.</v>
          </cell>
        </row>
        <row r="257">
          <cell r="AY257" t="str">
            <v>.</v>
          </cell>
        </row>
        <row r="258">
          <cell r="AY258" t="str">
            <v>.</v>
          </cell>
        </row>
        <row r="259">
          <cell r="AY259" t="str">
            <v>.</v>
          </cell>
        </row>
        <row r="260">
          <cell r="AY260" t="str">
            <v>.</v>
          </cell>
        </row>
        <row r="261">
          <cell r="AY261" t="str">
            <v>.</v>
          </cell>
        </row>
        <row r="262">
          <cell r="AY262" t="str">
            <v>.</v>
          </cell>
        </row>
        <row r="263">
          <cell r="AY263" t="str">
            <v>.</v>
          </cell>
        </row>
        <row r="264">
          <cell r="AY264" t="str">
            <v>.</v>
          </cell>
        </row>
        <row r="265">
          <cell r="AY265" t="str">
            <v>.</v>
          </cell>
        </row>
        <row r="266">
          <cell r="AY266" t="str">
            <v>.</v>
          </cell>
        </row>
        <row r="267">
          <cell r="AY267" t="str">
            <v>.</v>
          </cell>
        </row>
        <row r="268">
          <cell r="AY268" t="str">
            <v>.</v>
          </cell>
        </row>
        <row r="269">
          <cell r="AY269" t="str">
            <v>.</v>
          </cell>
        </row>
        <row r="270">
          <cell r="AY270" t="str">
            <v>.</v>
          </cell>
        </row>
        <row r="271">
          <cell r="AY271" t="str">
            <v>.</v>
          </cell>
        </row>
        <row r="272">
          <cell r="AY272" t="str">
            <v>.</v>
          </cell>
        </row>
        <row r="273">
          <cell r="AY273" t="str">
            <v>.</v>
          </cell>
        </row>
        <row r="274">
          <cell r="AY274" t="str">
            <v>.</v>
          </cell>
        </row>
        <row r="275">
          <cell r="AY275" t="str">
            <v>.</v>
          </cell>
        </row>
        <row r="276">
          <cell r="AY276" t="str">
            <v>.</v>
          </cell>
        </row>
        <row r="277">
          <cell r="AY277" t="str">
            <v>.</v>
          </cell>
        </row>
        <row r="278">
          <cell r="AY278" t="str">
            <v>.</v>
          </cell>
        </row>
        <row r="279">
          <cell r="AY279" t="str">
            <v>.</v>
          </cell>
        </row>
        <row r="280">
          <cell r="AY280" t="str">
            <v>.</v>
          </cell>
        </row>
        <row r="281">
          <cell r="AY281" t="str">
            <v>.</v>
          </cell>
        </row>
        <row r="282">
          <cell r="AY282" t="str">
            <v>.</v>
          </cell>
        </row>
        <row r="283">
          <cell r="AY283" t="str">
            <v>.</v>
          </cell>
        </row>
        <row r="284">
          <cell r="AY284" t="str">
            <v>.</v>
          </cell>
        </row>
        <row r="285">
          <cell r="AY285" t="str">
            <v>.</v>
          </cell>
        </row>
        <row r="286">
          <cell r="AY286" t="str">
            <v>.</v>
          </cell>
        </row>
        <row r="287">
          <cell r="AY287" t="str">
            <v>.</v>
          </cell>
        </row>
        <row r="288">
          <cell r="AY288" t="str">
            <v>.</v>
          </cell>
        </row>
        <row r="289">
          <cell r="AY289" t="str">
            <v>.</v>
          </cell>
        </row>
        <row r="290">
          <cell r="AY290" t="str">
            <v>.</v>
          </cell>
        </row>
        <row r="291">
          <cell r="AY291" t="str">
            <v>.</v>
          </cell>
        </row>
        <row r="292">
          <cell r="AY292" t="str">
            <v>.</v>
          </cell>
        </row>
        <row r="293">
          <cell r="AY293" t="str">
            <v>.</v>
          </cell>
        </row>
        <row r="294">
          <cell r="AY294" t="str">
            <v>.</v>
          </cell>
        </row>
        <row r="295">
          <cell r="AY295" t="str">
            <v>.</v>
          </cell>
        </row>
        <row r="296">
          <cell r="AY296" t="str">
            <v>.</v>
          </cell>
        </row>
        <row r="297">
          <cell r="AY297" t="str">
            <v>.</v>
          </cell>
        </row>
        <row r="298">
          <cell r="AY298" t="str">
            <v>.</v>
          </cell>
        </row>
        <row r="299">
          <cell r="AY299" t="str">
            <v>.</v>
          </cell>
        </row>
        <row r="300">
          <cell r="AY300" t="str">
            <v>.</v>
          </cell>
        </row>
        <row r="301">
          <cell r="AY301" t="str">
            <v>.</v>
          </cell>
        </row>
        <row r="302">
          <cell r="AY302" t="str">
            <v>.</v>
          </cell>
        </row>
        <row r="303">
          <cell r="AY303" t="str">
            <v>.</v>
          </cell>
        </row>
        <row r="304">
          <cell r="AY304" t="str">
            <v>.</v>
          </cell>
        </row>
        <row r="305">
          <cell r="AY305" t="str">
            <v>.</v>
          </cell>
        </row>
        <row r="306">
          <cell r="AY306" t="str">
            <v>.</v>
          </cell>
        </row>
        <row r="307">
          <cell r="AY307" t="str">
            <v>.</v>
          </cell>
        </row>
        <row r="308">
          <cell r="AY308" t="str">
            <v>.</v>
          </cell>
        </row>
        <row r="309">
          <cell r="AY309" t="str">
            <v>.</v>
          </cell>
        </row>
        <row r="310">
          <cell r="AY310" t="str">
            <v>.</v>
          </cell>
        </row>
        <row r="311">
          <cell r="AY311" t="str">
            <v>.</v>
          </cell>
        </row>
        <row r="312">
          <cell r="AY312" t="str">
            <v>.</v>
          </cell>
        </row>
        <row r="313">
          <cell r="AY313" t="str">
            <v>.</v>
          </cell>
        </row>
        <row r="314">
          <cell r="AY314" t="str">
            <v>.</v>
          </cell>
        </row>
        <row r="315">
          <cell r="AY315" t="str">
            <v>.</v>
          </cell>
        </row>
        <row r="316">
          <cell r="AY316" t="str">
            <v>.</v>
          </cell>
        </row>
        <row r="317">
          <cell r="AY317" t="str">
            <v>.</v>
          </cell>
        </row>
        <row r="318">
          <cell r="AY318" t="str">
            <v>.</v>
          </cell>
        </row>
        <row r="319">
          <cell r="AY319" t="str">
            <v>.</v>
          </cell>
        </row>
        <row r="320">
          <cell r="AY320" t="str">
            <v>.</v>
          </cell>
        </row>
        <row r="321">
          <cell r="AY321" t="str">
            <v>.</v>
          </cell>
        </row>
        <row r="322">
          <cell r="AY322" t="str">
            <v>.</v>
          </cell>
        </row>
        <row r="323">
          <cell r="AY323" t="str">
            <v>.</v>
          </cell>
        </row>
        <row r="324">
          <cell r="AY324" t="str">
            <v>.</v>
          </cell>
        </row>
        <row r="325">
          <cell r="AY325" t="str">
            <v>.</v>
          </cell>
        </row>
        <row r="326">
          <cell r="AY326" t="str">
            <v>.</v>
          </cell>
        </row>
        <row r="327">
          <cell r="AY327" t="str">
            <v>.</v>
          </cell>
        </row>
        <row r="328">
          <cell r="AY328" t="str">
            <v>.</v>
          </cell>
        </row>
        <row r="329">
          <cell r="AY329" t="str">
            <v>.</v>
          </cell>
        </row>
        <row r="330">
          <cell r="AY330" t="str">
            <v>.</v>
          </cell>
        </row>
        <row r="331">
          <cell r="AY331" t="str">
            <v>.</v>
          </cell>
        </row>
        <row r="332">
          <cell r="AY332" t="str">
            <v>.</v>
          </cell>
        </row>
        <row r="333">
          <cell r="AY333" t="str">
            <v>.</v>
          </cell>
        </row>
        <row r="334">
          <cell r="AY334" t="str">
            <v>.</v>
          </cell>
        </row>
        <row r="335">
          <cell r="AY335" t="str">
            <v>.</v>
          </cell>
        </row>
        <row r="336">
          <cell r="AY336" t="str">
            <v>.</v>
          </cell>
        </row>
        <row r="337">
          <cell r="AY337" t="str">
            <v>.</v>
          </cell>
        </row>
        <row r="338">
          <cell r="AY338" t="str">
            <v>.</v>
          </cell>
        </row>
        <row r="339">
          <cell r="AY339" t="str">
            <v>.</v>
          </cell>
        </row>
        <row r="340">
          <cell r="AY340" t="str">
            <v>.</v>
          </cell>
        </row>
        <row r="341">
          <cell r="AY341" t="str">
            <v>.</v>
          </cell>
        </row>
        <row r="342">
          <cell r="AY342" t="str">
            <v>.</v>
          </cell>
        </row>
        <row r="343">
          <cell r="AY343" t="str">
            <v>.</v>
          </cell>
        </row>
        <row r="344">
          <cell r="AY344" t="str">
            <v>.</v>
          </cell>
        </row>
        <row r="345">
          <cell r="AY345" t="str">
            <v>.</v>
          </cell>
        </row>
        <row r="346">
          <cell r="AY346" t="str">
            <v>.</v>
          </cell>
        </row>
        <row r="347">
          <cell r="AY347" t="str">
            <v>.</v>
          </cell>
        </row>
        <row r="348">
          <cell r="AY348" t="str">
            <v>.</v>
          </cell>
        </row>
        <row r="349">
          <cell r="AY349" t="str">
            <v>.</v>
          </cell>
        </row>
        <row r="350">
          <cell r="AY350" t="str">
            <v>.</v>
          </cell>
        </row>
        <row r="351">
          <cell r="AY351" t="str">
            <v>.</v>
          </cell>
        </row>
        <row r="352">
          <cell r="AY352" t="str">
            <v>.</v>
          </cell>
        </row>
        <row r="353">
          <cell r="AY353" t="str">
            <v>.</v>
          </cell>
        </row>
        <row r="354">
          <cell r="AY354" t="str">
            <v>.</v>
          </cell>
        </row>
        <row r="355">
          <cell r="AY355" t="str">
            <v>.</v>
          </cell>
        </row>
        <row r="356">
          <cell r="AY356" t="str">
            <v>.</v>
          </cell>
        </row>
        <row r="357">
          <cell r="AY357" t="str">
            <v>.</v>
          </cell>
        </row>
        <row r="358">
          <cell r="AY358" t="str">
            <v>.</v>
          </cell>
        </row>
        <row r="359">
          <cell r="AY359" t="str">
            <v>.</v>
          </cell>
        </row>
        <row r="360">
          <cell r="AY360" t="str">
            <v>.</v>
          </cell>
        </row>
        <row r="361">
          <cell r="AY361" t="str">
            <v>.</v>
          </cell>
        </row>
        <row r="362">
          <cell r="AY362" t="str">
            <v>.</v>
          </cell>
        </row>
        <row r="363">
          <cell r="AY363" t="str">
            <v>.</v>
          </cell>
        </row>
        <row r="364">
          <cell r="AY364" t="str">
            <v>.</v>
          </cell>
        </row>
        <row r="365">
          <cell r="AY365" t="str">
            <v>.</v>
          </cell>
        </row>
        <row r="366">
          <cell r="AY366" t="str">
            <v>.</v>
          </cell>
        </row>
        <row r="367">
          <cell r="AY367" t="str">
            <v>.</v>
          </cell>
        </row>
        <row r="368">
          <cell r="AY368" t="str">
            <v>.</v>
          </cell>
        </row>
        <row r="369">
          <cell r="AY369" t="str">
            <v>.</v>
          </cell>
        </row>
        <row r="370">
          <cell r="AY370" t="str">
            <v>.</v>
          </cell>
        </row>
        <row r="371">
          <cell r="AY371" t="str">
            <v>.</v>
          </cell>
        </row>
        <row r="372">
          <cell r="AY372" t="str">
            <v>.</v>
          </cell>
        </row>
        <row r="373">
          <cell r="AY373" t="str">
            <v>.</v>
          </cell>
        </row>
        <row r="374">
          <cell r="AY374" t="str">
            <v>.</v>
          </cell>
        </row>
        <row r="375">
          <cell r="AY375" t="str">
            <v>.</v>
          </cell>
        </row>
        <row r="376">
          <cell r="AY376" t="str">
            <v>.</v>
          </cell>
        </row>
        <row r="377">
          <cell r="AY377" t="str">
            <v>.</v>
          </cell>
        </row>
        <row r="378">
          <cell r="AY378" t="str">
            <v>.</v>
          </cell>
        </row>
        <row r="379">
          <cell r="AY379" t="str">
            <v>.</v>
          </cell>
        </row>
        <row r="380">
          <cell r="AY380" t="str">
            <v>.</v>
          </cell>
        </row>
        <row r="381">
          <cell r="AY381" t="str">
            <v>.</v>
          </cell>
        </row>
        <row r="382">
          <cell r="AY382" t="str">
            <v>.</v>
          </cell>
        </row>
        <row r="383">
          <cell r="AY383" t="str">
            <v>.</v>
          </cell>
        </row>
        <row r="384">
          <cell r="AY384" t="str">
            <v>.</v>
          </cell>
        </row>
        <row r="385">
          <cell r="AY385" t="str">
            <v>.</v>
          </cell>
        </row>
        <row r="386">
          <cell r="AY386" t="str">
            <v>.</v>
          </cell>
        </row>
        <row r="387">
          <cell r="AY387" t="str">
            <v>.</v>
          </cell>
        </row>
        <row r="388">
          <cell r="AY388" t="str">
            <v>.</v>
          </cell>
        </row>
        <row r="389">
          <cell r="AY389" t="str">
            <v>.</v>
          </cell>
        </row>
        <row r="390">
          <cell r="AY390" t="str">
            <v>.</v>
          </cell>
        </row>
        <row r="391">
          <cell r="AY391" t="str">
            <v>.</v>
          </cell>
        </row>
        <row r="392">
          <cell r="AY392" t="str">
            <v>.</v>
          </cell>
        </row>
        <row r="393">
          <cell r="AY393" t="str">
            <v>.</v>
          </cell>
        </row>
        <row r="394">
          <cell r="AY394" t="str">
            <v>.</v>
          </cell>
        </row>
        <row r="395">
          <cell r="AY395" t="str">
            <v>.</v>
          </cell>
        </row>
        <row r="396">
          <cell r="AY396" t="str">
            <v>.</v>
          </cell>
        </row>
        <row r="397">
          <cell r="AY397" t="str">
            <v>.</v>
          </cell>
        </row>
        <row r="398">
          <cell r="AY398" t="str">
            <v>.</v>
          </cell>
        </row>
        <row r="399">
          <cell r="AY399" t="str">
            <v>.</v>
          </cell>
        </row>
        <row r="400">
          <cell r="AY400" t="str">
            <v>.</v>
          </cell>
        </row>
        <row r="401">
          <cell r="AY401" t="str">
            <v>.</v>
          </cell>
        </row>
        <row r="402">
          <cell r="AY402" t="str">
            <v>.</v>
          </cell>
        </row>
        <row r="403">
          <cell r="AY403" t="str">
            <v>.</v>
          </cell>
        </row>
        <row r="404">
          <cell r="AY404" t="str">
            <v>.</v>
          </cell>
        </row>
        <row r="405">
          <cell r="AY405" t="str">
            <v>.</v>
          </cell>
        </row>
        <row r="406">
          <cell r="AY406" t="str">
            <v>.</v>
          </cell>
        </row>
        <row r="407">
          <cell r="AY407" t="str">
            <v>.</v>
          </cell>
        </row>
        <row r="408">
          <cell r="AY408" t="str">
            <v>.</v>
          </cell>
        </row>
        <row r="409">
          <cell r="AY409" t="str">
            <v>.</v>
          </cell>
        </row>
        <row r="410">
          <cell r="AY410" t="str">
            <v>.</v>
          </cell>
        </row>
        <row r="411">
          <cell r="AY411" t="str">
            <v>.</v>
          </cell>
        </row>
        <row r="412">
          <cell r="AY412" t="str">
            <v>.</v>
          </cell>
        </row>
        <row r="413">
          <cell r="AY413" t="str">
            <v>.</v>
          </cell>
        </row>
        <row r="414">
          <cell r="AY414" t="str">
            <v>.</v>
          </cell>
        </row>
        <row r="415">
          <cell r="AY415" t="str">
            <v>.</v>
          </cell>
        </row>
        <row r="416">
          <cell r="AY416" t="str">
            <v>.</v>
          </cell>
        </row>
        <row r="417">
          <cell r="AY417" t="str">
            <v>.</v>
          </cell>
        </row>
        <row r="418">
          <cell r="AY418" t="str">
            <v>.</v>
          </cell>
        </row>
        <row r="419">
          <cell r="AY419" t="str">
            <v>.</v>
          </cell>
        </row>
        <row r="420">
          <cell r="AY420" t="str">
            <v>.</v>
          </cell>
        </row>
        <row r="421">
          <cell r="AY421" t="str">
            <v>.</v>
          </cell>
        </row>
        <row r="422">
          <cell r="AY422" t="str">
            <v>.</v>
          </cell>
        </row>
        <row r="423">
          <cell r="AY423" t="str">
            <v>.</v>
          </cell>
        </row>
        <row r="424">
          <cell r="AY424" t="str">
            <v>.</v>
          </cell>
        </row>
        <row r="425">
          <cell r="AY425" t="str">
            <v>.</v>
          </cell>
        </row>
        <row r="426">
          <cell r="AY426" t="str">
            <v>.</v>
          </cell>
        </row>
        <row r="427">
          <cell r="AY427" t="str">
            <v>.</v>
          </cell>
        </row>
        <row r="428">
          <cell r="AY428" t="str">
            <v>.</v>
          </cell>
        </row>
        <row r="429">
          <cell r="AY429" t="str">
            <v>.</v>
          </cell>
        </row>
        <row r="430">
          <cell r="AY430" t="str">
            <v>.</v>
          </cell>
        </row>
        <row r="431">
          <cell r="AY431" t="str">
            <v>.</v>
          </cell>
        </row>
        <row r="432">
          <cell r="AY432" t="str">
            <v>.</v>
          </cell>
        </row>
        <row r="433">
          <cell r="AY433" t="str">
            <v>.</v>
          </cell>
        </row>
        <row r="434">
          <cell r="AY434" t="str">
            <v>.</v>
          </cell>
        </row>
        <row r="435">
          <cell r="AY435" t="str">
            <v>.</v>
          </cell>
        </row>
        <row r="436">
          <cell r="AY436" t="str">
            <v>.</v>
          </cell>
        </row>
        <row r="437">
          <cell r="AY437" t="str">
            <v>.</v>
          </cell>
        </row>
        <row r="438">
          <cell r="AY438" t="str">
            <v>.</v>
          </cell>
        </row>
        <row r="439">
          <cell r="AY439" t="str">
            <v>.</v>
          </cell>
        </row>
        <row r="440">
          <cell r="AY440" t="str">
            <v>.</v>
          </cell>
        </row>
        <row r="441">
          <cell r="AY441" t="str">
            <v>.</v>
          </cell>
        </row>
        <row r="442">
          <cell r="AY442" t="str">
            <v>.</v>
          </cell>
        </row>
        <row r="443">
          <cell r="AY443" t="str">
            <v>.</v>
          </cell>
        </row>
        <row r="444">
          <cell r="AY444" t="str">
            <v>.</v>
          </cell>
        </row>
        <row r="445">
          <cell r="AY445" t="str">
            <v>.</v>
          </cell>
        </row>
        <row r="446">
          <cell r="AY446" t="str">
            <v>.</v>
          </cell>
        </row>
        <row r="447">
          <cell r="AY447" t="str">
            <v>.</v>
          </cell>
        </row>
        <row r="448">
          <cell r="AY448" t="str">
            <v>.</v>
          </cell>
        </row>
        <row r="449">
          <cell r="AY449" t="str">
            <v>.</v>
          </cell>
        </row>
        <row r="450">
          <cell r="AY450" t="str">
            <v>.</v>
          </cell>
        </row>
        <row r="451">
          <cell r="AY451" t="str">
            <v>.</v>
          </cell>
        </row>
        <row r="452">
          <cell r="AY452" t="str">
            <v>.</v>
          </cell>
        </row>
        <row r="453">
          <cell r="AY453" t="str">
            <v>.</v>
          </cell>
        </row>
        <row r="454">
          <cell r="AY454" t="str">
            <v>.</v>
          </cell>
        </row>
        <row r="455">
          <cell r="AY455" t="str">
            <v>.</v>
          </cell>
        </row>
        <row r="456">
          <cell r="AY456" t="str">
            <v>.</v>
          </cell>
        </row>
        <row r="457">
          <cell r="AY457" t="str">
            <v>.</v>
          </cell>
        </row>
        <row r="458">
          <cell r="AY458" t="str">
            <v>.</v>
          </cell>
        </row>
        <row r="459">
          <cell r="AY459" t="str">
            <v>.</v>
          </cell>
        </row>
        <row r="460">
          <cell r="AY460" t="str">
            <v>.</v>
          </cell>
        </row>
        <row r="461">
          <cell r="AY461" t="str">
            <v>.</v>
          </cell>
        </row>
        <row r="462">
          <cell r="AY462" t="str">
            <v>.</v>
          </cell>
        </row>
        <row r="463">
          <cell r="AY463" t="str">
            <v>.</v>
          </cell>
        </row>
        <row r="464">
          <cell r="AY464" t="str">
            <v>.</v>
          </cell>
        </row>
        <row r="465">
          <cell r="AY465" t="str">
            <v>.</v>
          </cell>
        </row>
        <row r="466">
          <cell r="AY466" t="str">
            <v>.</v>
          </cell>
        </row>
        <row r="467">
          <cell r="AY467" t="str">
            <v>.</v>
          </cell>
        </row>
        <row r="468">
          <cell r="AY468" t="str">
            <v>.</v>
          </cell>
        </row>
        <row r="469">
          <cell r="AY469" t="str">
            <v>.</v>
          </cell>
        </row>
        <row r="470">
          <cell r="AY470" t="str">
            <v>.</v>
          </cell>
        </row>
        <row r="471">
          <cell r="AY471" t="str">
            <v>.</v>
          </cell>
        </row>
        <row r="472">
          <cell r="AY472" t="str">
            <v>.</v>
          </cell>
        </row>
        <row r="473">
          <cell r="AY473" t="str">
            <v>.</v>
          </cell>
        </row>
        <row r="474">
          <cell r="AY474" t="str">
            <v>.</v>
          </cell>
        </row>
        <row r="475">
          <cell r="AY475" t="str">
            <v>.</v>
          </cell>
        </row>
        <row r="476">
          <cell r="AY476" t="str">
            <v>.</v>
          </cell>
        </row>
        <row r="477">
          <cell r="AY477" t="str">
            <v>.</v>
          </cell>
        </row>
        <row r="478">
          <cell r="AY478" t="str">
            <v>.</v>
          </cell>
        </row>
        <row r="479">
          <cell r="AY479" t="str">
            <v>.</v>
          </cell>
        </row>
        <row r="480">
          <cell r="AY480" t="str">
            <v>.</v>
          </cell>
        </row>
        <row r="481">
          <cell r="AY481" t="str">
            <v>.</v>
          </cell>
        </row>
        <row r="482">
          <cell r="AY482" t="str">
            <v>.</v>
          </cell>
        </row>
        <row r="483">
          <cell r="AY483" t="str">
            <v>.</v>
          </cell>
        </row>
        <row r="484">
          <cell r="AY484" t="str">
            <v>.</v>
          </cell>
        </row>
        <row r="485">
          <cell r="AY485" t="str">
            <v>.</v>
          </cell>
        </row>
        <row r="486">
          <cell r="AY486" t="str">
            <v>.</v>
          </cell>
        </row>
        <row r="487">
          <cell r="AY487" t="str">
            <v>.</v>
          </cell>
        </row>
        <row r="488">
          <cell r="AY488" t="str">
            <v>.</v>
          </cell>
        </row>
        <row r="489">
          <cell r="AY489" t="str">
            <v>.</v>
          </cell>
        </row>
        <row r="490">
          <cell r="AY490" t="str">
            <v>.</v>
          </cell>
        </row>
        <row r="491">
          <cell r="AY491" t="str">
            <v>.</v>
          </cell>
        </row>
        <row r="492">
          <cell r="AY492" t="str">
            <v>.</v>
          </cell>
        </row>
        <row r="493">
          <cell r="AY493" t="str">
            <v>.</v>
          </cell>
        </row>
        <row r="494">
          <cell r="AY494" t="str">
            <v>.</v>
          </cell>
        </row>
        <row r="495">
          <cell r="AY495" t="str">
            <v>.</v>
          </cell>
        </row>
        <row r="496">
          <cell r="AY496" t="str">
            <v>.</v>
          </cell>
        </row>
        <row r="497">
          <cell r="AY497" t="str">
            <v>.</v>
          </cell>
        </row>
        <row r="498">
          <cell r="AY498" t="str">
            <v>.</v>
          </cell>
        </row>
        <row r="499">
          <cell r="AY499" t="str">
            <v>.</v>
          </cell>
        </row>
        <row r="500">
          <cell r="AY500" t="str">
            <v>.</v>
          </cell>
        </row>
        <row r="501">
          <cell r="AY501" t="str">
            <v>.</v>
          </cell>
        </row>
        <row r="502">
          <cell r="AY502" t="str">
            <v>.</v>
          </cell>
        </row>
        <row r="503">
          <cell r="AY503" t="str">
            <v>.</v>
          </cell>
        </row>
        <row r="504">
          <cell r="AY504" t="str">
            <v>.</v>
          </cell>
        </row>
        <row r="505">
          <cell r="AY505" t="str">
            <v>.</v>
          </cell>
        </row>
        <row r="506">
          <cell r="AY506" t="str">
            <v>.</v>
          </cell>
        </row>
        <row r="507">
          <cell r="AY507" t="str">
            <v>.</v>
          </cell>
        </row>
        <row r="508">
          <cell r="AY508" t="str">
            <v>.</v>
          </cell>
        </row>
        <row r="509">
          <cell r="AY509" t="str">
            <v>.</v>
          </cell>
        </row>
        <row r="510">
          <cell r="AY510" t="str">
            <v>.</v>
          </cell>
        </row>
        <row r="511">
          <cell r="AY511" t="str">
            <v>.</v>
          </cell>
        </row>
        <row r="512">
          <cell r="AY512" t="str">
            <v>.</v>
          </cell>
        </row>
        <row r="513">
          <cell r="AY513" t="str">
            <v>.</v>
          </cell>
        </row>
        <row r="514">
          <cell r="AY514" t="str">
            <v>.</v>
          </cell>
        </row>
        <row r="515">
          <cell r="AY515" t="str">
            <v>.</v>
          </cell>
        </row>
        <row r="516">
          <cell r="AY516" t="str">
            <v>.</v>
          </cell>
        </row>
        <row r="517">
          <cell r="AY517" t="str">
            <v>.</v>
          </cell>
        </row>
        <row r="518">
          <cell r="AY518" t="str">
            <v>.</v>
          </cell>
        </row>
        <row r="519">
          <cell r="AY519" t="str">
            <v>.</v>
          </cell>
        </row>
        <row r="520">
          <cell r="AY520" t="str">
            <v>.</v>
          </cell>
        </row>
        <row r="521">
          <cell r="AY521" t="str">
            <v>.</v>
          </cell>
        </row>
        <row r="522">
          <cell r="AY522" t="str">
            <v>.</v>
          </cell>
        </row>
        <row r="523">
          <cell r="AY523" t="str">
            <v>.</v>
          </cell>
        </row>
        <row r="524">
          <cell r="AY524" t="str">
            <v>.</v>
          </cell>
        </row>
        <row r="525">
          <cell r="AY525" t="str">
            <v>.</v>
          </cell>
        </row>
        <row r="526">
          <cell r="AY526" t="str">
            <v>.</v>
          </cell>
        </row>
        <row r="527">
          <cell r="AY527" t="str">
            <v>.</v>
          </cell>
        </row>
        <row r="528">
          <cell r="AY528" t="str">
            <v>.</v>
          </cell>
        </row>
        <row r="529">
          <cell r="AY529" t="str">
            <v>.</v>
          </cell>
        </row>
        <row r="530">
          <cell r="AY530" t="str">
            <v>.</v>
          </cell>
        </row>
        <row r="531">
          <cell r="AY531" t="str">
            <v>.</v>
          </cell>
        </row>
        <row r="532">
          <cell r="AY532" t="str">
            <v>.</v>
          </cell>
        </row>
        <row r="533">
          <cell r="AY533" t="str">
            <v>.</v>
          </cell>
        </row>
        <row r="534">
          <cell r="AY534" t="str">
            <v>.</v>
          </cell>
        </row>
        <row r="535">
          <cell r="AY535" t="str">
            <v>.</v>
          </cell>
        </row>
        <row r="536">
          <cell r="AY536" t="str">
            <v>.</v>
          </cell>
        </row>
        <row r="537">
          <cell r="AY537" t="str">
            <v>.</v>
          </cell>
        </row>
        <row r="538">
          <cell r="AY538" t="str">
            <v>.</v>
          </cell>
        </row>
        <row r="539">
          <cell r="AY539" t="str">
            <v>.</v>
          </cell>
        </row>
        <row r="540">
          <cell r="AY540" t="str">
            <v>.</v>
          </cell>
        </row>
        <row r="541">
          <cell r="AY541" t="str">
            <v>.</v>
          </cell>
        </row>
        <row r="542">
          <cell r="AY542" t="str">
            <v>.</v>
          </cell>
        </row>
        <row r="543">
          <cell r="AY543" t="str">
            <v>.</v>
          </cell>
        </row>
        <row r="544">
          <cell r="AY544" t="str">
            <v>.</v>
          </cell>
        </row>
        <row r="545">
          <cell r="AY545" t="str">
            <v>.</v>
          </cell>
        </row>
        <row r="546">
          <cell r="AY546" t="str">
            <v>.</v>
          </cell>
        </row>
        <row r="547">
          <cell r="AY547" t="str">
            <v>.</v>
          </cell>
        </row>
        <row r="548">
          <cell r="AY548" t="str">
            <v>.</v>
          </cell>
        </row>
        <row r="549">
          <cell r="AY549" t="str">
            <v>.</v>
          </cell>
        </row>
        <row r="550">
          <cell r="AY550" t="str">
            <v>.</v>
          </cell>
        </row>
        <row r="551">
          <cell r="AY551" t="str">
            <v>.</v>
          </cell>
        </row>
        <row r="552">
          <cell r="AY552" t="str">
            <v>.</v>
          </cell>
        </row>
        <row r="553">
          <cell r="AY553" t="str">
            <v>.</v>
          </cell>
        </row>
        <row r="554">
          <cell r="AY554" t="str">
            <v>.</v>
          </cell>
        </row>
        <row r="555">
          <cell r="AY555" t="str">
            <v>.</v>
          </cell>
        </row>
        <row r="556">
          <cell r="AY556" t="str">
            <v>.</v>
          </cell>
        </row>
        <row r="557">
          <cell r="AY557" t="str">
            <v>.</v>
          </cell>
        </row>
        <row r="558">
          <cell r="AY558" t="str">
            <v>.</v>
          </cell>
        </row>
        <row r="559">
          <cell r="AY559" t="str">
            <v>.</v>
          </cell>
        </row>
        <row r="560">
          <cell r="AY560" t="str">
            <v>.</v>
          </cell>
        </row>
        <row r="561">
          <cell r="AY561" t="str">
            <v>.</v>
          </cell>
        </row>
        <row r="562">
          <cell r="AY562" t="str">
            <v>.</v>
          </cell>
        </row>
        <row r="563">
          <cell r="AY563" t="str">
            <v>.</v>
          </cell>
        </row>
        <row r="564">
          <cell r="AY564" t="str">
            <v>.</v>
          </cell>
        </row>
        <row r="565">
          <cell r="AY565" t="str">
            <v>.</v>
          </cell>
        </row>
        <row r="566">
          <cell r="AY566" t="str">
            <v>.</v>
          </cell>
        </row>
        <row r="567">
          <cell r="AY567" t="str">
            <v>.</v>
          </cell>
        </row>
        <row r="568">
          <cell r="AY568" t="str">
            <v>.</v>
          </cell>
        </row>
        <row r="569">
          <cell r="AY569" t="str">
            <v>.</v>
          </cell>
        </row>
        <row r="570">
          <cell r="AY570" t="str">
            <v>.</v>
          </cell>
        </row>
        <row r="571">
          <cell r="AY571" t="str">
            <v>.</v>
          </cell>
        </row>
        <row r="572">
          <cell r="AY572" t="str">
            <v>.</v>
          </cell>
        </row>
        <row r="573">
          <cell r="AY573" t="str">
            <v>.</v>
          </cell>
        </row>
        <row r="574">
          <cell r="AY574" t="str">
            <v>.</v>
          </cell>
        </row>
        <row r="575">
          <cell r="AY575" t="str">
            <v>.</v>
          </cell>
        </row>
        <row r="576">
          <cell r="AY576" t="str">
            <v>.</v>
          </cell>
        </row>
        <row r="577">
          <cell r="AY577" t="str">
            <v>.</v>
          </cell>
        </row>
        <row r="578">
          <cell r="AY578" t="str">
            <v>.</v>
          </cell>
        </row>
        <row r="579">
          <cell r="AY579" t="str">
            <v>.</v>
          </cell>
        </row>
        <row r="580">
          <cell r="AY580" t="str">
            <v>.</v>
          </cell>
        </row>
        <row r="581">
          <cell r="AY581" t="str">
            <v>.</v>
          </cell>
        </row>
        <row r="582">
          <cell r="AY582" t="str">
            <v>.</v>
          </cell>
        </row>
        <row r="583">
          <cell r="AY583" t="str">
            <v>.</v>
          </cell>
        </row>
        <row r="584">
          <cell r="AY584" t="str">
            <v>.</v>
          </cell>
        </row>
        <row r="585">
          <cell r="AY585" t="str">
            <v>.</v>
          </cell>
        </row>
        <row r="586">
          <cell r="AY586" t="str">
            <v>.</v>
          </cell>
        </row>
        <row r="587">
          <cell r="AY587" t="str">
            <v>.</v>
          </cell>
        </row>
        <row r="588">
          <cell r="AY588" t="str">
            <v>.</v>
          </cell>
        </row>
        <row r="589">
          <cell r="AY589" t="str">
            <v>.</v>
          </cell>
        </row>
        <row r="590">
          <cell r="AY590" t="str">
            <v>.</v>
          </cell>
        </row>
        <row r="591">
          <cell r="AY591" t="str">
            <v>.</v>
          </cell>
        </row>
        <row r="592">
          <cell r="AY592" t="str">
            <v>.</v>
          </cell>
        </row>
        <row r="593">
          <cell r="AY593" t="str">
            <v>.</v>
          </cell>
        </row>
        <row r="594">
          <cell r="AY594" t="str">
            <v>.</v>
          </cell>
        </row>
        <row r="595">
          <cell r="AY595" t="str">
            <v>.</v>
          </cell>
        </row>
        <row r="596">
          <cell r="AY596" t="str">
            <v>.</v>
          </cell>
        </row>
        <row r="597">
          <cell r="AY597" t="str">
            <v>.</v>
          </cell>
        </row>
        <row r="598">
          <cell r="AY598" t="str">
            <v>.</v>
          </cell>
        </row>
        <row r="599">
          <cell r="AY599" t="str">
            <v>.</v>
          </cell>
        </row>
        <row r="600">
          <cell r="AY600" t="str">
            <v>.</v>
          </cell>
        </row>
        <row r="601">
          <cell r="AY601" t="str">
            <v>.</v>
          </cell>
        </row>
        <row r="602">
          <cell r="AY602" t="str">
            <v>.</v>
          </cell>
        </row>
        <row r="603">
          <cell r="AY603" t="str">
            <v>.</v>
          </cell>
        </row>
        <row r="604">
          <cell r="AY604" t="str">
            <v>.</v>
          </cell>
        </row>
        <row r="605">
          <cell r="AY605" t="str">
            <v>.</v>
          </cell>
        </row>
        <row r="606">
          <cell r="AY606" t="str">
            <v>.</v>
          </cell>
        </row>
        <row r="607">
          <cell r="AY607" t="str">
            <v>.</v>
          </cell>
        </row>
        <row r="608">
          <cell r="AY608" t="str">
            <v>.</v>
          </cell>
        </row>
        <row r="609">
          <cell r="AY609" t="str">
            <v>.</v>
          </cell>
        </row>
        <row r="610">
          <cell r="AY610" t="str">
            <v>.</v>
          </cell>
        </row>
        <row r="611">
          <cell r="AY611" t="str">
            <v>.</v>
          </cell>
        </row>
        <row r="612">
          <cell r="AY612" t="str">
            <v>.</v>
          </cell>
        </row>
        <row r="613">
          <cell r="AY613" t="str">
            <v>.</v>
          </cell>
        </row>
        <row r="614">
          <cell r="AY614" t="str">
            <v>.</v>
          </cell>
        </row>
        <row r="615">
          <cell r="AY615" t="str">
            <v>.</v>
          </cell>
        </row>
        <row r="616">
          <cell r="AY616" t="str">
            <v>.</v>
          </cell>
        </row>
        <row r="617">
          <cell r="AY617" t="str">
            <v>.</v>
          </cell>
        </row>
        <row r="618">
          <cell r="AY618" t="str">
            <v>.</v>
          </cell>
        </row>
        <row r="619">
          <cell r="AY619" t="str">
            <v>.</v>
          </cell>
        </row>
        <row r="620">
          <cell r="AY620" t="str">
            <v>.</v>
          </cell>
        </row>
        <row r="621">
          <cell r="AY621" t="str">
            <v>.</v>
          </cell>
        </row>
        <row r="622">
          <cell r="AY622" t="str">
            <v>.</v>
          </cell>
        </row>
        <row r="623">
          <cell r="AY623" t="str">
            <v>.</v>
          </cell>
        </row>
        <row r="624">
          <cell r="AY624" t="str">
            <v>.</v>
          </cell>
        </row>
        <row r="625">
          <cell r="AY625" t="str">
            <v>.</v>
          </cell>
        </row>
        <row r="626">
          <cell r="AY626" t="str">
            <v>.</v>
          </cell>
        </row>
        <row r="627">
          <cell r="AY627" t="str">
            <v>.</v>
          </cell>
        </row>
        <row r="628">
          <cell r="AY628" t="str">
            <v>.</v>
          </cell>
        </row>
        <row r="629">
          <cell r="AY629" t="str">
            <v>.</v>
          </cell>
        </row>
        <row r="630">
          <cell r="AY630" t="str">
            <v>.</v>
          </cell>
        </row>
        <row r="631">
          <cell r="AY631" t="str">
            <v>.</v>
          </cell>
        </row>
        <row r="632">
          <cell r="AY632" t="str">
            <v>.</v>
          </cell>
        </row>
        <row r="633">
          <cell r="AY633" t="str">
            <v>.</v>
          </cell>
        </row>
        <row r="634">
          <cell r="AY634" t="str">
            <v>.</v>
          </cell>
        </row>
        <row r="635">
          <cell r="AY635" t="str">
            <v>.</v>
          </cell>
        </row>
        <row r="636">
          <cell r="AY636" t="str">
            <v>.</v>
          </cell>
        </row>
        <row r="637">
          <cell r="AY637" t="str">
            <v>.</v>
          </cell>
        </row>
        <row r="638">
          <cell r="AY638" t="str">
            <v>.</v>
          </cell>
        </row>
        <row r="639">
          <cell r="AY639" t="str">
            <v>.</v>
          </cell>
        </row>
        <row r="640">
          <cell r="AY640" t="str">
            <v>.</v>
          </cell>
        </row>
        <row r="641">
          <cell r="AY641" t="str">
            <v>.</v>
          </cell>
        </row>
        <row r="642">
          <cell r="AY642" t="str">
            <v>.</v>
          </cell>
        </row>
        <row r="643">
          <cell r="AY643" t="str">
            <v>.</v>
          </cell>
        </row>
        <row r="644">
          <cell r="AY644" t="str">
            <v>.</v>
          </cell>
        </row>
        <row r="645">
          <cell r="AY645" t="str">
            <v>.</v>
          </cell>
        </row>
        <row r="646">
          <cell r="AY646" t="str">
            <v>.</v>
          </cell>
        </row>
        <row r="647">
          <cell r="AY647" t="str">
            <v>.</v>
          </cell>
        </row>
        <row r="648">
          <cell r="AY648" t="str">
            <v>.</v>
          </cell>
        </row>
        <row r="649">
          <cell r="AY649" t="str">
            <v>.</v>
          </cell>
        </row>
        <row r="650">
          <cell r="AY650" t="str">
            <v>.</v>
          </cell>
        </row>
        <row r="651">
          <cell r="AY651" t="str">
            <v>.</v>
          </cell>
        </row>
        <row r="652">
          <cell r="AY652" t="str">
            <v>.</v>
          </cell>
        </row>
        <row r="653">
          <cell r="AY653" t="str">
            <v>.</v>
          </cell>
        </row>
        <row r="654">
          <cell r="AY654" t="str">
            <v>.</v>
          </cell>
        </row>
        <row r="655">
          <cell r="AY655" t="str">
            <v>.</v>
          </cell>
        </row>
        <row r="656">
          <cell r="AY656" t="str">
            <v>.</v>
          </cell>
        </row>
        <row r="657">
          <cell r="AY657" t="str">
            <v>.</v>
          </cell>
        </row>
        <row r="658">
          <cell r="AY658" t="str">
            <v>.</v>
          </cell>
        </row>
        <row r="659">
          <cell r="AY659" t="str">
            <v>.</v>
          </cell>
        </row>
        <row r="660">
          <cell r="AY660" t="str">
            <v>.</v>
          </cell>
        </row>
        <row r="661">
          <cell r="AY661" t="str">
            <v>.</v>
          </cell>
        </row>
        <row r="662">
          <cell r="AY662" t="str">
            <v>.</v>
          </cell>
        </row>
        <row r="663">
          <cell r="AY663" t="str">
            <v>.</v>
          </cell>
        </row>
        <row r="664">
          <cell r="AY664" t="str">
            <v>.</v>
          </cell>
        </row>
        <row r="665">
          <cell r="AY665" t="str">
            <v>.</v>
          </cell>
        </row>
        <row r="666">
          <cell r="AY666" t="str">
            <v>.</v>
          </cell>
        </row>
        <row r="667">
          <cell r="AY667" t="str">
            <v>.</v>
          </cell>
        </row>
        <row r="668">
          <cell r="AY668" t="str">
            <v>.</v>
          </cell>
        </row>
        <row r="669">
          <cell r="AY669" t="str">
            <v>.</v>
          </cell>
        </row>
        <row r="670">
          <cell r="AY670" t="str">
            <v>.</v>
          </cell>
        </row>
        <row r="671">
          <cell r="AY671" t="str">
            <v>.</v>
          </cell>
        </row>
        <row r="672">
          <cell r="AY672" t="str">
            <v>.</v>
          </cell>
        </row>
        <row r="673">
          <cell r="AY673" t="str">
            <v>.</v>
          </cell>
        </row>
        <row r="674">
          <cell r="AY674" t="str">
            <v>.</v>
          </cell>
        </row>
        <row r="675">
          <cell r="AY675" t="str">
            <v>.</v>
          </cell>
        </row>
        <row r="676">
          <cell r="AY676" t="str">
            <v>.</v>
          </cell>
        </row>
        <row r="677">
          <cell r="AY677" t="str">
            <v>.</v>
          </cell>
        </row>
        <row r="678">
          <cell r="AY678" t="str">
            <v>.</v>
          </cell>
        </row>
        <row r="679">
          <cell r="AY679" t="str">
            <v>.</v>
          </cell>
        </row>
        <row r="680">
          <cell r="AY680" t="str">
            <v>.</v>
          </cell>
        </row>
        <row r="681">
          <cell r="AY681" t="str">
            <v>.</v>
          </cell>
        </row>
        <row r="682">
          <cell r="AY682" t="str">
            <v>.</v>
          </cell>
        </row>
        <row r="683">
          <cell r="AY683" t="str">
            <v>.</v>
          </cell>
        </row>
        <row r="684">
          <cell r="AY684" t="str">
            <v>.</v>
          </cell>
        </row>
        <row r="685">
          <cell r="AY685" t="str">
            <v>.</v>
          </cell>
        </row>
        <row r="686">
          <cell r="AY686" t="str">
            <v>.</v>
          </cell>
        </row>
        <row r="687">
          <cell r="AY687" t="str">
            <v>.</v>
          </cell>
        </row>
        <row r="688">
          <cell r="AY688" t="str">
            <v>.</v>
          </cell>
        </row>
        <row r="689">
          <cell r="AY689" t="str">
            <v>.</v>
          </cell>
        </row>
        <row r="690">
          <cell r="AY690" t="str">
            <v>.</v>
          </cell>
        </row>
        <row r="691">
          <cell r="AY691" t="str">
            <v>.</v>
          </cell>
        </row>
        <row r="692">
          <cell r="AY692" t="str">
            <v>.</v>
          </cell>
        </row>
        <row r="693">
          <cell r="AY693" t="str">
            <v>.</v>
          </cell>
        </row>
        <row r="694">
          <cell r="AY694" t="str">
            <v>.</v>
          </cell>
        </row>
        <row r="695">
          <cell r="AY695" t="str">
            <v>.</v>
          </cell>
        </row>
        <row r="696">
          <cell r="AY696" t="str">
            <v>.</v>
          </cell>
        </row>
        <row r="697">
          <cell r="AY697" t="str">
            <v>.</v>
          </cell>
        </row>
        <row r="698">
          <cell r="AY698" t="str">
            <v>.</v>
          </cell>
        </row>
        <row r="699">
          <cell r="AY699" t="str">
            <v>.</v>
          </cell>
        </row>
        <row r="700">
          <cell r="AY700" t="str">
            <v>.</v>
          </cell>
        </row>
        <row r="701">
          <cell r="AY701" t="str">
            <v>.</v>
          </cell>
        </row>
        <row r="702">
          <cell r="AY702" t="str">
            <v>.</v>
          </cell>
        </row>
        <row r="703">
          <cell r="AY703" t="str">
            <v>.</v>
          </cell>
        </row>
        <row r="704">
          <cell r="AY704" t="str">
            <v>.</v>
          </cell>
        </row>
        <row r="705">
          <cell r="AY705" t="str">
            <v>.</v>
          </cell>
        </row>
        <row r="706">
          <cell r="AY706" t="str">
            <v>.</v>
          </cell>
        </row>
        <row r="707">
          <cell r="AY707" t="str">
            <v>.</v>
          </cell>
        </row>
        <row r="708">
          <cell r="AY708" t="str">
            <v>.</v>
          </cell>
        </row>
        <row r="709">
          <cell r="AY709" t="str">
            <v>.</v>
          </cell>
        </row>
        <row r="710">
          <cell r="AY710" t="str">
            <v>.</v>
          </cell>
        </row>
        <row r="711">
          <cell r="AY711" t="str">
            <v>.</v>
          </cell>
        </row>
        <row r="712">
          <cell r="AY712" t="str">
            <v>.</v>
          </cell>
        </row>
        <row r="713">
          <cell r="AY713" t="str">
            <v>.</v>
          </cell>
        </row>
        <row r="714">
          <cell r="AY714" t="str">
            <v>.</v>
          </cell>
        </row>
        <row r="715">
          <cell r="AY715" t="str">
            <v>.</v>
          </cell>
        </row>
        <row r="716">
          <cell r="AY716" t="str">
            <v>.</v>
          </cell>
        </row>
        <row r="717">
          <cell r="AY717" t="str">
            <v>.</v>
          </cell>
        </row>
        <row r="718">
          <cell r="AY718" t="str">
            <v>.</v>
          </cell>
        </row>
        <row r="719">
          <cell r="AY719" t="str">
            <v>.</v>
          </cell>
        </row>
        <row r="720">
          <cell r="AY720" t="str">
            <v>.</v>
          </cell>
        </row>
        <row r="721">
          <cell r="AY721" t="str">
            <v>.</v>
          </cell>
        </row>
        <row r="722">
          <cell r="AY722" t="str">
            <v>.</v>
          </cell>
        </row>
        <row r="723">
          <cell r="AY723" t="str">
            <v>.</v>
          </cell>
        </row>
        <row r="724">
          <cell r="AY724" t="str">
            <v>.</v>
          </cell>
        </row>
        <row r="725">
          <cell r="AY725" t="str">
            <v>.</v>
          </cell>
        </row>
        <row r="726">
          <cell r="AY726" t="str">
            <v>.</v>
          </cell>
        </row>
        <row r="727">
          <cell r="AY727" t="str">
            <v>.</v>
          </cell>
        </row>
        <row r="728">
          <cell r="AY728" t="str">
            <v>.</v>
          </cell>
        </row>
        <row r="729">
          <cell r="AY729" t="str">
            <v>.</v>
          </cell>
        </row>
        <row r="730">
          <cell r="AY730" t="str">
            <v>.</v>
          </cell>
        </row>
        <row r="731">
          <cell r="AY731" t="str">
            <v>.</v>
          </cell>
        </row>
        <row r="732">
          <cell r="AY732" t="str">
            <v>.</v>
          </cell>
        </row>
        <row r="733">
          <cell r="AY733" t="str">
            <v>.</v>
          </cell>
        </row>
        <row r="734">
          <cell r="AY734" t="str">
            <v>.</v>
          </cell>
        </row>
        <row r="735">
          <cell r="AY735" t="str">
            <v>.</v>
          </cell>
        </row>
        <row r="736">
          <cell r="AY736" t="str">
            <v>.</v>
          </cell>
        </row>
        <row r="737">
          <cell r="AY737" t="str">
            <v>.</v>
          </cell>
        </row>
        <row r="738">
          <cell r="AY738" t="str">
            <v>.</v>
          </cell>
        </row>
        <row r="739">
          <cell r="AY739" t="str">
            <v>.</v>
          </cell>
        </row>
        <row r="740">
          <cell r="AY740" t="str">
            <v>.</v>
          </cell>
        </row>
        <row r="741">
          <cell r="AY741" t="str">
            <v>.</v>
          </cell>
        </row>
        <row r="742">
          <cell r="AY742" t="str">
            <v>.</v>
          </cell>
        </row>
        <row r="743">
          <cell r="AY743" t="str">
            <v>.</v>
          </cell>
        </row>
        <row r="744">
          <cell r="AY744" t="str">
            <v>.</v>
          </cell>
        </row>
        <row r="745">
          <cell r="AY745" t="str">
            <v>.</v>
          </cell>
        </row>
        <row r="746">
          <cell r="AY746" t="str">
            <v>.</v>
          </cell>
        </row>
        <row r="747">
          <cell r="AY747" t="str">
            <v>.</v>
          </cell>
        </row>
        <row r="748">
          <cell r="AY748" t="str">
            <v>.</v>
          </cell>
        </row>
        <row r="749">
          <cell r="AY749" t="str">
            <v>.</v>
          </cell>
        </row>
        <row r="750">
          <cell r="AY750" t="str">
            <v>.</v>
          </cell>
        </row>
        <row r="751">
          <cell r="AY751" t="str">
            <v>.</v>
          </cell>
        </row>
        <row r="752">
          <cell r="AY752" t="str">
            <v>.</v>
          </cell>
        </row>
        <row r="753">
          <cell r="AY753" t="str">
            <v>.</v>
          </cell>
        </row>
        <row r="754">
          <cell r="AY754" t="str">
            <v>.</v>
          </cell>
        </row>
        <row r="755">
          <cell r="AY755" t="str">
            <v>.</v>
          </cell>
        </row>
        <row r="756">
          <cell r="AY756" t="str">
            <v>.</v>
          </cell>
        </row>
        <row r="757">
          <cell r="AY757" t="str">
            <v>.</v>
          </cell>
        </row>
        <row r="758">
          <cell r="AY758" t="str">
            <v>.</v>
          </cell>
        </row>
        <row r="759">
          <cell r="AY759" t="str">
            <v>.</v>
          </cell>
        </row>
        <row r="760">
          <cell r="AY760" t="str">
            <v>.</v>
          </cell>
        </row>
        <row r="761">
          <cell r="AY761" t="str">
            <v>.</v>
          </cell>
        </row>
        <row r="762">
          <cell r="AY762" t="str">
            <v>.</v>
          </cell>
        </row>
        <row r="763">
          <cell r="AY763" t="str">
            <v>.</v>
          </cell>
        </row>
        <row r="764">
          <cell r="AY764" t="str">
            <v>.</v>
          </cell>
        </row>
        <row r="765">
          <cell r="AY765" t="str">
            <v>.</v>
          </cell>
        </row>
        <row r="766">
          <cell r="AY766" t="str">
            <v>.</v>
          </cell>
        </row>
        <row r="767">
          <cell r="AY767" t="str">
            <v>.</v>
          </cell>
        </row>
        <row r="768">
          <cell r="AY768" t="str">
            <v>.</v>
          </cell>
        </row>
        <row r="769">
          <cell r="AY769" t="str">
            <v>.</v>
          </cell>
        </row>
        <row r="770">
          <cell r="AY770" t="str">
            <v>.</v>
          </cell>
        </row>
        <row r="771">
          <cell r="AY771" t="str">
            <v>.</v>
          </cell>
        </row>
        <row r="772">
          <cell r="AY772" t="str">
            <v>.</v>
          </cell>
        </row>
        <row r="773">
          <cell r="AY773" t="str">
            <v>.</v>
          </cell>
        </row>
        <row r="774">
          <cell r="AY774" t="str">
            <v>.</v>
          </cell>
        </row>
        <row r="775">
          <cell r="AY775" t="str">
            <v>.</v>
          </cell>
        </row>
        <row r="776">
          <cell r="AY776" t="str">
            <v>.</v>
          </cell>
        </row>
        <row r="777">
          <cell r="AY777" t="str">
            <v>.</v>
          </cell>
        </row>
        <row r="778">
          <cell r="AY778" t="str">
            <v>.</v>
          </cell>
        </row>
        <row r="779">
          <cell r="AY779" t="str">
            <v>.</v>
          </cell>
        </row>
        <row r="780">
          <cell r="AY780" t="str">
            <v>.</v>
          </cell>
        </row>
        <row r="781">
          <cell r="AY781" t="str">
            <v>.</v>
          </cell>
        </row>
        <row r="782">
          <cell r="AY782" t="str">
            <v>.</v>
          </cell>
        </row>
        <row r="783">
          <cell r="AY783" t="str">
            <v>.</v>
          </cell>
        </row>
        <row r="784">
          <cell r="AY784" t="str">
            <v>.</v>
          </cell>
        </row>
        <row r="785">
          <cell r="AY785" t="str">
            <v>.</v>
          </cell>
        </row>
        <row r="786">
          <cell r="AY786" t="str">
            <v>.</v>
          </cell>
        </row>
        <row r="787">
          <cell r="AY787" t="str">
            <v>.</v>
          </cell>
        </row>
        <row r="788">
          <cell r="AY788" t="str">
            <v>.</v>
          </cell>
        </row>
        <row r="789">
          <cell r="AY789" t="str">
            <v>.</v>
          </cell>
        </row>
        <row r="790">
          <cell r="AY790" t="str">
            <v>.</v>
          </cell>
        </row>
        <row r="791">
          <cell r="AY791" t="str">
            <v>.</v>
          </cell>
        </row>
        <row r="792">
          <cell r="AY792" t="str">
            <v>.</v>
          </cell>
        </row>
        <row r="793">
          <cell r="AY793" t="str">
            <v>.</v>
          </cell>
        </row>
        <row r="794">
          <cell r="AY794" t="str">
            <v>.</v>
          </cell>
        </row>
        <row r="795">
          <cell r="AY795" t="str">
            <v>.</v>
          </cell>
        </row>
        <row r="796">
          <cell r="AY796" t="str">
            <v>.</v>
          </cell>
        </row>
        <row r="797">
          <cell r="AY797" t="str">
            <v>.</v>
          </cell>
        </row>
        <row r="798">
          <cell r="AY798" t="str">
            <v>.</v>
          </cell>
        </row>
        <row r="799">
          <cell r="AY799" t="str">
            <v>.</v>
          </cell>
        </row>
        <row r="800">
          <cell r="AY800" t="str">
            <v>.</v>
          </cell>
        </row>
        <row r="801">
          <cell r="AY801" t="str">
            <v>.</v>
          </cell>
        </row>
        <row r="802">
          <cell r="AY802" t="str">
            <v>.</v>
          </cell>
        </row>
        <row r="803">
          <cell r="AY803" t="str">
            <v>.</v>
          </cell>
        </row>
        <row r="804">
          <cell r="AY804" t="str">
            <v>.</v>
          </cell>
        </row>
        <row r="805">
          <cell r="AY805" t="str">
            <v>.</v>
          </cell>
        </row>
        <row r="806">
          <cell r="AY806" t="str">
            <v>.</v>
          </cell>
        </row>
        <row r="807">
          <cell r="AY807" t="str">
            <v>.</v>
          </cell>
        </row>
        <row r="808">
          <cell r="AY808" t="str">
            <v>.</v>
          </cell>
        </row>
        <row r="809">
          <cell r="AY809" t="str">
            <v>.</v>
          </cell>
        </row>
        <row r="810">
          <cell r="AY810" t="str">
            <v>.</v>
          </cell>
        </row>
        <row r="811">
          <cell r="AY811" t="str">
            <v>.</v>
          </cell>
        </row>
        <row r="812">
          <cell r="AY812" t="str">
            <v>.</v>
          </cell>
        </row>
        <row r="813">
          <cell r="AY813" t="str">
            <v>.</v>
          </cell>
        </row>
        <row r="814">
          <cell r="AY814" t="str">
            <v>.</v>
          </cell>
        </row>
        <row r="815">
          <cell r="AY815" t="str">
            <v>.</v>
          </cell>
        </row>
        <row r="816">
          <cell r="AY816" t="str">
            <v>.</v>
          </cell>
        </row>
        <row r="817">
          <cell r="AY817" t="str">
            <v>.</v>
          </cell>
        </row>
        <row r="818">
          <cell r="AY818" t="str">
            <v>.</v>
          </cell>
        </row>
        <row r="819">
          <cell r="AY819" t="str">
            <v>.</v>
          </cell>
        </row>
        <row r="820">
          <cell r="AY820" t="str">
            <v>.</v>
          </cell>
        </row>
        <row r="821">
          <cell r="AY821" t="str">
            <v>.</v>
          </cell>
        </row>
        <row r="822">
          <cell r="AY822" t="str">
            <v>.</v>
          </cell>
        </row>
        <row r="823">
          <cell r="AY823" t="str">
            <v>.</v>
          </cell>
        </row>
        <row r="824">
          <cell r="AY824" t="str">
            <v>.</v>
          </cell>
        </row>
        <row r="825">
          <cell r="AY825" t="str">
            <v>.</v>
          </cell>
        </row>
        <row r="826">
          <cell r="AY826" t="str">
            <v>.</v>
          </cell>
        </row>
        <row r="827">
          <cell r="AY827" t="str">
            <v>.</v>
          </cell>
        </row>
        <row r="828">
          <cell r="AY828" t="str">
            <v>.</v>
          </cell>
        </row>
        <row r="829">
          <cell r="AY829" t="str">
            <v>.</v>
          </cell>
        </row>
        <row r="830">
          <cell r="AY830" t="str">
            <v>.</v>
          </cell>
        </row>
        <row r="831">
          <cell r="AY831" t="str">
            <v>.</v>
          </cell>
        </row>
        <row r="832">
          <cell r="AY832" t="str">
            <v>.</v>
          </cell>
        </row>
        <row r="833">
          <cell r="AY833" t="str">
            <v>.</v>
          </cell>
        </row>
        <row r="834">
          <cell r="AY834" t="str">
            <v>.</v>
          </cell>
        </row>
        <row r="835">
          <cell r="AY835" t="str">
            <v>.</v>
          </cell>
        </row>
        <row r="836">
          <cell r="AY836" t="str">
            <v>.</v>
          </cell>
        </row>
        <row r="837">
          <cell r="AY837" t="str">
            <v>.</v>
          </cell>
        </row>
        <row r="838">
          <cell r="AY838" t="str">
            <v>.</v>
          </cell>
        </row>
        <row r="839">
          <cell r="AY839" t="str">
            <v>.</v>
          </cell>
        </row>
        <row r="840">
          <cell r="AY840" t="str">
            <v>.</v>
          </cell>
        </row>
        <row r="841">
          <cell r="AY841" t="str">
            <v>.</v>
          </cell>
        </row>
        <row r="842">
          <cell r="AY842" t="str">
            <v>.</v>
          </cell>
        </row>
        <row r="843">
          <cell r="AY843" t="str">
            <v>.</v>
          </cell>
        </row>
        <row r="844">
          <cell r="AY844" t="str">
            <v>.</v>
          </cell>
        </row>
        <row r="845">
          <cell r="AY845" t="str">
            <v>.</v>
          </cell>
        </row>
        <row r="846">
          <cell r="AY846" t="str">
            <v>.</v>
          </cell>
        </row>
        <row r="847">
          <cell r="AY847" t="str">
            <v>.</v>
          </cell>
        </row>
        <row r="848">
          <cell r="AY848" t="str">
            <v>.</v>
          </cell>
        </row>
        <row r="849">
          <cell r="AY849" t="str">
            <v>.</v>
          </cell>
        </row>
        <row r="850">
          <cell r="AY850" t="str">
            <v>.</v>
          </cell>
        </row>
        <row r="851">
          <cell r="AY851" t="str">
            <v>.</v>
          </cell>
        </row>
        <row r="852">
          <cell r="AY852" t="str">
            <v>.</v>
          </cell>
        </row>
        <row r="853">
          <cell r="AY853" t="str">
            <v>.</v>
          </cell>
        </row>
        <row r="854">
          <cell r="AY854" t="str">
            <v>.</v>
          </cell>
        </row>
        <row r="855">
          <cell r="AY855" t="str">
            <v>.</v>
          </cell>
        </row>
        <row r="856">
          <cell r="AY856" t="str">
            <v>.</v>
          </cell>
        </row>
        <row r="857">
          <cell r="AY857" t="str">
            <v>.</v>
          </cell>
        </row>
        <row r="858">
          <cell r="AY858" t="str">
            <v>.</v>
          </cell>
        </row>
        <row r="859">
          <cell r="AY859" t="str">
            <v>.</v>
          </cell>
        </row>
        <row r="860">
          <cell r="AY860" t="str">
            <v>.</v>
          </cell>
        </row>
        <row r="861">
          <cell r="AY861" t="str">
            <v>.</v>
          </cell>
        </row>
        <row r="862">
          <cell r="AY862" t="str">
            <v>.</v>
          </cell>
        </row>
        <row r="863">
          <cell r="AY863" t="str">
            <v>.</v>
          </cell>
        </row>
        <row r="864">
          <cell r="AY864" t="str">
            <v>.</v>
          </cell>
        </row>
        <row r="865">
          <cell r="AY865" t="str">
            <v>.</v>
          </cell>
        </row>
        <row r="866">
          <cell r="AY866" t="str">
            <v>.</v>
          </cell>
        </row>
        <row r="867">
          <cell r="AY867" t="str">
            <v>.</v>
          </cell>
        </row>
        <row r="868">
          <cell r="AY868" t="str">
            <v>.</v>
          </cell>
        </row>
        <row r="869">
          <cell r="AY869" t="str">
            <v>.</v>
          </cell>
        </row>
        <row r="870">
          <cell r="AY870" t="str">
            <v>.</v>
          </cell>
        </row>
        <row r="871">
          <cell r="AY871" t="str">
            <v>.</v>
          </cell>
        </row>
        <row r="872">
          <cell r="AY872" t="str">
            <v>.</v>
          </cell>
        </row>
        <row r="873">
          <cell r="AY873" t="str">
            <v>.</v>
          </cell>
        </row>
        <row r="874">
          <cell r="AY874" t="str">
            <v>.</v>
          </cell>
        </row>
        <row r="875">
          <cell r="AY875" t="str">
            <v>.</v>
          </cell>
        </row>
        <row r="876">
          <cell r="AY876" t="str">
            <v>.</v>
          </cell>
        </row>
        <row r="877">
          <cell r="AY877" t="str">
            <v>.</v>
          </cell>
        </row>
        <row r="878">
          <cell r="AY878" t="str">
            <v>.</v>
          </cell>
        </row>
        <row r="879">
          <cell r="AY879" t="str">
            <v>.</v>
          </cell>
        </row>
        <row r="880">
          <cell r="AY880" t="str">
            <v>.</v>
          </cell>
        </row>
        <row r="881">
          <cell r="AY881" t="str">
            <v>.</v>
          </cell>
        </row>
        <row r="882">
          <cell r="AY882" t="str">
            <v>.</v>
          </cell>
        </row>
        <row r="883">
          <cell r="AY883" t="str">
            <v>.</v>
          </cell>
        </row>
        <row r="884">
          <cell r="AY884" t="str">
            <v>.</v>
          </cell>
        </row>
        <row r="885">
          <cell r="AY885" t="str">
            <v>.</v>
          </cell>
        </row>
        <row r="886">
          <cell r="AY886" t="str">
            <v>.</v>
          </cell>
        </row>
        <row r="887">
          <cell r="AY887" t="str">
            <v>.</v>
          </cell>
        </row>
        <row r="888">
          <cell r="AY888" t="str">
            <v>.</v>
          </cell>
        </row>
        <row r="889">
          <cell r="AY889" t="str">
            <v>.</v>
          </cell>
        </row>
        <row r="890">
          <cell r="AY890" t="str">
            <v>.</v>
          </cell>
        </row>
        <row r="891">
          <cell r="AY891" t="str">
            <v>.</v>
          </cell>
        </row>
        <row r="892">
          <cell r="AY892" t="str">
            <v>.</v>
          </cell>
        </row>
        <row r="893">
          <cell r="AY893" t="str">
            <v>.</v>
          </cell>
        </row>
        <row r="894">
          <cell r="AY894" t="str">
            <v>.</v>
          </cell>
        </row>
        <row r="895">
          <cell r="AY895" t="str">
            <v>.</v>
          </cell>
        </row>
        <row r="896">
          <cell r="AY896" t="str">
            <v>.</v>
          </cell>
        </row>
        <row r="897">
          <cell r="AY897" t="str">
            <v>.</v>
          </cell>
        </row>
        <row r="898">
          <cell r="AY898" t="str">
            <v>.</v>
          </cell>
        </row>
        <row r="899">
          <cell r="AY899" t="str">
            <v>.</v>
          </cell>
        </row>
        <row r="900">
          <cell r="AY900" t="str">
            <v>.</v>
          </cell>
        </row>
        <row r="901">
          <cell r="AY901" t="str">
            <v>.</v>
          </cell>
        </row>
        <row r="902">
          <cell r="AY902" t="str">
            <v>.</v>
          </cell>
        </row>
        <row r="903">
          <cell r="AY903" t="str">
            <v>.</v>
          </cell>
        </row>
        <row r="904">
          <cell r="AY904" t="str">
            <v>.</v>
          </cell>
        </row>
        <row r="905">
          <cell r="AY905" t="str">
            <v>.</v>
          </cell>
        </row>
        <row r="906">
          <cell r="AY906" t="str">
            <v>.</v>
          </cell>
        </row>
        <row r="907">
          <cell r="AY907" t="str">
            <v>.</v>
          </cell>
        </row>
        <row r="908">
          <cell r="AY908" t="str">
            <v>.</v>
          </cell>
        </row>
        <row r="909">
          <cell r="AY909" t="str">
            <v>.</v>
          </cell>
        </row>
        <row r="910">
          <cell r="AY910" t="str">
            <v>.</v>
          </cell>
        </row>
        <row r="911">
          <cell r="AY911" t="str">
            <v>.</v>
          </cell>
        </row>
        <row r="912">
          <cell r="AY912" t="str">
            <v>.</v>
          </cell>
        </row>
        <row r="913">
          <cell r="AY913" t="str">
            <v>.</v>
          </cell>
        </row>
        <row r="914">
          <cell r="AY914" t="str">
            <v>.</v>
          </cell>
        </row>
        <row r="915">
          <cell r="AY915" t="str">
            <v>.</v>
          </cell>
        </row>
        <row r="916">
          <cell r="AY916" t="str">
            <v>.</v>
          </cell>
        </row>
        <row r="917">
          <cell r="AY917" t="str">
            <v>.</v>
          </cell>
        </row>
        <row r="918">
          <cell r="AY918" t="str">
            <v>.</v>
          </cell>
        </row>
        <row r="919">
          <cell r="AY919" t="str">
            <v>.</v>
          </cell>
        </row>
        <row r="920">
          <cell r="AY920" t="str">
            <v>.</v>
          </cell>
        </row>
        <row r="921">
          <cell r="AY921" t="str">
            <v>.</v>
          </cell>
        </row>
        <row r="922">
          <cell r="AY922" t="str">
            <v>.</v>
          </cell>
        </row>
        <row r="923">
          <cell r="AY923" t="str">
            <v>.</v>
          </cell>
        </row>
        <row r="924">
          <cell r="AY924" t="str">
            <v>.</v>
          </cell>
        </row>
        <row r="925">
          <cell r="AY925" t="str">
            <v>.</v>
          </cell>
        </row>
        <row r="926">
          <cell r="AY926" t="str">
            <v>.</v>
          </cell>
        </row>
        <row r="927">
          <cell r="AY927" t="str">
            <v>.</v>
          </cell>
        </row>
        <row r="928">
          <cell r="AY928" t="str">
            <v>.</v>
          </cell>
        </row>
        <row r="929">
          <cell r="AY929" t="str">
            <v>.</v>
          </cell>
        </row>
        <row r="930">
          <cell r="AY930" t="str">
            <v>.</v>
          </cell>
        </row>
        <row r="931">
          <cell r="AY931" t="str">
            <v>.</v>
          </cell>
        </row>
        <row r="932">
          <cell r="AY932" t="str">
            <v>.</v>
          </cell>
        </row>
        <row r="933">
          <cell r="AY933" t="str">
            <v>.</v>
          </cell>
        </row>
        <row r="934">
          <cell r="AY934" t="str">
            <v>.</v>
          </cell>
        </row>
        <row r="935">
          <cell r="AY935" t="str">
            <v>.</v>
          </cell>
        </row>
        <row r="936">
          <cell r="AY936" t="str">
            <v>.</v>
          </cell>
        </row>
        <row r="937">
          <cell r="AY937" t="str">
            <v>.</v>
          </cell>
        </row>
        <row r="938">
          <cell r="AY938" t="str">
            <v>.</v>
          </cell>
        </row>
        <row r="939">
          <cell r="AY939" t="str">
            <v>.</v>
          </cell>
        </row>
        <row r="940">
          <cell r="AY940" t="str">
            <v>.</v>
          </cell>
        </row>
        <row r="941">
          <cell r="AY941" t="str">
            <v>.</v>
          </cell>
        </row>
        <row r="942">
          <cell r="AY942" t="str">
            <v>.</v>
          </cell>
        </row>
        <row r="943">
          <cell r="AY943" t="str">
            <v>.</v>
          </cell>
        </row>
        <row r="944">
          <cell r="AY944" t="str">
            <v>.</v>
          </cell>
        </row>
        <row r="945">
          <cell r="AY945" t="str">
            <v>.</v>
          </cell>
        </row>
        <row r="946">
          <cell r="AY946" t="str">
            <v>.</v>
          </cell>
        </row>
        <row r="947">
          <cell r="AY947" t="str">
            <v>.</v>
          </cell>
        </row>
        <row r="948">
          <cell r="AY948" t="str">
            <v>.</v>
          </cell>
        </row>
        <row r="949">
          <cell r="AY949" t="str">
            <v>.</v>
          </cell>
        </row>
        <row r="950">
          <cell r="AY950" t="str">
            <v>.</v>
          </cell>
        </row>
        <row r="951">
          <cell r="AY951" t="str">
            <v>.</v>
          </cell>
        </row>
        <row r="952">
          <cell r="AY952" t="str">
            <v>.</v>
          </cell>
        </row>
        <row r="953">
          <cell r="AY953" t="str">
            <v>.</v>
          </cell>
        </row>
        <row r="954">
          <cell r="AY954" t="str">
            <v>.</v>
          </cell>
        </row>
        <row r="955">
          <cell r="AY955" t="str">
            <v>.</v>
          </cell>
        </row>
        <row r="956">
          <cell r="AY956" t="str">
            <v>.</v>
          </cell>
        </row>
        <row r="957">
          <cell r="AY957" t="str">
            <v>.</v>
          </cell>
        </row>
        <row r="958">
          <cell r="AY958" t="str">
            <v>.</v>
          </cell>
        </row>
        <row r="959">
          <cell r="AY959" t="str">
            <v>.</v>
          </cell>
        </row>
        <row r="960">
          <cell r="AY960" t="str">
            <v>.</v>
          </cell>
        </row>
        <row r="961">
          <cell r="AY961" t="str">
            <v>.</v>
          </cell>
        </row>
        <row r="962">
          <cell r="AY962" t="str">
            <v>.</v>
          </cell>
        </row>
        <row r="963">
          <cell r="AY963" t="str">
            <v>.</v>
          </cell>
        </row>
        <row r="964">
          <cell r="AY964" t="str">
            <v>.</v>
          </cell>
        </row>
        <row r="965">
          <cell r="AY965" t="str">
            <v>.</v>
          </cell>
        </row>
        <row r="966">
          <cell r="AY966" t="str">
            <v>.</v>
          </cell>
        </row>
        <row r="967">
          <cell r="AY967" t="str">
            <v>.</v>
          </cell>
        </row>
        <row r="968">
          <cell r="AY968" t="str">
            <v>.</v>
          </cell>
        </row>
        <row r="969">
          <cell r="AY969" t="str">
            <v>.</v>
          </cell>
        </row>
        <row r="970">
          <cell r="AY970" t="str">
            <v>.</v>
          </cell>
        </row>
        <row r="971">
          <cell r="AY971" t="str">
            <v>.</v>
          </cell>
        </row>
        <row r="972">
          <cell r="AY972" t="str">
            <v>.</v>
          </cell>
        </row>
        <row r="973">
          <cell r="AY973" t="str">
            <v>.</v>
          </cell>
        </row>
        <row r="974">
          <cell r="AY974" t="str">
            <v>.</v>
          </cell>
        </row>
        <row r="975">
          <cell r="AY975" t="str">
            <v>.</v>
          </cell>
        </row>
        <row r="976">
          <cell r="AY976" t="str">
            <v>.</v>
          </cell>
        </row>
        <row r="977">
          <cell r="AY977" t="str">
            <v>.</v>
          </cell>
        </row>
        <row r="978">
          <cell r="AY978" t="str">
            <v>.</v>
          </cell>
        </row>
        <row r="979">
          <cell r="AY979" t="str">
            <v>.</v>
          </cell>
        </row>
        <row r="980">
          <cell r="AY980" t="str">
            <v>.</v>
          </cell>
        </row>
        <row r="981">
          <cell r="AY981" t="str">
            <v>.</v>
          </cell>
        </row>
        <row r="982">
          <cell r="AY982" t="str">
            <v>.</v>
          </cell>
        </row>
        <row r="983">
          <cell r="AY983" t="str">
            <v>.</v>
          </cell>
        </row>
        <row r="984">
          <cell r="AY984" t="str">
            <v>.</v>
          </cell>
        </row>
        <row r="985">
          <cell r="AY985" t="str">
            <v>.</v>
          </cell>
        </row>
        <row r="986">
          <cell r="AY986" t="str">
            <v>.</v>
          </cell>
        </row>
        <row r="987">
          <cell r="AY987" t="str">
            <v>.</v>
          </cell>
        </row>
        <row r="988">
          <cell r="AY988" t="str">
            <v>.</v>
          </cell>
        </row>
        <row r="989">
          <cell r="AY989" t="str">
            <v>.</v>
          </cell>
        </row>
        <row r="990">
          <cell r="AY990" t="str">
            <v>.</v>
          </cell>
        </row>
        <row r="991">
          <cell r="AY991" t="str">
            <v>.</v>
          </cell>
        </row>
        <row r="992">
          <cell r="AY992" t="str">
            <v>.</v>
          </cell>
        </row>
        <row r="993">
          <cell r="AY993" t="str">
            <v>.</v>
          </cell>
        </row>
        <row r="994">
          <cell r="AY994" t="str">
            <v>.</v>
          </cell>
        </row>
        <row r="995">
          <cell r="AY995" t="str">
            <v>.</v>
          </cell>
        </row>
        <row r="996">
          <cell r="A996" t="str">
            <v>.</v>
          </cell>
          <cell r="B996" t="str">
            <v>.</v>
          </cell>
          <cell r="C996" t="str">
            <v>.</v>
          </cell>
          <cell r="D996" t="str">
            <v>.</v>
          </cell>
          <cell r="E996" t="str">
            <v>.</v>
          </cell>
          <cell r="F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row>
      </sheetData>
      <sheetData sheetId="22"/>
      <sheetData sheetId="23" refreshError="1">
        <row r="1">
          <cell r="B1" t="str">
            <v>Rolta India Ltd.</v>
          </cell>
        </row>
        <row r="2">
          <cell r="B2" t="str">
            <v xml:space="preserve">relative to </v>
          </cell>
        </row>
        <row r="3">
          <cell r="B3" t="str">
            <v>Information Technology</v>
          </cell>
        </row>
        <row r="5">
          <cell r="D5" t="str">
            <v>Rolta India Ltd.</v>
          </cell>
        </row>
        <row r="6">
          <cell r="D6" t="str">
            <v>Percentile range (vs. peers)</v>
          </cell>
          <cell r="J6" t="str">
            <v>Peer
median</v>
          </cell>
        </row>
        <row r="7">
          <cell r="B7" t="str">
            <v>Valuation</v>
          </cell>
          <cell r="C7" t="str">
            <v xml:space="preserve">  0          20         40         60         80     100%</v>
          </cell>
        </row>
        <row r="8">
          <cell r="B8" t="str">
            <v>P/E LTM</v>
          </cell>
          <cell r="G8">
            <v>21.621870000000001</v>
          </cell>
          <cell r="J8">
            <v>13.394874999999999</v>
          </cell>
        </row>
        <row r="9">
          <cell r="B9" t="str">
            <v>P/E (FY1)</v>
          </cell>
          <cell r="H9">
            <v>20.694458166823328</v>
          </cell>
          <cell r="J9">
            <v>14.085775039027197</v>
          </cell>
        </row>
        <row r="10">
          <cell r="B10" t="str">
            <v>P/E (FY2)</v>
          </cell>
          <cell r="H10">
            <v>15.599014634957593</v>
          </cell>
          <cell r="J10">
            <v>11.178371391641534</v>
          </cell>
        </row>
        <row r="11">
          <cell r="B11" t="str">
            <v>P/Book</v>
          </cell>
          <cell r="G11">
            <v>3.5718800000000002</v>
          </cell>
          <cell r="J11">
            <v>2.86226</v>
          </cell>
        </row>
        <row r="12">
          <cell r="B12" t="str">
            <v>P/CF</v>
          </cell>
          <cell r="G12">
            <v>13.40723</v>
          </cell>
          <cell r="J12">
            <v>11.400309999999999</v>
          </cell>
        </row>
        <row r="13">
          <cell r="B13" t="str">
            <v>P/Sales</v>
          </cell>
          <cell r="H13">
            <v>5.2475399999999999</v>
          </cell>
          <cell r="J13">
            <v>1.9415499999999999</v>
          </cell>
        </row>
        <row r="14">
          <cell r="B14" t="str">
            <v>EV/Ebitda</v>
          </cell>
          <cell r="G14">
            <v>16.154547701816412</v>
          </cell>
          <cell r="J14">
            <v>10.658766575267769</v>
          </cell>
        </row>
        <row r="15">
          <cell r="B15" t="str">
            <v>EV/Sales</v>
          </cell>
          <cell r="H15">
            <v>5.0269488234878006</v>
          </cell>
          <cell r="J15">
            <v>1.5981384026862981</v>
          </cell>
        </row>
        <row r="16">
          <cell r="B16" t="str">
            <v>Performance</v>
          </cell>
          <cell r="C16" t="str">
            <v xml:space="preserve">  0          20         40         60         80     100%</v>
          </cell>
        </row>
        <row r="17">
          <cell r="B17" t="str">
            <v>Pchange 1mo</v>
          </cell>
          <cell r="E17">
            <v>-8.7999999999999995E-2</v>
          </cell>
          <cell r="J17">
            <v>-2.0876820000000001E-2</v>
          </cell>
        </row>
        <row r="18">
          <cell r="B18" t="str">
            <v>Pchange 3 mo</v>
          </cell>
          <cell r="G18">
            <v>-8.0000000000000002E-3</v>
          </cell>
          <cell r="J18">
            <v>-9.2043639999999996E-2</v>
          </cell>
        </row>
        <row r="19">
          <cell r="B19" t="str">
            <v>Pchange 6 mo</v>
          </cell>
          <cell r="G19">
            <v>-0.122</v>
          </cell>
          <cell r="J19">
            <v>-0.18910795</v>
          </cell>
        </row>
        <row r="20">
          <cell r="B20" t="str">
            <v>Pchange 12mo</v>
          </cell>
          <cell r="H20">
            <v>0.34799999999999998</v>
          </cell>
          <cell r="J20">
            <v>-0.1974312</v>
          </cell>
        </row>
        <row r="21">
          <cell r="B21" t="str">
            <v>Efficiency</v>
          </cell>
          <cell r="C21" t="str">
            <v xml:space="preserve">  0          20         40         60         80     100%</v>
          </cell>
        </row>
        <row r="22">
          <cell r="B22" t="str">
            <v>Cash Turn</v>
          </cell>
          <cell r="D22">
            <v>0.7</v>
          </cell>
          <cell r="J22">
            <v>6.6652543078164674</v>
          </cell>
        </row>
        <row r="23">
          <cell r="B23" t="str">
            <v>Fix Asset Turn</v>
          </cell>
          <cell r="D23">
            <v>0.7</v>
          </cell>
          <cell r="J23">
            <v>3.7082649999999999</v>
          </cell>
        </row>
        <row r="24">
          <cell r="B24" t="str">
            <v>Inventory Turn</v>
          </cell>
          <cell r="H24">
            <v>34.5</v>
          </cell>
          <cell r="J24">
            <v>8.0652722137025954</v>
          </cell>
        </row>
        <row r="25">
          <cell r="B25" t="str">
            <v>Total Asset Turn</v>
          </cell>
          <cell r="D25">
            <v>0.4</v>
          </cell>
          <cell r="J25">
            <v>0.86623757679812219</v>
          </cell>
        </row>
        <row r="26">
          <cell r="B26" t="str">
            <v>Work Cap Turn</v>
          </cell>
          <cell r="D26">
            <v>0.7</v>
          </cell>
          <cell r="J26">
            <v>3.0825914282517566</v>
          </cell>
        </row>
        <row r="27">
          <cell r="B27" t="str">
            <v>LTD/Work Cap</v>
          </cell>
          <cell r="H27">
            <v>0.6</v>
          </cell>
          <cell r="J27">
            <v>4.0988471674371432E-3</v>
          </cell>
        </row>
        <row r="28">
          <cell r="B28" t="str">
            <v>Cash Flow</v>
          </cell>
          <cell r="C28" t="str">
            <v xml:space="preserve">  0          20         40         60         80     100%</v>
          </cell>
        </row>
        <row r="29">
          <cell r="B29" t="str">
            <v>FCF/Market Cap</v>
          </cell>
          <cell r="E29">
            <v>5.5E-2</v>
          </cell>
          <cell r="J29">
            <v>7.0318451574141738E-2</v>
          </cell>
        </row>
        <row r="30">
          <cell r="B30" t="str">
            <v>FCF/Sales</v>
          </cell>
          <cell r="H30">
            <v>0.39</v>
          </cell>
          <cell r="J30">
            <v>0.16181539999999997</v>
          </cell>
        </row>
        <row r="31">
          <cell r="B31" t="str">
            <v>Liquidity</v>
          </cell>
          <cell r="C31" t="str">
            <v xml:space="preserve">  0          20         40         60         80     100%</v>
          </cell>
        </row>
        <row r="32">
          <cell r="B32" t="str">
            <v>Cash ratio</v>
          </cell>
          <cell r="H32">
            <v>4.5560377741247695</v>
          </cell>
          <cell r="J32">
            <v>0.43202785721958231</v>
          </cell>
        </row>
        <row r="33">
          <cell r="B33" t="str">
            <v>Quick ratio</v>
          </cell>
          <cell r="H33">
            <v>7.8753619683448957</v>
          </cell>
          <cell r="J33">
            <v>1.9167270835799803</v>
          </cell>
        </row>
        <row r="34">
          <cell r="B34" t="str">
            <v>Current ratio</v>
          </cell>
          <cell r="H34">
            <v>8.0225490376185196</v>
          </cell>
          <cell r="J34">
            <v>2.2298031944381362</v>
          </cell>
        </row>
        <row r="37">
          <cell r="E37" t="str">
            <v></v>
          </cell>
        </row>
        <row r="38">
          <cell r="E38" t="str">
            <v></v>
          </cell>
        </row>
        <row r="39">
          <cell r="E39" t="str">
            <v></v>
          </cell>
        </row>
        <row r="40">
          <cell r="E40" t="str">
            <v></v>
          </cell>
        </row>
        <row r="47">
          <cell r="E47" t="str">
            <v></v>
          </cell>
          <cell r="F47" t="str">
            <v></v>
          </cell>
        </row>
        <row r="48">
          <cell r="E48" t="str">
            <v></v>
          </cell>
          <cell r="F48" t="str">
            <v></v>
          </cell>
        </row>
      </sheetData>
      <sheetData sheetId="24" refreshError="1">
        <row r="5">
          <cell r="D5" t="str">
            <v>Rolta India Ltd.</v>
          </cell>
        </row>
        <row r="6">
          <cell r="D6" t="str">
            <v>Percentile range (vs. peers)</v>
          </cell>
          <cell r="J6" t="str">
            <v>Peer
median</v>
          </cell>
        </row>
        <row r="7">
          <cell r="B7" t="str">
            <v>Growth</v>
          </cell>
          <cell r="C7" t="str">
            <v xml:space="preserve">  0          20         40         60         80     100%</v>
          </cell>
        </row>
        <row r="8">
          <cell r="B8" t="str">
            <v>EPS  1yr fwd</v>
          </cell>
          <cell r="C8" t="str">
            <v xml:space="preserve"> </v>
          </cell>
          <cell r="G8">
            <v>0.34994434133837671</v>
          </cell>
          <cell r="J8">
            <v>0.24507583426829038</v>
          </cell>
        </row>
        <row r="9">
          <cell r="B9" t="str">
            <v>EPS  2yr fwd</v>
          </cell>
          <cell r="G9">
            <v>0.79090585867912133</v>
          </cell>
          <cell r="J9">
            <v>0.54165173182937332</v>
          </cell>
        </row>
        <row r="10">
          <cell r="B10" t="str">
            <v>EPS  1yr hist</v>
          </cell>
          <cell r="E10">
            <v>0.1436142</v>
          </cell>
          <cell r="J10">
            <v>0.39057600000000003</v>
          </cell>
        </row>
        <row r="11">
          <cell r="B11" t="str">
            <v>EPS  3yr hist</v>
          </cell>
          <cell r="F11">
            <v>0.29139809999999999</v>
          </cell>
          <cell r="J11">
            <v>0.30270160000000002</v>
          </cell>
        </row>
        <row r="12">
          <cell r="B12" t="str">
            <v>EPS  5yr hist</v>
          </cell>
          <cell r="E12">
            <v>4.9647199999999996E-2</v>
          </cell>
          <cell r="J12">
            <v>0.18435220000000002</v>
          </cell>
        </row>
        <row r="13">
          <cell r="B13" t="str">
            <v>BVPS  1yr hist</v>
          </cell>
          <cell r="E13">
            <v>0.10893827289611213</v>
          </cell>
          <cell r="J13">
            <v>0.22911630269172178</v>
          </cell>
        </row>
        <row r="14">
          <cell r="B14" t="str">
            <v>DPS  1yr hist</v>
          </cell>
          <cell r="G14">
            <v>0.25</v>
          </cell>
          <cell r="J14">
            <v>0</v>
          </cell>
        </row>
        <row r="15">
          <cell r="B15" t="str">
            <v>EBIT  1yr hist</v>
          </cell>
          <cell r="E15">
            <v>0.24485651208492287</v>
          </cell>
          <cell r="J15">
            <v>0.56850427638032031</v>
          </cell>
        </row>
        <row r="16">
          <cell r="B16" t="str">
            <v>Sales  1yr hist</v>
          </cell>
          <cell r="F16">
            <v>0.32998586132285745</v>
          </cell>
          <cell r="J16">
            <v>0.37984755351738131</v>
          </cell>
        </row>
        <row r="17">
          <cell r="B17" t="str">
            <v>Quality</v>
          </cell>
          <cell r="C17" t="str">
            <v xml:space="preserve">  0          20         40         60         80     100%</v>
          </cell>
        </row>
        <row r="18">
          <cell r="B18" t="str">
            <v>ROA</v>
          </cell>
          <cell r="F18">
            <v>0.1184658</v>
          </cell>
          <cell r="J18">
            <v>0.1272691</v>
          </cell>
        </row>
        <row r="19">
          <cell r="B19" t="str">
            <v>ROE</v>
          </cell>
          <cell r="F19">
            <v>0.17368439999999999</v>
          </cell>
          <cell r="J19">
            <v>0.21419870000000002</v>
          </cell>
        </row>
        <row r="20">
          <cell r="B20" t="str">
            <v>EBIT margin</v>
          </cell>
          <cell r="H20">
            <v>0.27416333162437756</v>
          </cell>
          <cell r="J20">
            <v>0.15357519284540136</v>
          </cell>
        </row>
        <row r="21">
          <cell r="B21" t="str">
            <v>Net inc. margin</v>
          </cell>
          <cell r="H21">
            <v>0.2426798</v>
          </cell>
          <cell r="J21">
            <v>0.11734069999999999</v>
          </cell>
        </row>
        <row r="22">
          <cell r="B22" t="str">
            <v>Payout ratio</v>
          </cell>
          <cell r="H22">
            <v>0.21082499999999998</v>
          </cell>
          <cell r="J22">
            <v>6.6231399999999996E-2</v>
          </cell>
        </row>
        <row r="23">
          <cell r="B23" t="str">
            <v>Gross mrgn</v>
          </cell>
          <cell r="G23">
            <v>0.23997453357402426</v>
          </cell>
          <cell r="J23">
            <v>0.14569958835584462</v>
          </cell>
        </row>
        <row r="24">
          <cell r="B24" t="str">
            <v>ROI</v>
          </cell>
          <cell r="E24">
            <v>0.1325161</v>
          </cell>
          <cell r="J24">
            <v>0.16856649999999998</v>
          </cell>
        </row>
        <row r="25">
          <cell r="B25" t="str">
            <v>Financial Leverage</v>
          </cell>
          <cell r="C25" t="str">
            <v xml:space="preserve">  0          20         40         60         80     100%</v>
          </cell>
        </row>
        <row r="26">
          <cell r="B26" t="str">
            <v>Debt/Assets</v>
          </cell>
          <cell r="G26">
            <v>0.33543653674062973</v>
          </cell>
          <cell r="J26">
            <v>0.1160265764825805</v>
          </cell>
        </row>
        <row r="27">
          <cell r="B27" t="str">
            <v>Debt/Equity</v>
          </cell>
          <cell r="G27">
            <v>0.5901767</v>
          </cell>
          <cell r="J27">
            <v>0.18525710000000001</v>
          </cell>
        </row>
        <row r="28">
          <cell r="B28" t="str">
            <v>Net Debt/Equity</v>
          </cell>
          <cell r="G28">
            <v>-2.0327706515882699E-2</v>
          </cell>
          <cell r="J28">
            <v>-0.16130908468463256</v>
          </cell>
        </row>
        <row r="29">
          <cell r="B29" t="str">
            <v>Capex Discipline</v>
          </cell>
          <cell r="C29" t="str">
            <v xml:space="preserve">  0          20         40         60         80     100%</v>
          </cell>
        </row>
        <row r="30">
          <cell r="B30" t="str">
            <v>Capex/Deprec</v>
          </cell>
          <cell r="E30">
            <v>2.4672570593759451</v>
          </cell>
          <cell r="J30">
            <v>3.6387113093166663</v>
          </cell>
        </row>
        <row r="31">
          <cell r="B31" t="str">
            <v>Capex/Sales</v>
          </cell>
          <cell r="H31">
            <v>0.35316068940857437</v>
          </cell>
          <cell r="J31">
            <v>9.413321561872777E-2</v>
          </cell>
        </row>
        <row r="32">
          <cell r="B32" t="str">
            <v>FCF/EPS</v>
          </cell>
          <cell r="G32">
            <v>1.6195981779699669</v>
          </cell>
          <cell r="J32">
            <v>1.3280138922417146</v>
          </cell>
        </row>
        <row r="33">
          <cell r="B33" t="str">
            <v>Depr 1yr chg</v>
          </cell>
          <cell r="H33">
            <v>0.36377146770894186</v>
          </cell>
          <cell r="J33">
            <v>0.16342412451361876</v>
          </cell>
        </row>
        <row r="34">
          <cell r="B34" t="str">
            <v>Shrs out 1yr chg</v>
          </cell>
          <cell r="G34">
            <v>2.5058357762257621E-3</v>
          </cell>
          <cell r="J34">
            <v>1.5121596156952855E-3</v>
          </cell>
        </row>
        <row r="35">
          <cell r="B35" t="str">
            <v>Capex 1yr chg</v>
          </cell>
          <cell r="G35">
            <v>0.53235599999999983</v>
          </cell>
          <cell r="J35">
            <v>-8.311700000000033E-3</v>
          </cell>
        </row>
        <row r="38">
          <cell r="E38" t="str">
            <v></v>
          </cell>
        </row>
        <row r="39">
          <cell r="E39" t="str">
            <v></v>
          </cell>
        </row>
        <row r="40">
          <cell r="E40" t="str">
            <v></v>
          </cell>
        </row>
        <row r="41">
          <cell r="E41" t="str">
            <v></v>
          </cell>
        </row>
        <row r="48">
          <cell r="E48" t="str">
            <v></v>
          </cell>
          <cell r="F48" t="str">
            <v></v>
          </cell>
        </row>
        <row r="49">
          <cell r="E49" t="str">
            <v></v>
          </cell>
          <cell r="F49" t="str">
            <v></v>
          </cell>
        </row>
      </sheetData>
      <sheetData sheetId="25"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7114</v>
          </cell>
          <cell r="E2">
            <v>7114</v>
          </cell>
        </row>
        <row r="3">
          <cell r="A3" t="str">
            <v>FY08e</v>
          </cell>
          <cell r="B3">
            <v>10733</v>
          </cell>
          <cell r="C3">
            <v>9659.7000000000007</v>
          </cell>
          <cell r="D3">
            <v>11806.3</v>
          </cell>
          <cell r="E3">
            <v>9659.7000000000007</v>
          </cell>
          <cell r="F3">
            <v>2146.5999999999985</v>
          </cell>
          <cell r="J3">
            <v>1073.2999999999993</v>
          </cell>
          <cell r="K3">
            <v>1073.2999999999993</v>
          </cell>
        </row>
        <row r="4">
          <cell r="A4" t="str">
            <v>FY09e</v>
          </cell>
          <cell r="B4">
            <v>14787</v>
          </cell>
          <cell r="C4">
            <v>12568.95</v>
          </cell>
          <cell r="D4">
            <v>17005.05</v>
          </cell>
          <cell r="E4">
            <v>12568.95</v>
          </cell>
          <cell r="F4">
            <v>4436.0999999999985</v>
          </cell>
          <cell r="J4">
            <v>2218.0499999999993</v>
          </cell>
          <cell r="K4">
            <v>2218.0499999999993</v>
          </cell>
        </row>
        <row r="5">
          <cell r="A5" t="str">
            <v>FY10e</v>
          </cell>
          <cell r="B5">
            <v>19704</v>
          </cell>
          <cell r="C5">
            <v>15763.2</v>
          </cell>
          <cell r="D5">
            <v>23644.799999999999</v>
          </cell>
          <cell r="E5">
            <v>15763.2</v>
          </cell>
          <cell r="F5">
            <v>7881.5999999999985</v>
          </cell>
          <cell r="G5">
            <v>19704</v>
          </cell>
          <cell r="J5">
            <v>3940.7999999999993</v>
          </cell>
          <cell r="K5">
            <v>3940.7999999999993</v>
          </cell>
        </row>
        <row r="12">
          <cell r="L12">
            <v>3.4285714285714284</v>
          </cell>
        </row>
      </sheetData>
      <sheetData sheetId="26"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10.74</v>
          </cell>
          <cell r="E2">
            <v>10.74</v>
          </cell>
        </row>
        <row r="3">
          <cell r="A3" t="str">
            <v>FY08e</v>
          </cell>
          <cell r="B3">
            <v>14.5</v>
          </cell>
          <cell r="C3">
            <v>12.4</v>
          </cell>
          <cell r="D3">
            <v>15.72</v>
          </cell>
          <cell r="E3">
            <v>12.4</v>
          </cell>
          <cell r="F3">
            <v>3.3200000000000003</v>
          </cell>
          <cell r="J3">
            <v>1.2200000000000006</v>
          </cell>
          <cell r="K3">
            <v>2.0999999999999996</v>
          </cell>
        </row>
        <row r="4">
          <cell r="A4" t="str">
            <v>FY09e</v>
          </cell>
          <cell r="B4">
            <v>19.239999999999998</v>
          </cell>
          <cell r="C4">
            <v>15.5</v>
          </cell>
          <cell r="D4">
            <v>21.07</v>
          </cell>
          <cell r="E4">
            <v>15.5</v>
          </cell>
          <cell r="F4">
            <v>5.57</v>
          </cell>
          <cell r="J4">
            <v>1.8300000000000018</v>
          </cell>
          <cell r="K4">
            <v>3.7399999999999984</v>
          </cell>
        </row>
        <row r="5">
          <cell r="A5" t="str">
            <v>FY10e</v>
          </cell>
          <cell r="B5">
            <v>25.45</v>
          </cell>
          <cell r="C5">
            <v>19.7</v>
          </cell>
          <cell r="D5">
            <v>31.2</v>
          </cell>
          <cell r="E5">
            <v>19.7</v>
          </cell>
          <cell r="F5">
            <v>11.5</v>
          </cell>
          <cell r="G5">
            <v>25.45</v>
          </cell>
          <cell r="J5">
            <v>5.75</v>
          </cell>
          <cell r="K5">
            <v>5.75</v>
          </cell>
        </row>
        <row r="12">
          <cell r="L12">
            <v>3.4285714285714284</v>
          </cell>
        </row>
      </sheetData>
      <sheetData sheetId="27"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7114</v>
          </cell>
          <cell r="E2">
            <v>7114</v>
          </cell>
        </row>
        <row r="3">
          <cell r="A3" t="str">
            <v>FY08e</v>
          </cell>
          <cell r="B3">
            <v>10733</v>
          </cell>
          <cell r="C3">
            <v>9659.7000000000007</v>
          </cell>
          <cell r="D3">
            <v>11806.3</v>
          </cell>
          <cell r="E3">
            <v>9659.7000000000007</v>
          </cell>
          <cell r="F3">
            <v>2146.5999999999985</v>
          </cell>
          <cell r="J3">
            <v>1073.2999999999993</v>
          </cell>
          <cell r="K3">
            <v>1073.2999999999993</v>
          </cell>
        </row>
        <row r="4">
          <cell r="A4" t="str">
            <v>FY09e</v>
          </cell>
          <cell r="B4">
            <v>14787</v>
          </cell>
          <cell r="C4">
            <v>12568.95</v>
          </cell>
          <cell r="D4">
            <v>17005.05</v>
          </cell>
          <cell r="E4">
            <v>12568.95</v>
          </cell>
          <cell r="F4">
            <v>4436.0999999999985</v>
          </cell>
          <cell r="J4">
            <v>2218.0499999999993</v>
          </cell>
          <cell r="K4">
            <v>2218.0499999999993</v>
          </cell>
        </row>
        <row r="5">
          <cell r="A5" t="str">
            <v>FY10e</v>
          </cell>
          <cell r="B5">
            <v>19704</v>
          </cell>
          <cell r="C5">
            <v>15763.2</v>
          </cell>
          <cell r="D5">
            <v>23644.799999999999</v>
          </cell>
          <cell r="E5">
            <v>15763.2</v>
          </cell>
          <cell r="F5">
            <v>7881.5999999999985</v>
          </cell>
          <cell r="G5">
            <v>19704</v>
          </cell>
          <cell r="J5">
            <v>3940.7999999999993</v>
          </cell>
          <cell r="K5">
            <v>3940.7999999999993</v>
          </cell>
        </row>
        <row r="12">
          <cell r="L12">
            <v>3.4285714285714284</v>
          </cell>
        </row>
      </sheetData>
      <sheetData sheetId="28"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10.74</v>
          </cell>
          <cell r="E2">
            <v>10.74</v>
          </cell>
        </row>
        <row r="3">
          <cell r="A3" t="str">
            <v>FY08e</v>
          </cell>
          <cell r="B3">
            <v>14.5</v>
          </cell>
          <cell r="C3">
            <v>12.4</v>
          </cell>
          <cell r="D3">
            <v>15.72</v>
          </cell>
          <cell r="E3">
            <v>12.4</v>
          </cell>
          <cell r="F3">
            <v>3.3200000000000003</v>
          </cell>
          <cell r="J3">
            <v>1.2200000000000006</v>
          </cell>
          <cell r="K3">
            <v>2.0999999999999996</v>
          </cell>
        </row>
        <row r="4">
          <cell r="A4" t="str">
            <v>FY09e</v>
          </cell>
          <cell r="B4">
            <v>19.239999999999998</v>
          </cell>
          <cell r="C4">
            <v>15.5</v>
          </cell>
          <cell r="D4">
            <v>21.07</v>
          </cell>
          <cell r="E4">
            <v>15.5</v>
          </cell>
          <cell r="F4">
            <v>5.57</v>
          </cell>
          <cell r="J4">
            <v>1.8300000000000018</v>
          </cell>
          <cell r="K4">
            <v>3.7399999999999984</v>
          </cell>
        </row>
        <row r="5">
          <cell r="A5" t="str">
            <v>FY10e</v>
          </cell>
          <cell r="B5">
            <v>25.45</v>
          </cell>
          <cell r="C5">
            <v>19.7</v>
          </cell>
          <cell r="D5">
            <v>31.2</v>
          </cell>
          <cell r="E5">
            <v>19.7</v>
          </cell>
          <cell r="F5">
            <v>11.5</v>
          </cell>
          <cell r="G5">
            <v>25.45</v>
          </cell>
          <cell r="J5">
            <v>5.75</v>
          </cell>
          <cell r="K5">
            <v>5.75</v>
          </cell>
        </row>
        <row r="12">
          <cell r="L12">
            <v>3.4285714285714284</v>
          </cell>
        </row>
      </sheetData>
      <sheetData sheetId="29" refreshError="1">
        <row r="1">
          <cell r="N1" t="str">
            <v>SmartCharts</v>
          </cell>
          <cell r="AW1" t="str">
            <v>.</v>
          </cell>
        </row>
        <row r="2">
          <cell r="AW2" t="str">
            <v>.</v>
          </cell>
        </row>
        <row r="3">
          <cell r="AW3" t="str">
            <v>.</v>
          </cell>
        </row>
        <row r="4">
          <cell r="AW4" t="str">
            <v>.</v>
          </cell>
        </row>
        <row r="5">
          <cell r="C5" t="str">
            <v>Define value axis here:</v>
          </cell>
        </row>
        <row r="6">
          <cell r="C6" t="str">
            <v>Value axis definition</v>
          </cell>
        </row>
        <row r="10">
          <cell r="C10" t="str">
            <v>Input your data here:</v>
          </cell>
          <cell r="AW10" t="str">
            <v>.</v>
          </cell>
        </row>
        <row r="11">
          <cell r="C11">
            <v>2000</v>
          </cell>
          <cell r="D11">
            <v>7</v>
          </cell>
        </row>
        <row r="12">
          <cell r="C12">
            <v>2001</v>
          </cell>
          <cell r="D12">
            <v>9</v>
          </cell>
          <cell r="AW12" t="str">
            <v>.</v>
          </cell>
        </row>
        <row r="13">
          <cell r="C13">
            <v>2002</v>
          </cell>
          <cell r="D13">
            <v>10.5</v>
          </cell>
          <cell r="AW13" t="str">
            <v>.</v>
          </cell>
        </row>
        <row r="14">
          <cell r="C14">
            <v>2003</v>
          </cell>
          <cell r="D14">
            <v>9.3000000000000007</v>
          </cell>
          <cell r="AW14" t="str">
            <v>.</v>
          </cell>
        </row>
        <row r="15">
          <cell r="C15">
            <v>2004</v>
          </cell>
          <cell r="D15">
            <v>11</v>
          </cell>
          <cell r="AW15" t="str">
            <v>.</v>
          </cell>
        </row>
        <row r="16">
          <cell r="C16">
            <v>2005</v>
          </cell>
          <cell r="D16">
            <v>11.8</v>
          </cell>
          <cell r="AW16" t="str">
            <v>.</v>
          </cell>
        </row>
        <row r="17">
          <cell r="C17">
            <v>2006</v>
          </cell>
          <cell r="D17">
            <v>13</v>
          </cell>
          <cell r="AW17" t="str">
            <v>.</v>
          </cell>
        </row>
        <row r="18">
          <cell r="C18">
            <v>2007</v>
          </cell>
          <cell r="D18">
            <v>12.2</v>
          </cell>
          <cell r="AW18" t="str">
            <v>.</v>
          </cell>
        </row>
        <row r="19">
          <cell r="C19" t="str">
            <v>2008e</v>
          </cell>
          <cell r="D19">
            <v>14.2</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0"/>
      <sheetData sheetId="31" refreshError="1">
        <row r="1">
          <cell r="U1" t="str">
            <v>SmartCharts</v>
          </cell>
        </row>
        <row r="5">
          <cell r="C5" t="str">
            <v>Define value axis here:</v>
          </cell>
        </row>
        <row r="6">
          <cell r="C6" t="str">
            <v>profit margins</v>
          </cell>
        </row>
        <row r="8">
          <cell r="C8" t="str">
            <v>Define highlighted areas here:</v>
          </cell>
        </row>
        <row r="9">
          <cell r="C9" t="str">
            <v>MarketView forecast</v>
          </cell>
        </row>
        <row r="11">
          <cell r="C11" t="str">
            <v>Input your data here:</v>
          </cell>
          <cell r="H11" t="str">
            <v>Highlight?</v>
          </cell>
        </row>
        <row r="12">
          <cell r="D12" t="str">
            <v>EBITDA</v>
          </cell>
          <cell r="E12" t="str">
            <v>EBIT</v>
          </cell>
          <cell r="F12" t="str">
            <v>Net income</v>
          </cell>
          <cell r="Z12">
            <v>0.51801866540021901</v>
          </cell>
          <cell r="AA12">
            <v>0.29502136477202878</v>
          </cell>
          <cell r="AB12">
            <v>0.20144051222942319</v>
          </cell>
          <cell r="AH12" t="str">
            <v>No.</v>
          </cell>
          <cell r="AI12" t="str">
            <v>HighlightYes</v>
          </cell>
          <cell r="AJ12" t="str">
            <v>HighlightNo</v>
          </cell>
          <cell r="AL12" t="str">
            <v>ArrowLine</v>
          </cell>
        </row>
        <row r="13">
          <cell r="B13">
            <v>1</v>
          </cell>
          <cell r="C13">
            <v>2003</v>
          </cell>
          <cell r="D13">
            <v>0.51801866540021901</v>
          </cell>
          <cell r="E13">
            <v>0.29502136477202878</v>
          </cell>
          <cell r="F13">
            <v>0.20144051222942319</v>
          </cell>
          <cell r="I13" t="b">
            <v>0</v>
          </cell>
          <cell r="Z13">
            <v>0.41452307363459162</v>
          </cell>
          <cell r="AA13">
            <v>0.23953313561971987</v>
          </cell>
          <cell r="AB13">
            <v>0.18211988554522082</v>
          </cell>
          <cell r="AH13">
            <v>1</v>
          </cell>
          <cell r="AI13">
            <v>0</v>
          </cell>
          <cell r="AJ13">
            <v>0.51801866540021901</v>
          </cell>
          <cell r="AL13">
            <v>0.51801866540021901</v>
          </cell>
        </row>
        <row r="14">
          <cell r="B14">
            <v>2</v>
          </cell>
          <cell r="C14">
            <v>2004</v>
          </cell>
          <cell r="D14">
            <v>0.41452307363459162</v>
          </cell>
          <cell r="E14">
            <v>0.23953313561971987</v>
          </cell>
          <cell r="F14">
            <v>0.18211988554522082</v>
          </cell>
          <cell r="I14" t="b">
            <v>0</v>
          </cell>
          <cell r="Z14">
            <v>0.38230944316140969</v>
          </cell>
          <cell r="AA14">
            <v>0.26434103887528793</v>
          </cell>
          <cell r="AB14">
            <v>0.21760155412444609</v>
          </cell>
          <cell r="AH14">
            <v>2</v>
          </cell>
          <cell r="AI14">
            <v>0</v>
          </cell>
          <cell r="AJ14">
            <v>0.41452307363459162</v>
          </cell>
          <cell r="AL14">
            <v>0.41452307363459162</v>
          </cell>
        </row>
        <row r="15">
          <cell r="B15">
            <v>3</v>
          </cell>
          <cell r="C15">
            <v>2005</v>
          </cell>
          <cell r="D15">
            <v>0.38230944316140969</v>
          </cell>
          <cell r="E15">
            <v>0.26434103887528793</v>
          </cell>
          <cell r="F15">
            <v>0.21760155412444609</v>
          </cell>
          <cell r="I15" t="b">
            <v>0</v>
          </cell>
          <cell r="Z15">
            <v>0.43259605209015412</v>
          </cell>
          <cell r="AA15">
            <v>0.29291195508379769</v>
          </cell>
          <cell r="AB15">
            <v>0.23802041992813888</v>
          </cell>
          <cell r="AH15">
            <v>3</v>
          </cell>
          <cell r="AI15">
            <v>0</v>
          </cell>
          <cell r="AJ15">
            <v>0.38230944316140969</v>
          </cell>
          <cell r="AL15">
            <v>0.38230944316140969</v>
          </cell>
        </row>
        <row r="16">
          <cell r="B16">
            <v>4</v>
          </cell>
          <cell r="C16">
            <v>2006</v>
          </cell>
          <cell r="D16">
            <v>0.43259605209015412</v>
          </cell>
          <cell r="E16">
            <v>0.29291195508379769</v>
          </cell>
          <cell r="F16">
            <v>0.23802041992813888</v>
          </cell>
          <cell r="I16" t="b">
            <v>0</v>
          </cell>
          <cell r="Z16">
            <v>0.4173765518138659</v>
          </cell>
          <cell r="AA16">
            <v>0.27416333162437756</v>
          </cell>
          <cell r="AB16">
            <v>0.24267979315084837</v>
          </cell>
          <cell r="AH16">
            <v>4</v>
          </cell>
          <cell r="AI16">
            <v>0</v>
          </cell>
          <cell r="AJ16">
            <v>0.43259605209015412</v>
          </cell>
          <cell r="AL16">
            <v>0.43259605209015412</v>
          </cell>
        </row>
        <row r="17">
          <cell r="B17">
            <v>5</v>
          </cell>
          <cell r="C17">
            <v>2007</v>
          </cell>
          <cell r="D17">
            <v>0.4173765518138659</v>
          </cell>
          <cell r="E17">
            <v>0.27416333162437756</v>
          </cell>
          <cell r="F17">
            <v>0.24267979315084837</v>
          </cell>
          <cell r="I17" t="b">
            <v>0</v>
          </cell>
          <cell r="Z17">
            <v>0.35984743476442915</v>
          </cell>
          <cell r="AA17">
            <v>0.2353534741794974</v>
          </cell>
          <cell r="AB17">
            <v>0.23347697468030085</v>
          </cell>
          <cell r="AH17">
            <v>5</v>
          </cell>
          <cell r="AI17">
            <v>0</v>
          </cell>
          <cell r="AJ17">
            <v>0.4173765518138659</v>
          </cell>
          <cell r="AL17">
            <v>0.4173765518138659</v>
          </cell>
        </row>
        <row r="18">
          <cell r="C18" t="str">
            <v>2008e</v>
          </cell>
          <cell r="D18">
            <v>0.35984743476442915</v>
          </cell>
          <cell r="E18">
            <v>0.2353534741794974</v>
          </cell>
          <cell r="F18">
            <v>0.23347697468030085</v>
          </cell>
          <cell r="I18" t="b">
            <v>1</v>
          </cell>
          <cell r="Z18">
            <v>0.3718303614199947</v>
          </cell>
          <cell r="AA18">
            <v>0.2576024182750179</v>
          </cell>
          <cell r="AB18">
            <v>0.22150847058365833</v>
          </cell>
          <cell r="AH18">
            <v>6</v>
          </cell>
          <cell r="AI18">
            <v>0.35984743476442915</v>
          </cell>
          <cell r="AJ18">
            <v>0</v>
          </cell>
          <cell r="AL18">
            <v>0.35984743476442915</v>
          </cell>
        </row>
        <row r="19">
          <cell r="C19" t="str">
            <v>2009e</v>
          </cell>
          <cell r="D19">
            <v>0.3718303614199947</v>
          </cell>
          <cell r="E19">
            <v>0.2576024182750179</v>
          </cell>
          <cell r="F19">
            <v>0.22150847058365833</v>
          </cell>
          <cell r="I19" t="b">
            <v>1</v>
          </cell>
          <cell r="Z19">
            <v>0.37968151980844639</v>
          </cell>
          <cell r="AA19">
            <v>0.27408140479090526</v>
          </cell>
          <cell r="AB19">
            <v>0.22064587412664402</v>
          </cell>
          <cell r="AH19">
            <v>7</v>
          </cell>
          <cell r="AI19">
            <v>0.3718303614199947</v>
          </cell>
          <cell r="AJ19">
            <v>0</v>
          </cell>
          <cell r="AL19">
            <v>0.3718303614199947</v>
          </cell>
        </row>
        <row r="20">
          <cell r="C20" t="str">
            <v>2010e</v>
          </cell>
          <cell r="D20">
            <v>0.37968151980844639</v>
          </cell>
          <cell r="E20">
            <v>0.27408140479090526</v>
          </cell>
          <cell r="F20">
            <v>0.22064587412664402</v>
          </cell>
          <cell r="I20" t="b">
            <v>1</v>
          </cell>
          <cell r="AH20">
            <v>8</v>
          </cell>
          <cell r="AI20">
            <v>0.37968151980844639</v>
          </cell>
          <cell r="AJ20">
            <v>0</v>
          </cell>
          <cell r="AL20">
            <v>0.37968151980844639</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32"/>
      <sheetData sheetId="33"/>
      <sheetData sheetId="3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Disclosures All"/>
      <sheetName val="Pipeline Value"/>
      <sheetName val="US Trait Acres"/>
      <sheetName val="MON DCF"/>
      <sheetName val="Monsanto Model"/>
      <sheetName val="Base, Bull, Bear"/>
      <sheetName val="YieldGard VT Pro"/>
      <sheetName val="SmartStax"/>
      <sheetName val="Drought Tolerant Corn"/>
      <sheetName val="Higher Yielding Corn"/>
      <sheetName val="Nitrogen Corn"/>
      <sheetName val="Roundup Ready 2 Yield"/>
      <sheetName val="Omega 3 Soybeans"/>
      <sheetName val="High Oil Soybeans"/>
      <sheetName val="Vistive III Soybeans"/>
      <sheetName val="Higher Yielding Soybeans"/>
      <sheetName val="Insect Protected Soybeans"/>
      <sheetName val="Dicamba - Tolerant Soybeans"/>
      <sheetName val="Higher Yield Canola"/>
      <sheetName val="Drought Tolerant Cotton"/>
      <sheetName val="OTHER"/>
      <sheetName val="R&amp;D"/>
      <sheetName val="Mavera"/>
      <sheetName val="Main Page"/>
      <sheetName val="Scenarios"/>
    </sheetNames>
    <sheetDataSet>
      <sheetData sheetId="0"/>
      <sheetData sheetId="1"/>
      <sheetData sheetId="2"/>
      <sheetData sheetId="3">
        <row r="5">
          <cell r="D5">
            <v>2008</v>
          </cell>
          <cell r="E5">
            <v>2009</v>
          </cell>
          <cell r="F5">
            <v>2010</v>
          </cell>
          <cell r="G5">
            <v>2011</v>
          </cell>
          <cell r="H5">
            <v>2012</v>
          </cell>
          <cell r="I5">
            <v>2013</v>
          </cell>
          <cell r="J5">
            <v>2014</v>
          </cell>
          <cell r="K5">
            <v>2015</v>
          </cell>
          <cell r="L5">
            <v>2016</v>
          </cell>
          <cell r="M5">
            <v>2017</v>
          </cell>
          <cell r="N5">
            <v>2018</v>
          </cell>
          <cell r="O5">
            <v>2019</v>
          </cell>
          <cell r="P5">
            <v>2020</v>
          </cell>
          <cell r="Q5" t="str">
            <v>CAGR</v>
          </cell>
        </row>
        <row r="7">
          <cell r="B7" t="str">
            <v>MONSANTO'S EXISTING BUSINESS</v>
          </cell>
          <cell r="T7" t="str">
            <v>10-Yr T-Bond</v>
          </cell>
        </row>
        <row r="8">
          <cell r="B8" t="str">
            <v>EBIT</v>
          </cell>
          <cell r="D8">
            <v>2885</v>
          </cell>
          <cell r="E8">
            <v>3547.604403834267</v>
          </cell>
          <cell r="F8">
            <v>3467.7987668176611</v>
          </cell>
          <cell r="G8">
            <v>3980.6911168624888</v>
          </cell>
          <cell r="H8">
            <v>4485.1501372379262</v>
          </cell>
          <cell r="I8">
            <v>4953.2225131967834</v>
          </cell>
          <cell r="J8">
            <v>5330.6130446492762</v>
          </cell>
          <cell r="K8">
            <v>5765.0888866013229</v>
          </cell>
          <cell r="L8">
            <v>6125.4191013139316</v>
          </cell>
          <cell r="M8">
            <v>6490.3327936697242</v>
          </cell>
          <cell r="N8">
            <v>6754.6407927848741</v>
          </cell>
          <cell r="O8">
            <v>7032.9214918980197</v>
          </cell>
          <cell r="P8">
            <v>7326.050707051937</v>
          </cell>
          <cell r="Q8">
            <v>9.4270199258050941E-2</v>
          </cell>
          <cell r="T8" t="str">
            <v>Beta</v>
          </cell>
        </row>
        <row r="9">
          <cell r="B9" t="str">
            <v>Taxes @</v>
          </cell>
          <cell r="C9">
            <v>0.28499999999999998</v>
          </cell>
          <cell r="T9" t="str">
            <v>Cost Equity</v>
          </cell>
        </row>
        <row r="10">
          <cell r="B10" t="str">
            <v>Tax-effected EBIT</v>
          </cell>
          <cell r="D10">
            <v>2062.7750000000001</v>
          </cell>
          <cell r="E10">
            <v>2536.5371487415014</v>
          </cell>
          <cell r="F10">
            <v>2479.4761182746279</v>
          </cell>
          <cell r="G10">
            <v>2846.1941485566799</v>
          </cell>
          <cell r="H10">
            <v>3206.8823481251175</v>
          </cell>
          <cell r="I10">
            <v>3541.5540969357007</v>
          </cell>
          <cell r="J10">
            <v>3811.3883269242328</v>
          </cell>
          <cell r="K10">
            <v>4122.038553919946</v>
          </cell>
          <cell r="L10">
            <v>4379.674657439462</v>
          </cell>
          <cell r="M10">
            <v>4640.5879474738531</v>
          </cell>
          <cell r="N10">
            <v>4829.5681668411853</v>
          </cell>
          <cell r="O10">
            <v>5028.5388667070847</v>
          </cell>
          <cell r="P10">
            <v>5238.1262555421354</v>
          </cell>
          <cell r="Q10">
            <v>9.427019925805083E-2</v>
          </cell>
          <cell r="T10" t="str">
            <v>Cost of Debt</v>
          </cell>
        </row>
        <row r="11">
          <cell r="B11" t="str">
            <v>Plus:  Depreciation &amp; Amortization</v>
          </cell>
          <cell r="D11">
            <v>573</v>
          </cell>
          <cell r="E11">
            <v>584.07331288343562</v>
          </cell>
          <cell r="F11">
            <v>665.96778887048822</v>
          </cell>
          <cell r="G11">
            <v>689.52621125613553</v>
          </cell>
          <cell r="H11">
            <v>691.36715633289452</v>
          </cell>
          <cell r="I11">
            <v>692.88452425352375</v>
          </cell>
          <cell r="J11">
            <v>676.55850204577257</v>
          </cell>
          <cell r="K11">
            <v>663.10205368005848</v>
          </cell>
          <cell r="L11">
            <v>652.010803140588</v>
          </cell>
          <cell r="M11">
            <v>0</v>
          </cell>
          <cell r="N11">
            <v>0</v>
          </cell>
          <cell r="O11">
            <v>0</v>
          </cell>
          <cell r="P11">
            <v>0</v>
          </cell>
          <cell r="T11" t="str">
            <v>Weight Debt</v>
          </cell>
        </row>
        <row r="12">
          <cell r="B12" t="str">
            <v>Plus:  Changes in Deferred Taxes</v>
          </cell>
          <cell r="D12">
            <v>0</v>
          </cell>
          <cell r="E12">
            <v>0</v>
          </cell>
          <cell r="F12">
            <v>0</v>
          </cell>
          <cell r="G12">
            <v>0</v>
          </cell>
          <cell r="H12">
            <v>0</v>
          </cell>
          <cell r="I12">
            <v>0</v>
          </cell>
          <cell r="J12">
            <v>0</v>
          </cell>
          <cell r="K12">
            <v>0</v>
          </cell>
          <cell r="L12">
            <v>0</v>
          </cell>
          <cell r="M12">
            <v>0</v>
          </cell>
          <cell r="N12">
            <v>0</v>
          </cell>
          <cell r="O12">
            <v>0</v>
          </cell>
          <cell r="P12">
            <v>0</v>
          </cell>
          <cell r="T12" t="str">
            <v>Weight Equity</v>
          </cell>
        </row>
        <row r="13">
          <cell r="B13" t="str">
            <v>Less:  Capital Expenditures</v>
          </cell>
          <cell r="D13">
            <v>-959</v>
          </cell>
          <cell r="E13">
            <v>-1050</v>
          </cell>
          <cell r="F13">
            <v>-800</v>
          </cell>
          <cell r="G13">
            <v>-700</v>
          </cell>
          <cell r="H13">
            <v>-700</v>
          </cell>
          <cell r="I13">
            <v>-600</v>
          </cell>
          <cell r="J13">
            <v>-600</v>
          </cell>
          <cell r="K13">
            <v>-600</v>
          </cell>
          <cell r="L13">
            <v>-600</v>
          </cell>
          <cell r="M13">
            <v>-600</v>
          </cell>
          <cell r="N13">
            <v>-600</v>
          </cell>
          <cell r="O13">
            <v>-600</v>
          </cell>
          <cell r="P13">
            <v>-600</v>
          </cell>
        </row>
        <row r="14">
          <cell r="B14" t="str">
            <v>Less:  Additions to Capitalized Software</v>
          </cell>
          <cell r="D14">
            <v>0</v>
          </cell>
          <cell r="E14">
            <v>0</v>
          </cell>
          <cell r="F14">
            <v>0</v>
          </cell>
          <cell r="G14">
            <v>0</v>
          </cell>
          <cell r="H14">
            <v>0</v>
          </cell>
          <cell r="I14">
            <v>0</v>
          </cell>
          <cell r="J14">
            <v>0</v>
          </cell>
          <cell r="K14">
            <v>0</v>
          </cell>
          <cell r="L14">
            <v>0</v>
          </cell>
          <cell r="M14">
            <v>0</v>
          </cell>
          <cell r="N14">
            <v>0</v>
          </cell>
          <cell r="O14">
            <v>0</v>
          </cell>
          <cell r="P14">
            <v>0</v>
          </cell>
        </row>
        <row r="15">
          <cell r="B15" t="str">
            <v>Less:  Changes in Working Capital</v>
          </cell>
          <cell r="D15">
            <v>0</v>
          </cell>
          <cell r="E15">
            <v>0</v>
          </cell>
          <cell r="F15">
            <v>0</v>
          </cell>
          <cell r="G15">
            <v>0</v>
          </cell>
          <cell r="H15">
            <v>0</v>
          </cell>
          <cell r="I15">
            <v>0</v>
          </cell>
          <cell r="J15">
            <v>0</v>
          </cell>
          <cell r="K15">
            <v>0</v>
          </cell>
          <cell r="L15">
            <v>0</v>
          </cell>
          <cell r="M15">
            <v>0</v>
          </cell>
          <cell r="N15">
            <v>0</v>
          </cell>
          <cell r="O15">
            <v>0</v>
          </cell>
          <cell r="P15">
            <v>0</v>
          </cell>
        </row>
        <row r="16">
          <cell r="B16" t="str">
            <v>Less:  Changes in Other Assets and Liabilities</v>
          </cell>
          <cell r="D16">
            <v>0</v>
          </cell>
          <cell r="E16">
            <v>0</v>
          </cell>
          <cell r="F16">
            <v>0</v>
          </cell>
          <cell r="G16">
            <v>0</v>
          </cell>
          <cell r="H16">
            <v>0</v>
          </cell>
          <cell r="I16">
            <v>0</v>
          </cell>
          <cell r="J16">
            <v>0</v>
          </cell>
          <cell r="K16">
            <v>0</v>
          </cell>
          <cell r="L16">
            <v>0</v>
          </cell>
          <cell r="M16">
            <v>0</v>
          </cell>
          <cell r="N16">
            <v>0</v>
          </cell>
          <cell r="O16">
            <v>0</v>
          </cell>
          <cell r="P16">
            <v>0</v>
          </cell>
        </row>
        <row r="17">
          <cell r="B17" t="str">
            <v>Unlevered Free Cash Flow</v>
          </cell>
          <cell r="D17">
            <v>1676.7750000000001</v>
          </cell>
          <cell r="E17">
            <v>2070.6104616249368</v>
          </cell>
          <cell r="F17">
            <v>2345.4439071451161</v>
          </cell>
          <cell r="G17">
            <v>2835.7203598128153</v>
          </cell>
          <cell r="H17">
            <v>3198.2495044580119</v>
          </cell>
          <cell r="I17">
            <v>3634.4386211892242</v>
          </cell>
          <cell r="J17">
            <v>3887.9468289700053</v>
          </cell>
          <cell r="K17">
            <v>4185.1406076000048</v>
          </cell>
          <cell r="L17">
            <v>4431.6854605800499</v>
          </cell>
          <cell r="M17">
            <v>4040.5879474738531</v>
          </cell>
          <cell r="N17">
            <v>4229.5681668411853</v>
          </cell>
          <cell r="O17">
            <v>4428.5388667070847</v>
          </cell>
          <cell r="P17">
            <v>4638.1262555421354</v>
          </cell>
          <cell r="Q17">
            <v>0.10265864305793268</v>
          </cell>
        </row>
        <row r="18">
          <cell r="B18" t="str">
            <v>Unlevered Free Cash Flow Growth Rate</v>
          </cell>
          <cell r="E18">
            <v>0.23487674948930937</v>
          </cell>
          <cell r="F18">
            <v>0.13273063698543308</v>
          </cell>
          <cell r="G18">
            <v>0.20903354421486275</v>
          </cell>
          <cell r="H18">
            <v>0.12784375701598694</v>
          </cell>
          <cell r="I18">
            <v>0.13638370493709528</v>
          </cell>
          <cell r="J18">
            <v>6.9751682227565226E-2</v>
          </cell>
          <cell r="K18">
            <v>7.6439774437124131E-2</v>
          </cell>
          <cell r="L18">
            <v>5.8909574634680606E-2</v>
          </cell>
          <cell r="M18">
            <v>-8.8250286845720116E-2</v>
          </cell>
          <cell r="N18">
            <v>4.6770475441694437E-2</v>
          </cell>
          <cell r="O18">
            <v>4.7042793026905727E-2</v>
          </cell>
          <cell r="P18">
            <v>4.7326532552460776E-2</v>
          </cell>
        </row>
        <row r="19">
          <cell r="B19" t="str">
            <v>EBITDA</v>
          </cell>
          <cell r="D19">
            <v>3458</v>
          </cell>
          <cell r="E19">
            <v>4131.6777167177024</v>
          </cell>
          <cell r="F19">
            <v>4133.7665556881493</v>
          </cell>
          <cell r="G19">
            <v>4670.2173281186242</v>
          </cell>
          <cell r="H19">
            <v>5176.5172935708206</v>
          </cell>
          <cell r="I19">
            <v>5646.107037450307</v>
          </cell>
          <cell r="J19">
            <v>6007.1715466950491</v>
          </cell>
          <cell r="K19">
            <v>6428.1909402813817</v>
          </cell>
          <cell r="L19">
            <v>6777.4299044545196</v>
          </cell>
          <cell r="M19">
            <v>6490.3327936697242</v>
          </cell>
          <cell r="N19">
            <v>6754.6407927848741</v>
          </cell>
          <cell r="O19">
            <v>7032.9214918980197</v>
          </cell>
          <cell r="P19">
            <v>7326.050707051937</v>
          </cell>
          <cell r="Q19">
            <v>7.2463306074041792E-2</v>
          </cell>
        </row>
        <row r="20">
          <cell r="B20" t="str">
            <v>Research and Development</v>
          </cell>
          <cell r="D20">
            <v>980</v>
          </cell>
          <cell r="E20">
            <v>1206.8698503557655</v>
          </cell>
          <cell r="F20">
            <v>1209.4327799906839</v>
          </cell>
          <cell r="G20">
            <v>1278.7383757051211</v>
          </cell>
          <cell r="H20">
            <v>1365.2559184970924</v>
          </cell>
          <cell r="I20">
            <v>1272.9679474668549</v>
          </cell>
          <cell r="J20">
            <v>1314.156598421953</v>
          </cell>
          <cell r="K20">
            <v>1368.4967682223096</v>
          </cell>
          <cell r="L20">
            <v>1419.6143591887881</v>
          </cell>
          <cell r="M20">
            <v>1471.3051124114359</v>
          </cell>
          <cell r="N20">
            <v>1516.1057425848278</v>
          </cell>
          <cell r="O20">
            <v>1563.1104784873512</v>
          </cell>
          <cell r="P20">
            <v>1612.4357703816588</v>
          </cell>
          <cell r="Q20">
            <v>4.6185071785929198E-2</v>
          </cell>
        </row>
        <row r="21">
          <cell r="B21" t="str">
            <v>R&amp;D expressed as EPS</v>
          </cell>
          <cell r="D21">
            <v>1.2617268389304044</v>
          </cell>
          <cell r="E21">
            <v>1.5538164094793778</v>
          </cell>
          <cell r="F21">
            <v>1.5571161208127111</v>
          </cell>
          <cell r="G21">
            <v>1.6463454373443085</v>
          </cell>
          <cell r="H21">
            <v>1.7577347289554714</v>
          </cell>
          <cell r="I21">
            <v>1.6389161473643672</v>
          </cell>
          <cell r="J21">
            <v>1.6919455620270036</v>
          </cell>
          <cell r="K21">
            <v>1.7619072463832743</v>
          </cell>
          <cell r="L21">
            <v>1.8277199366525319</v>
          </cell>
          <cell r="M21">
            <v>1.8942705597806369</v>
          </cell>
          <cell r="N21">
            <v>1.9519503123222326</v>
          </cell>
          <cell r="O21">
            <v>2.0124677988988138</v>
          </cell>
          <cell r="P21">
            <v>2.0759729464713894</v>
          </cell>
        </row>
        <row r="23">
          <cell r="B23" t="str">
            <v>Discount Rate</v>
          </cell>
          <cell r="C23">
            <v>0.1</v>
          </cell>
        </row>
        <row r="24">
          <cell r="B24" t="str">
            <v>Terminal growth rate</v>
          </cell>
          <cell r="C24">
            <v>1.7500000000000002E-2</v>
          </cell>
        </row>
        <row r="25">
          <cell r="B25" t="str">
            <v>F2Q09 Net Debt</v>
          </cell>
          <cell r="C25">
            <v>-190</v>
          </cell>
        </row>
        <row r="26">
          <cell r="B26" t="str">
            <v>Diluted Shares</v>
          </cell>
          <cell r="C26">
            <v>555.35</v>
          </cell>
        </row>
        <row r="27">
          <cell r="B27" t="str">
            <v>Value Per Share</v>
          </cell>
          <cell r="C27">
            <v>77</v>
          </cell>
        </row>
        <row r="29">
          <cell r="B29" t="str">
            <v>MONSANTO'S TECHNOLOGY PIPELINE</v>
          </cell>
        </row>
        <row r="30">
          <cell r="B30" t="str">
            <v>EBIT</v>
          </cell>
          <cell r="D30">
            <v>0</v>
          </cell>
          <cell r="E30">
            <v>0</v>
          </cell>
          <cell r="F30">
            <v>31.759878289906364</v>
          </cell>
          <cell r="G30">
            <v>113.57203698083541</v>
          </cell>
          <cell r="H30">
            <v>401.20499955193486</v>
          </cell>
          <cell r="I30">
            <v>942.98076985276691</v>
          </cell>
          <cell r="J30">
            <v>1818.5433404392004</v>
          </cell>
          <cell r="K30">
            <v>2847.7781882523332</v>
          </cell>
          <cell r="L30">
            <v>3895.8673318962296</v>
          </cell>
          <cell r="M30">
            <v>4680.6275070871588</v>
          </cell>
          <cell r="N30">
            <v>5314.9281996571672</v>
          </cell>
          <cell r="O30">
            <v>5659.4260364691909</v>
          </cell>
          <cell r="P30">
            <v>5946.1885374649864</v>
          </cell>
          <cell r="T30" t="str">
            <v>10-Yr T-Bond</v>
          </cell>
        </row>
        <row r="31">
          <cell r="B31" t="str">
            <v>Taxes @</v>
          </cell>
          <cell r="C31">
            <v>0.28499999999999998</v>
          </cell>
          <cell r="T31" t="str">
            <v>Equity Risk Premium</v>
          </cell>
        </row>
        <row r="32">
          <cell r="B32" t="str">
            <v>Tax-effected EBIT</v>
          </cell>
          <cell r="D32">
            <v>0</v>
          </cell>
          <cell r="E32">
            <v>0</v>
          </cell>
          <cell r="F32">
            <v>22.708312977283054</v>
          </cell>
          <cell r="G32">
            <v>81.204006441297324</v>
          </cell>
          <cell r="H32">
            <v>286.86157467963346</v>
          </cell>
          <cell r="I32">
            <v>674.2312504447284</v>
          </cell>
          <cell r="J32">
            <v>1300.2584884140285</v>
          </cell>
          <cell r="K32">
            <v>2036.1614046004183</v>
          </cell>
          <cell r="L32">
            <v>2785.5451423058043</v>
          </cell>
          <cell r="M32">
            <v>3346.6486675673191</v>
          </cell>
          <cell r="N32">
            <v>3800.1736627548748</v>
          </cell>
          <cell r="O32">
            <v>4046.489616075472</v>
          </cell>
          <cell r="P32">
            <v>4251.5248042874655</v>
          </cell>
          <cell r="T32" t="str">
            <v>Beta</v>
          </cell>
        </row>
        <row r="33">
          <cell r="B33" t="str">
            <v>Plus:  Depreciation &amp; Amortization</v>
          </cell>
          <cell r="D33">
            <v>0</v>
          </cell>
          <cell r="E33">
            <v>0</v>
          </cell>
          <cell r="F33">
            <v>0</v>
          </cell>
          <cell r="G33">
            <v>0</v>
          </cell>
          <cell r="H33">
            <v>0</v>
          </cell>
          <cell r="I33">
            <v>0</v>
          </cell>
          <cell r="J33">
            <v>0</v>
          </cell>
          <cell r="K33">
            <v>0</v>
          </cell>
          <cell r="L33">
            <v>0</v>
          </cell>
          <cell r="M33">
            <v>0</v>
          </cell>
          <cell r="N33">
            <v>0</v>
          </cell>
          <cell r="O33">
            <v>0</v>
          </cell>
          <cell r="P33">
            <v>0</v>
          </cell>
          <cell r="T33" t="str">
            <v>Cost Equity</v>
          </cell>
        </row>
        <row r="34">
          <cell r="B34" t="str">
            <v>Plus:  Changes in Deferred Taxes</v>
          </cell>
          <cell r="D34">
            <v>0</v>
          </cell>
          <cell r="E34">
            <v>0</v>
          </cell>
          <cell r="F34">
            <v>0</v>
          </cell>
          <cell r="G34">
            <v>0</v>
          </cell>
          <cell r="H34">
            <v>0</v>
          </cell>
          <cell r="I34">
            <v>0</v>
          </cell>
          <cell r="J34">
            <v>0</v>
          </cell>
          <cell r="K34">
            <v>0</v>
          </cell>
          <cell r="L34">
            <v>0</v>
          </cell>
          <cell r="M34">
            <v>0</v>
          </cell>
          <cell r="N34">
            <v>0</v>
          </cell>
          <cell r="O34">
            <v>0</v>
          </cell>
          <cell r="P34">
            <v>0</v>
          </cell>
          <cell r="T34" t="str">
            <v>Cost of Debt</v>
          </cell>
        </row>
        <row r="35">
          <cell r="B35" t="str">
            <v>Less:  Capital Expenditures</v>
          </cell>
          <cell r="D35">
            <v>0</v>
          </cell>
          <cell r="E35">
            <v>0</v>
          </cell>
          <cell r="F35">
            <v>0</v>
          </cell>
          <cell r="G35">
            <v>0</v>
          </cell>
          <cell r="H35">
            <v>0</v>
          </cell>
          <cell r="I35">
            <v>0</v>
          </cell>
          <cell r="J35">
            <v>0</v>
          </cell>
          <cell r="K35">
            <v>0</v>
          </cell>
          <cell r="L35">
            <v>0</v>
          </cell>
          <cell r="M35">
            <v>0</v>
          </cell>
          <cell r="N35">
            <v>0</v>
          </cell>
          <cell r="O35">
            <v>0</v>
          </cell>
          <cell r="P35">
            <v>0</v>
          </cell>
          <cell r="T35" t="str">
            <v>Weight Debt</v>
          </cell>
        </row>
        <row r="36">
          <cell r="B36" t="str">
            <v>Less:  Additions to Capitalized Software</v>
          </cell>
          <cell r="D36">
            <v>0</v>
          </cell>
          <cell r="E36">
            <v>0</v>
          </cell>
          <cell r="F36">
            <v>0</v>
          </cell>
          <cell r="G36">
            <v>0</v>
          </cell>
          <cell r="H36">
            <v>0</v>
          </cell>
          <cell r="I36">
            <v>0</v>
          </cell>
          <cell r="J36">
            <v>0</v>
          </cell>
          <cell r="K36">
            <v>0</v>
          </cell>
          <cell r="L36">
            <v>0</v>
          </cell>
          <cell r="M36">
            <v>0</v>
          </cell>
          <cell r="N36">
            <v>0</v>
          </cell>
          <cell r="O36">
            <v>0</v>
          </cell>
          <cell r="P36">
            <v>0</v>
          </cell>
          <cell r="T36" t="str">
            <v>Weight Equity</v>
          </cell>
        </row>
        <row r="37">
          <cell r="B37" t="str">
            <v>Less:  Changes in Working Capital</v>
          </cell>
          <cell r="D37">
            <v>0</v>
          </cell>
          <cell r="E37">
            <v>0</v>
          </cell>
          <cell r="F37">
            <v>0</v>
          </cell>
          <cell r="G37">
            <v>0</v>
          </cell>
          <cell r="H37">
            <v>0</v>
          </cell>
          <cell r="I37">
            <v>0</v>
          </cell>
          <cell r="J37">
            <v>0</v>
          </cell>
          <cell r="K37">
            <v>0</v>
          </cell>
          <cell r="L37">
            <v>0</v>
          </cell>
          <cell r="M37">
            <v>0</v>
          </cell>
          <cell r="N37">
            <v>0</v>
          </cell>
          <cell r="O37">
            <v>0</v>
          </cell>
          <cell r="P37">
            <v>0</v>
          </cell>
        </row>
        <row r="38">
          <cell r="B38" t="str">
            <v>Less:  Changes in Other Assets and Liabilities</v>
          </cell>
          <cell r="D38">
            <v>0</v>
          </cell>
          <cell r="E38">
            <v>0</v>
          </cell>
          <cell r="F38">
            <v>0</v>
          </cell>
          <cell r="G38">
            <v>0</v>
          </cell>
          <cell r="H38">
            <v>0</v>
          </cell>
          <cell r="I38">
            <v>0</v>
          </cell>
          <cell r="J38">
            <v>0</v>
          </cell>
          <cell r="K38">
            <v>0</v>
          </cell>
          <cell r="L38">
            <v>0</v>
          </cell>
          <cell r="M38">
            <v>0</v>
          </cell>
          <cell r="N38">
            <v>0</v>
          </cell>
          <cell r="O38">
            <v>0</v>
          </cell>
          <cell r="P38">
            <v>0</v>
          </cell>
        </row>
        <row r="39">
          <cell r="B39" t="str">
            <v>Unlevered Free Cash Flow</v>
          </cell>
          <cell r="D39">
            <v>0</v>
          </cell>
          <cell r="E39">
            <v>0</v>
          </cell>
          <cell r="F39">
            <v>22.708312977283054</v>
          </cell>
          <cell r="G39">
            <v>81.204006441297324</v>
          </cell>
          <cell r="H39">
            <v>286.86157467963346</v>
          </cell>
          <cell r="I39">
            <v>674.2312504447284</v>
          </cell>
          <cell r="J39">
            <v>1300.2584884140285</v>
          </cell>
          <cell r="K39">
            <v>2036.1614046004183</v>
          </cell>
          <cell r="L39">
            <v>2785.5451423058043</v>
          </cell>
          <cell r="M39">
            <v>3346.6486675673191</v>
          </cell>
          <cell r="N39">
            <v>3800.1736627548748</v>
          </cell>
          <cell r="O39">
            <v>4046.489616075472</v>
          </cell>
          <cell r="P39">
            <v>4251.5248042874655</v>
          </cell>
        </row>
        <row r="40">
          <cell r="B40" t="str">
            <v>Unlevered Free Cash Flow Growth Rate</v>
          </cell>
          <cell r="F40" t="e">
            <v>#DIV/0!</v>
          </cell>
          <cell r="G40">
            <v>2.5759594524935516</v>
          </cell>
          <cell r="H40">
            <v>2.5326037131801713</v>
          </cell>
          <cell r="I40">
            <v>1.350371433321834</v>
          </cell>
          <cell r="J40">
            <v>0.92850522362522869</v>
          </cell>
          <cell r="K40">
            <v>0.56596663105348899</v>
          </cell>
          <cell r="L40">
            <v>0.36803749251521012</v>
          </cell>
          <cell r="M40">
            <v>0.20143400899870079</v>
          </cell>
          <cell r="N40">
            <v>0.13551616564436775</v>
          </cell>
          <cell r="O40">
            <v>6.4817025530889749E-2</v>
          </cell>
          <cell r="P40">
            <v>5.0669891106961185E-2</v>
          </cell>
        </row>
        <row r="41">
          <cell r="B41" t="str">
            <v>EBITDA</v>
          </cell>
          <cell r="D41">
            <v>0</v>
          </cell>
          <cell r="E41">
            <v>0</v>
          </cell>
          <cell r="F41">
            <v>31.759878289906364</v>
          </cell>
          <cell r="G41">
            <v>113.57203698083541</v>
          </cell>
          <cell r="H41">
            <v>401.20499955193486</v>
          </cell>
          <cell r="I41">
            <v>942.98076985276691</v>
          </cell>
          <cell r="J41">
            <v>1818.5433404392004</v>
          </cell>
          <cell r="K41">
            <v>2847.7781882523332</v>
          </cell>
          <cell r="L41">
            <v>3895.8673318962296</v>
          </cell>
          <cell r="M41">
            <v>4680.6275070871588</v>
          </cell>
          <cell r="N41">
            <v>5314.9281996571672</v>
          </cell>
          <cell r="O41">
            <v>5659.4260364691909</v>
          </cell>
          <cell r="P41">
            <v>5946.1885374649864</v>
          </cell>
        </row>
        <row r="42">
          <cell r="B42" t="str">
            <v>Research and Development</v>
          </cell>
          <cell r="D42">
            <v>0</v>
          </cell>
          <cell r="E42">
            <v>0</v>
          </cell>
          <cell r="F42">
            <v>5.4290390239156183</v>
          </cell>
          <cell r="G42">
            <v>19.357457578420167</v>
          </cell>
          <cell r="H42">
            <v>69.757841713579538</v>
          </cell>
          <cell r="I42">
            <v>145.29174852797257</v>
          </cell>
          <cell r="J42">
            <v>276.60025762289735</v>
          </cell>
          <cell r="K42">
            <v>426.71322659761705</v>
          </cell>
          <cell r="L42">
            <v>574.38671803297473</v>
          </cell>
          <cell r="M42">
            <v>680.99633335119051</v>
          </cell>
          <cell r="N42">
            <v>766.38430506760506</v>
          </cell>
          <cell r="O42">
            <v>809.93917417471084</v>
          </cell>
          <cell r="P42">
            <v>844.37929181558275</v>
          </cell>
          <cell r="T42" t="str">
            <v>Discount Rate Sensitivity</v>
          </cell>
        </row>
        <row r="43">
          <cell r="B43" t="str">
            <v>R&amp;D expressed as EPS</v>
          </cell>
          <cell r="D43">
            <v>0</v>
          </cell>
          <cell r="E43">
            <v>0</v>
          </cell>
          <cell r="F43">
            <v>6.9897594347702666E-3</v>
          </cell>
          <cell r="G43">
            <v>2.492226914300967E-2</v>
          </cell>
          <cell r="H43">
            <v>8.9811572567226744E-2</v>
          </cell>
          <cell r="I43">
            <v>0.18705969244170415</v>
          </cell>
          <cell r="J43">
            <v>0.35611629458966709</v>
          </cell>
          <cell r="K43">
            <v>0.54938319441306604</v>
          </cell>
          <cell r="L43">
            <v>0.73950932455852514</v>
          </cell>
          <cell r="M43">
            <v>0.87676668469631991</v>
          </cell>
          <cell r="N43">
            <v>0.98670168024369787</v>
          </cell>
          <cell r="O43">
            <v>1.0427775448544492</v>
          </cell>
          <cell r="P43">
            <v>1.0871183823681312</v>
          </cell>
          <cell r="T43">
            <v>28.12039222440923</v>
          </cell>
          <cell r="U43">
            <v>10</v>
          </cell>
          <cell r="V43">
            <v>11</v>
          </cell>
          <cell r="W43">
            <v>12</v>
          </cell>
          <cell r="X43">
            <v>13</v>
          </cell>
          <cell r="Y43">
            <v>14</v>
          </cell>
          <cell r="Z43">
            <v>15</v>
          </cell>
          <cell r="AA43">
            <v>16</v>
          </cell>
          <cell r="AB43">
            <v>17</v>
          </cell>
          <cell r="AC43">
            <v>18</v>
          </cell>
          <cell r="AD43">
            <v>19</v>
          </cell>
          <cell r="AE43">
            <v>20</v>
          </cell>
        </row>
        <row r="44">
          <cell r="T44">
            <v>6.5000000000000002E-2</v>
          </cell>
          <cell r="U44">
            <v>23.635726578539533</v>
          </cell>
          <cell r="V44">
            <v>23.672103035809531</v>
          </cell>
          <cell r="W44">
            <v>23.702383731492592</v>
          </cell>
          <cell r="X44">
            <v>23.727982448716741</v>
          </cell>
          <cell r="Y44">
            <v>23.749907148398847</v>
          </cell>
          <cell r="Z44">
            <v>23.768895832053893</v>
          </cell>
          <cell r="AA44">
            <v>23.785501248227913</v>
          </cell>
          <cell r="AB44">
            <v>23.800145587794436</v>
          </cell>
          <cell r="AC44">
            <v>23.813156881409849</v>
          </cell>
          <cell r="AD44">
            <v>23.824793863579224</v>
          </cell>
          <cell r="AE44">
            <v>23.83526335318081</v>
          </cell>
        </row>
        <row r="45">
          <cell r="B45" t="str">
            <v>Discount Rate</v>
          </cell>
          <cell r="C45">
            <v>0.15662650602409639</v>
          </cell>
          <cell r="T45">
            <v>7.0000000000000007E-2</v>
          </cell>
          <cell r="U45">
            <v>22.899700492700404</v>
          </cell>
          <cell r="V45">
            <v>22.934364507771043</v>
          </cell>
          <cell r="W45">
            <v>22.963217288127417</v>
          </cell>
          <cell r="X45">
            <v>22.987607148088365</v>
          </cell>
          <cell r="Y45">
            <v>23.008495233467702</v>
          </cell>
          <cell r="Z45">
            <v>23.026585182828374</v>
          </cell>
          <cell r="AA45">
            <v>23.042403952106099</v>
          </cell>
          <cell r="AB45">
            <v>23.056353994948179</v>
          </cell>
          <cell r="AC45">
            <v>23.068747981700792</v>
          </cell>
          <cell r="AD45">
            <v>23.079832513962899</v>
          </cell>
          <cell r="AE45">
            <v>23.089804699786267</v>
          </cell>
        </row>
        <row r="46">
          <cell r="B46" t="str">
            <v>Terminal growth rate</v>
          </cell>
          <cell r="C46">
            <v>3.5000000000000003E-2</v>
          </cell>
          <cell r="T46">
            <v>7.4999999999999997E-2</v>
          </cell>
          <cell r="U46">
            <v>22.197607631160473</v>
          </cell>
          <cell r="V46">
            <v>22.230647407996774</v>
          </cell>
          <cell r="W46">
            <v>22.258145922470586</v>
          </cell>
          <cell r="X46">
            <v>22.281389347664124</v>
          </cell>
          <cell r="Y46">
            <v>22.301294399400774</v>
          </cell>
          <cell r="Z46">
            <v>22.318532107521129</v>
          </cell>
          <cell r="AA46">
            <v>22.33360495433908</v>
          </cell>
          <cell r="AB46">
            <v>22.346896667116511</v>
          </cell>
          <cell r="AC46">
            <v>22.358705343600779</v>
          </cell>
          <cell r="AD46">
            <v>22.369266075410358</v>
          </cell>
          <cell r="AE46">
            <v>22.378766758857616</v>
          </cell>
        </row>
        <row r="47">
          <cell r="B47" t="str">
            <v>F2Q09 Net Debt</v>
          </cell>
          <cell r="C47">
            <v>0</v>
          </cell>
          <cell r="T47">
            <v>0.08</v>
          </cell>
          <cell r="U47">
            <v>21.527680864978663</v>
          </cell>
          <cell r="V47">
            <v>21.55917967868098</v>
          </cell>
          <cell r="W47">
            <v>21.585393456527214</v>
          </cell>
          <cell r="X47">
            <v>21.607549374025727</v>
          </cell>
          <cell r="Y47">
            <v>21.626521970044575</v>
          </cell>
          <cell r="Z47">
            <v>21.642951322629251</v>
          </cell>
          <cell r="AA47">
            <v>21.657316686195767</v>
          </cell>
          <cell r="AB47">
            <v>21.669984016243763</v>
          </cell>
          <cell r="AC47">
            <v>21.681237581777491</v>
          </cell>
          <cell r="AD47">
            <v>21.691301552645907</v>
          </cell>
          <cell r="AE47">
            <v>21.700355084672125</v>
          </cell>
        </row>
        <row r="48">
          <cell r="B48" t="str">
            <v>Diluted Shares</v>
          </cell>
          <cell r="C48">
            <v>555.35</v>
          </cell>
          <cell r="T48">
            <v>8.5000000000000006E-2</v>
          </cell>
          <cell r="U48">
            <v>20.888254938335141</v>
          </cell>
          <cell r="V48">
            <v>20.918291431854399</v>
          </cell>
          <cell r="W48">
            <v>20.943286130406094</v>
          </cell>
          <cell r="X48">
            <v>20.96441018264704</v>
          </cell>
          <cell r="Y48">
            <v>20.98249807933772</v>
          </cell>
          <cell r="Z48">
            <v>20.998160512174469</v>
          </cell>
          <cell r="AA48">
            <v>21.011854684522781</v>
          </cell>
          <cell r="AB48">
            <v>21.023929681896419</v>
          </cell>
          <cell r="AC48">
            <v>21.034656647188157</v>
          </cell>
          <cell r="AD48">
            <v>21.044249384058872</v>
          </cell>
          <cell r="AE48">
            <v>21.052878752928518</v>
          </cell>
        </row>
        <row r="49">
          <cell r="B49" t="str">
            <v>Modeled pipeline value per share</v>
          </cell>
          <cell r="C49">
            <v>23.12039222440923</v>
          </cell>
          <cell r="T49">
            <v>0.09</v>
          </cell>
          <cell r="U49">
            <v>20.277760057083945</v>
          </cell>
          <cell r="V49">
            <v>20.306408518807693</v>
          </cell>
          <cell r="W49">
            <v>20.330246155724772</v>
          </cell>
          <cell r="X49">
            <v>20.350390897689554</v>
          </cell>
          <cell r="Y49">
            <v>20.367639199400593</v>
          </cell>
          <cell r="Z49">
            <v>20.382573845617191</v>
          </cell>
          <cell r="AA49">
            <v>20.395631100731769</v>
          </cell>
          <cell r="AB49">
            <v>20.407144032355557</v>
          </cell>
          <cell r="AC49">
            <v>20.417371321140294</v>
          </cell>
          <cell r="AD49">
            <v>20.426516929461272</v>
          </cell>
          <cell r="AE49">
            <v>20.434743842822844</v>
          </cell>
        </row>
        <row r="50">
          <cell r="B50" t="str">
            <v>Other pipeline traits value per share</v>
          </cell>
          <cell r="C50">
            <v>5</v>
          </cell>
          <cell r="T50">
            <v>9.5000000000000001E-2</v>
          </cell>
          <cell r="U50">
            <v>19.694715913307974</v>
          </cell>
          <cell r="V50">
            <v>19.722046536831513</v>
          </cell>
          <cell r="W50">
            <v>19.744785707432147</v>
          </cell>
          <cell r="X50">
            <v>19.764000791151638</v>
          </cell>
          <cell r="Y50">
            <v>19.780452108784175</v>
          </cell>
          <cell r="Z50">
            <v>19.794695936630404</v>
          </cell>
          <cell r="AA50">
            <v>19.807148651261127</v>
          </cell>
          <cell r="AB50">
            <v>19.818128107727915</v>
          </cell>
          <cell r="AC50">
            <v>19.827881151855486</v>
          </cell>
          <cell r="AD50">
            <v>19.836602400783107</v>
          </cell>
          <cell r="AE50">
            <v>19.844447362453487</v>
          </cell>
        </row>
        <row r="51">
          <cell r="B51" t="str">
            <v>Value Per Share</v>
          </cell>
          <cell r="C51">
            <v>28.12039222440923</v>
          </cell>
          <cell r="T51">
            <v>0.1</v>
          </cell>
          <cell r="U51">
            <v>19.137726114092974</v>
          </cell>
          <cell r="V51">
            <v>19.163805241393629</v>
          </cell>
          <cell r="W51">
            <v>19.185501322089145</v>
          </cell>
          <cell r="X51">
            <v>19.203833669343481</v>
          </cell>
          <cell r="Y51">
            <v>19.21952826879145</v>
          </cell>
          <cell r="Z51">
            <v>19.233116210595384</v>
          </cell>
          <cell r="AA51">
            <v>19.244994977329654</v>
          </cell>
          <cell r="AB51">
            <v>19.255467972852756</v>
          </cell>
          <cell r="AC51">
            <v>19.264770801278317</v>
          </cell>
          <cell r="AD51">
            <v>19.273089203415445</v>
          </cell>
          <cell r="AE51">
            <v>19.280571585237293</v>
          </cell>
        </row>
        <row r="52">
          <cell r="T52">
            <v>0.105</v>
          </cell>
          <cell r="U52">
            <v>18.605472985205907</v>
          </cell>
          <cell r="V52">
            <v>18.630363334350566</v>
          </cell>
          <cell r="W52">
            <v>18.651068673130425</v>
          </cell>
          <cell r="X52">
            <v>18.668562637147993</v>
          </cell>
          <cell r="Y52">
            <v>18.683538578277101</v>
          </cell>
          <cell r="Z52">
            <v>18.696503651178062</v>
          </cell>
          <cell r="AA52">
            <v>18.707837384299104</v>
          </cell>
          <cell r="AB52">
            <v>18.717829450285361</v>
          </cell>
          <cell r="AC52">
            <v>18.726704772378213</v>
          </cell>
          <cell r="AD52">
            <v>18.734640658419959</v>
          </cell>
          <cell r="AE52">
            <v>18.741778767528629</v>
          </cell>
        </row>
        <row r="53">
          <cell r="B53" t="str">
            <v>MONSANTO'S EXISTING BUSINESS + ITS TECHNOLOGY PIPELINE</v>
          </cell>
          <cell r="T53">
            <v>0.11</v>
          </cell>
          <cell r="U53">
            <v>18.096712722626663</v>
          </cell>
          <cell r="V53">
            <v>18.120473601060624</v>
          </cell>
          <cell r="W53">
            <v>18.140237695906038</v>
          </cell>
          <cell r="X53">
            <v>18.156935212808015</v>
          </cell>
          <cell r="Y53">
            <v>18.171228479616122</v>
          </cell>
          <cell r="Z53">
            <v>18.18360189863267</v>
          </cell>
          <cell r="AA53">
            <v>18.194417933254442</v>
          </cell>
          <cell r="AB53">
            <v>18.203953205931647</v>
          </cell>
          <cell r="AC53">
            <v>18.212422489489001</v>
          </cell>
          <cell r="AD53">
            <v>18.219995078122324</v>
          </cell>
          <cell r="AE53">
            <v>18.226806219934808</v>
          </cell>
        </row>
        <row r="54">
          <cell r="B54" t="str">
            <v>Total Value Per Share</v>
          </cell>
          <cell r="C54">
            <v>105.12039222440923</v>
          </cell>
          <cell r="T54">
            <v>0.115</v>
          </cell>
          <cell r="U54">
            <v>17.61027086696253</v>
          </cell>
          <cell r="V54">
            <v>17.6329583713528</v>
          </cell>
          <cell r="W54">
            <v>17.651828037393848</v>
          </cell>
          <cell r="X54">
            <v>17.667768768077337</v>
          </cell>
          <cell r="Y54">
            <v>17.68141339063213</v>
          </cell>
          <cell r="Z54">
            <v>17.693224674583661</v>
          </cell>
          <cell r="AA54">
            <v>17.703548859517056</v>
          </cell>
          <cell r="AB54">
            <v>17.712650162018306</v>
          </cell>
          <cell r="AC54">
            <v>17.720733706342173</v>
          </cell>
          <cell r="AD54">
            <v>17.727961169720963</v>
          </cell>
          <cell r="AE54">
            <v>17.734461706936436</v>
          </cell>
        </row>
        <row r="55">
          <cell r="T55">
            <v>0.12</v>
          </cell>
          <cell r="U55">
            <v>17.14503807768369</v>
          </cell>
          <cell r="V55">
            <v>17.166705281219805</v>
          </cell>
          <cell r="W55">
            <v>17.184724807392939</v>
          </cell>
          <cell r="X55">
            <v>17.199946270495708</v>
          </cell>
          <cell r="Y55">
            <v>17.212974439203272</v>
          </cell>
          <cell r="Z55">
            <v>17.224251509966265</v>
          </cell>
          <cell r="AA55">
            <v>17.234108294738959</v>
          </cell>
          <cell r="AB55">
            <v>17.242797214017251</v>
          </cell>
          <cell r="AC55">
            <v>17.250514218387465</v>
          </cell>
          <cell r="AD55">
            <v>17.257413743481173</v>
          </cell>
          <cell r="AE55">
            <v>17.263619151362235</v>
          </cell>
        </row>
        <row r="56">
          <cell r="B56" t="str">
            <v>EBIT</v>
          </cell>
          <cell r="D56">
            <v>2885</v>
          </cell>
          <cell r="E56">
            <v>3547.604403834267</v>
          </cell>
          <cell r="F56">
            <v>3499.5586451075674</v>
          </cell>
          <cell r="G56">
            <v>4094.2631538433243</v>
          </cell>
          <cell r="H56">
            <v>4886.3551367898608</v>
          </cell>
          <cell r="I56">
            <v>5896.20328304955</v>
          </cell>
          <cell r="J56">
            <v>7149.1563850884768</v>
          </cell>
          <cell r="K56">
            <v>8612.867074853657</v>
          </cell>
          <cell r="L56">
            <v>10021.286433210162</v>
          </cell>
          <cell r="M56">
            <v>11170.960300756884</v>
          </cell>
          <cell r="N56">
            <v>12069.56899244204</v>
          </cell>
          <cell r="O56">
            <v>12692.347528367211</v>
          </cell>
          <cell r="P56">
            <v>13272.239244516924</v>
          </cell>
          <cell r="T56">
            <v>0.125</v>
          </cell>
          <cell r="U56">
            <v>16.699966185874004</v>
          </cell>
          <cell r="V56">
            <v>16.720663313865387</v>
          </cell>
          <cell r="W56">
            <v>16.737874609774003</v>
          </cell>
          <cell r="X56">
            <v>16.752412306318185</v>
          </cell>
          <cell r="Y56">
            <v>16.764854479036167</v>
          </cell>
          <cell r="Z56">
            <v>16.775623754581993</v>
          </cell>
          <cell r="AA56">
            <v>16.785036271003928</v>
          </cell>
          <cell r="AB56">
            <v>16.793333229924009</v>
          </cell>
          <cell r="AC56">
            <v>16.800701857776104</v>
          </cell>
          <cell r="AD56">
            <v>16.807289703869046</v>
          </cell>
          <cell r="AE56">
            <v>16.813214622053252</v>
          </cell>
        </row>
        <row r="57">
          <cell r="B57" t="str">
            <v>Taxes @</v>
          </cell>
          <cell r="C57">
            <v>0.3</v>
          </cell>
          <cell r="T57">
            <v>0.13</v>
          </cell>
          <cell r="U57">
            <v>16.274064505804152</v>
          </cell>
          <cell r="V57">
            <v>16.293839100353274</v>
          </cell>
          <cell r="W57">
            <v>16.310281833984259</v>
          </cell>
          <cell r="X57">
            <v>16.324169364253791</v>
          </cell>
          <cell r="Y57">
            <v>16.3360543667267</v>
          </cell>
          <cell r="Z57">
            <v>16.346340848355915</v>
          </cell>
          <cell r="AA57">
            <v>16.35533098699468</v>
          </cell>
          <cell r="AB57">
            <v>16.363255311924043</v>
          </cell>
          <cell r="AC57">
            <v>16.370292751019122</v>
          </cell>
          <cell r="AD57">
            <v>16.376584303617637</v>
          </cell>
          <cell r="AE57">
            <v>16.38224258469139</v>
          </cell>
        </row>
        <row r="58">
          <cell r="B58" t="str">
            <v>Tax-effected EBIT</v>
          </cell>
          <cell r="D58">
            <v>2019.4999999999998</v>
          </cell>
          <cell r="E58">
            <v>2483.3230826839867</v>
          </cell>
          <cell r="F58">
            <v>2449.691051575297</v>
          </cell>
          <cell r="G58">
            <v>2865.9842076903269</v>
          </cell>
          <cell r="H58">
            <v>3420.4485957529023</v>
          </cell>
          <cell r="I58">
            <v>4127.3422981346848</v>
          </cell>
          <cell r="J58">
            <v>5004.4094695619333</v>
          </cell>
          <cell r="K58">
            <v>6029.0069523975599</v>
          </cell>
          <cell r="L58">
            <v>7014.9005032471132</v>
          </cell>
          <cell r="M58">
            <v>7819.6722105298186</v>
          </cell>
          <cell r="N58">
            <v>8448.6982947094275</v>
          </cell>
          <cell r="O58">
            <v>8884.6432698570461</v>
          </cell>
          <cell r="P58">
            <v>9290.5674711618467</v>
          </cell>
          <cell r="T58">
            <v>0.13500000000000001</v>
          </cell>
          <cell r="U58">
            <v>15.866396387118812</v>
          </cell>
          <cell r="V58">
            <v>15.885293461594499</v>
          </cell>
          <cell r="W58">
            <v>15.901005188497379</v>
          </cell>
          <cell r="X58">
            <v>15.914274361664871</v>
          </cell>
          <cell r="Y58">
            <v>15.925629481724897</v>
          </cell>
          <cell r="Z58">
            <v>15.935456835883814</v>
          </cell>
          <cell r="AA58">
            <v>15.944045317788216</v>
          </cell>
          <cell r="AB58">
            <v>15.95161530198679</v>
          </cell>
          <cell r="AC58">
            <v>15.958337820839876</v>
          </cell>
          <cell r="AD58">
            <v>15.964347642226427</v>
          </cell>
          <cell r="AE58">
            <v>15.969752397276551</v>
          </cell>
        </row>
        <row r="59">
          <cell r="B59" t="str">
            <v>Plus:  Depreciation &amp; Amortization</v>
          </cell>
          <cell r="D59">
            <v>573</v>
          </cell>
          <cell r="E59">
            <v>584.07331288343562</v>
          </cell>
          <cell r="F59">
            <v>665.96778887048822</v>
          </cell>
          <cell r="G59">
            <v>689.52621125613553</v>
          </cell>
          <cell r="H59">
            <v>691.36715633289452</v>
          </cell>
          <cell r="I59">
            <v>692.88452425352375</v>
          </cell>
          <cell r="J59">
            <v>676.55850204577257</v>
          </cell>
          <cell r="K59">
            <v>663.10205368005848</v>
          </cell>
          <cell r="L59">
            <v>652.010803140588</v>
          </cell>
          <cell r="M59">
            <v>0</v>
          </cell>
          <cell r="N59">
            <v>0</v>
          </cell>
          <cell r="O59">
            <v>0</v>
          </cell>
          <cell r="P59">
            <v>0</v>
          </cell>
          <cell r="T59">
            <v>0.14000000000000001</v>
          </cell>
          <cell r="U59">
            <v>15.476075990794678</v>
          </cell>
          <cell r="V59">
            <v>15.494138174778856</v>
          </cell>
          <cell r="W59">
            <v>15.509154459271608</v>
          </cell>
          <cell r="X59">
            <v>15.521835396253817</v>
          </cell>
          <cell r="Y59">
            <v>15.532686472199638</v>
          </cell>
          <cell r="Z59">
            <v>15.542077107237539</v>
          </cell>
          <cell r="AA59">
            <v>15.550283551224007</v>
          </cell>
          <cell r="AB59">
            <v>15.557516514310532</v>
          </cell>
          <cell r="AC59">
            <v>15.563939515125334</v>
          </cell>
          <cell r="AD59">
            <v>15.569681391781618</v>
          </cell>
          <cell r="AE59">
            <v>15.574845033125087</v>
          </cell>
        </row>
        <row r="60">
          <cell r="B60" t="str">
            <v>Plus:  Changes in Deferred Taxes</v>
          </cell>
          <cell r="D60">
            <v>0</v>
          </cell>
          <cell r="E60">
            <v>0</v>
          </cell>
          <cell r="F60">
            <v>0</v>
          </cell>
          <cell r="G60">
            <v>0</v>
          </cell>
          <cell r="H60">
            <v>0</v>
          </cell>
          <cell r="I60">
            <v>0</v>
          </cell>
          <cell r="J60">
            <v>0</v>
          </cell>
          <cell r="K60">
            <v>0</v>
          </cell>
          <cell r="L60">
            <v>0</v>
          </cell>
          <cell r="M60">
            <v>0</v>
          </cell>
          <cell r="N60">
            <v>0</v>
          </cell>
          <cell r="O60">
            <v>0</v>
          </cell>
          <cell r="P60">
            <v>0</v>
          </cell>
          <cell r="T60">
            <v>0.14499999999999999</v>
          </cell>
          <cell r="U60">
            <v>15.102265273282873</v>
          </cell>
          <cell r="V60">
            <v>15.119532948616934</v>
          </cell>
          <cell r="W60">
            <v>15.133887477542883</v>
          </cell>
          <cell r="X60">
            <v>15.146008707530532</v>
          </cell>
          <cell r="Y60">
            <v>15.156380211067416</v>
          </cell>
          <cell r="Z60">
            <v>15.165355349267799</v>
          </cell>
          <cell r="AA60">
            <v>15.173198335061949</v>
          </cell>
          <cell r="AB60">
            <v>15.18011067881586</v>
          </cell>
          <cell r="AC60">
            <v>15.186248747156281</v>
          </cell>
          <cell r="AD60">
            <v>15.191735734261972</v>
          </cell>
          <cell r="AE60">
            <v>15.196670015539841</v>
          </cell>
        </row>
        <row r="61">
          <cell r="B61" t="str">
            <v>Less:  Capital Expenditures</v>
          </cell>
          <cell r="D61">
            <v>-959</v>
          </cell>
          <cell r="E61">
            <v>-1050</v>
          </cell>
          <cell r="F61">
            <v>-800</v>
          </cell>
          <cell r="G61">
            <v>-700</v>
          </cell>
          <cell r="H61">
            <v>-700</v>
          </cell>
          <cell r="I61">
            <v>-600</v>
          </cell>
          <cell r="J61">
            <v>-600</v>
          </cell>
          <cell r="K61">
            <v>-600</v>
          </cell>
          <cell r="L61">
            <v>-600</v>
          </cell>
          <cell r="M61">
            <v>-600</v>
          </cell>
          <cell r="N61">
            <v>-600</v>
          </cell>
          <cell r="O61">
            <v>-600</v>
          </cell>
          <cell r="P61">
            <v>-600</v>
          </cell>
          <cell r="T61">
            <v>0.15</v>
          </cell>
          <cell r="U61">
            <v>14.744171164407168</v>
          </cell>
          <cell r="V61">
            <v>14.760682592920434</v>
          </cell>
          <cell r="W61">
            <v>14.774407282444127</v>
          </cell>
          <cell r="X61">
            <v>14.785995833520545</v>
          </cell>
          <cell r="Y61">
            <v>14.795910947618426</v>
          </cell>
          <cell r="Z61">
            <v>14.804490692814229</v>
          </cell>
          <cell r="AA61">
            <v>14.811987820319716</v>
          </cell>
          <cell r="AB61">
            <v>14.818595081058966</v>
          </cell>
          <cell r="AC61">
            <v>14.824462032471697</v>
          </cell>
          <cell r="AD61">
            <v>14.829706495670868</v>
          </cell>
          <cell r="AE61">
            <v>14.834422549479703</v>
          </cell>
        </row>
        <row r="62">
          <cell r="B62" t="str">
            <v>Less:  Additions to Capitalized Software</v>
          </cell>
          <cell r="D62">
            <v>0</v>
          </cell>
          <cell r="E62">
            <v>0</v>
          </cell>
          <cell r="F62">
            <v>0</v>
          </cell>
          <cell r="G62">
            <v>0</v>
          </cell>
          <cell r="H62">
            <v>0</v>
          </cell>
          <cell r="I62">
            <v>0</v>
          </cell>
          <cell r="J62">
            <v>0</v>
          </cell>
          <cell r="K62">
            <v>0</v>
          </cell>
          <cell r="L62">
            <v>0</v>
          </cell>
          <cell r="M62">
            <v>0</v>
          </cell>
          <cell r="N62">
            <v>0</v>
          </cell>
          <cell r="O62">
            <v>0</v>
          </cell>
          <cell r="P62">
            <v>0</v>
          </cell>
          <cell r="T62">
            <v>0.155</v>
          </cell>
          <cell r="U62">
            <v>14.401042925655393</v>
          </cell>
          <cell r="V62">
            <v>14.41683436911779</v>
          </cell>
          <cell r="W62">
            <v>14.42995946501372</v>
          </cell>
          <cell r="X62">
            <v>14.44104094924816</v>
          </cell>
          <cell r="Y62">
            <v>14.450521641249381</v>
          </cell>
          <cell r="Z62">
            <v>14.458725042310729</v>
          </cell>
          <cell r="AA62">
            <v>14.465892987258306</v>
          </cell>
          <cell r="AB62">
            <v>14.472209885017092</v>
          </cell>
          <cell r="AC62">
            <v>14.477818808804596</v>
          </cell>
          <cell r="AD62">
            <v>14.482832463418577</v>
          </cell>
          <cell r="AE62">
            <v>14.487340836640371</v>
          </cell>
        </row>
        <row r="63">
          <cell r="B63" t="str">
            <v>Less:  Changes in Working Capital</v>
          </cell>
          <cell r="D63">
            <v>0</v>
          </cell>
          <cell r="E63">
            <v>0</v>
          </cell>
          <cell r="F63">
            <v>0</v>
          </cell>
          <cell r="G63">
            <v>0</v>
          </cell>
          <cell r="H63">
            <v>0</v>
          </cell>
          <cell r="I63">
            <v>0</v>
          </cell>
          <cell r="J63">
            <v>0</v>
          </cell>
          <cell r="K63">
            <v>0</v>
          </cell>
          <cell r="L63">
            <v>0</v>
          </cell>
          <cell r="M63">
            <v>0</v>
          </cell>
          <cell r="N63">
            <v>0</v>
          </cell>
          <cell r="O63">
            <v>0</v>
          </cell>
          <cell r="P63">
            <v>0</v>
          </cell>
          <cell r="T63">
            <v>0.16</v>
          </cell>
          <cell r="U63">
            <v>14.072169676484368</v>
          </cell>
          <cell r="V63">
            <v>14.087275509287748</v>
          </cell>
          <cell r="W63">
            <v>14.099829681144609</v>
          </cell>
          <cell r="X63">
            <v>14.110428374519097</v>
          </cell>
          <cell r="Y63">
            <v>14.119495464804782</v>
          </cell>
          <cell r="Z63">
            <v>14.127340575267603</v>
          </cell>
          <cell r="AA63">
            <v>14.134195141480063</v>
          </cell>
          <cell r="AB63">
            <v>14.140235626194608</v>
          </cell>
          <cell r="AC63">
            <v>14.145598926524114</v>
          </cell>
          <cell r="AD63">
            <v>14.150392874377028</v>
          </cell>
          <cell r="AE63">
            <v>14.154703561357669</v>
          </cell>
        </row>
        <row r="64">
          <cell r="B64" t="str">
            <v>Less:  Changes in Other Assets and Liabilities</v>
          </cell>
          <cell r="D64">
            <v>0</v>
          </cell>
          <cell r="E64">
            <v>0</v>
          </cell>
          <cell r="F64">
            <v>0</v>
          </cell>
          <cell r="G64">
            <v>0</v>
          </cell>
          <cell r="H64">
            <v>0</v>
          </cell>
          <cell r="I64">
            <v>0</v>
          </cell>
          <cell r="J64">
            <v>0</v>
          </cell>
          <cell r="K64">
            <v>0</v>
          </cell>
          <cell r="L64">
            <v>0</v>
          </cell>
          <cell r="M64">
            <v>0</v>
          </cell>
          <cell r="N64">
            <v>0</v>
          </cell>
          <cell r="O64">
            <v>0</v>
          </cell>
          <cell r="P64">
            <v>0</v>
          </cell>
          <cell r="T64">
            <v>0.16500000000000001</v>
          </cell>
          <cell r="U64">
            <v>13.756878077164339</v>
          </cell>
          <cell r="V64">
            <v>13.771330892202393</v>
          </cell>
          <cell r="W64">
            <v>13.783341321936165</v>
          </cell>
          <cell r="X64">
            <v>13.793480239440294</v>
          </cell>
          <cell r="Y64">
            <v>13.802153465942736</v>
          </cell>
          <cell r="Z64">
            <v>13.809657400028271</v>
          </cell>
          <cell r="AA64">
            <v>13.816213568520428</v>
          </cell>
          <cell r="AB64">
            <v>13.821990863416849</v>
          </cell>
          <cell r="AC64">
            <v>13.827120297937999</v>
          </cell>
          <cell r="AD64">
            <v>13.831705061949874</v>
          </cell>
          <cell r="AE64">
            <v>13.835827535665613</v>
          </cell>
        </row>
        <row r="65">
          <cell r="B65" t="str">
            <v>Unlevered Free Cash Flow</v>
          </cell>
          <cell r="D65">
            <v>1633.5</v>
          </cell>
          <cell r="E65">
            <v>2017.3963955674226</v>
          </cell>
          <cell r="F65">
            <v>2315.6588404457852</v>
          </cell>
          <cell r="G65">
            <v>2855.5104189464623</v>
          </cell>
          <cell r="H65">
            <v>3411.8157520857967</v>
          </cell>
          <cell r="I65">
            <v>4220.2268223882083</v>
          </cell>
          <cell r="J65">
            <v>5080.9679716077062</v>
          </cell>
          <cell r="K65">
            <v>6092.1090060776187</v>
          </cell>
          <cell r="L65">
            <v>7066.9113063877012</v>
          </cell>
          <cell r="M65">
            <v>7219.6722105298186</v>
          </cell>
          <cell r="N65">
            <v>7848.6982947094275</v>
          </cell>
          <cell r="O65">
            <v>8284.6432698570461</v>
          </cell>
          <cell r="P65">
            <v>8690.5674711618467</v>
          </cell>
        </row>
        <row r="66">
          <cell r="B66" t="str">
            <v>Unlevered Free Cash Flow Growth Rate</v>
          </cell>
          <cell r="E66">
            <v>0.23501462844653975</v>
          </cell>
          <cell r="F66">
            <v>0.14784523534080773</v>
          </cell>
          <cell r="G66">
            <v>0.23313087794778564</v>
          </cell>
          <cell r="H66">
            <v>0.19481817662027034</v>
          </cell>
          <cell r="I66">
            <v>0.23694452720906556</v>
          </cell>
          <cell r="J66">
            <v>0.20395613445544813</v>
          </cell>
          <cell r="K66">
            <v>0.19900559108424565</v>
          </cell>
          <cell r="L66">
            <v>0.16001064645061325</v>
          </cell>
          <cell r="M66">
            <v>2.1616360743630381E-2</v>
          </cell>
          <cell r="N66">
            <v>8.7126681909766024E-2</v>
          </cell>
          <cell r="O66">
            <v>5.5543602108068857E-2</v>
          </cell>
          <cell r="P66">
            <v>4.8997185283972344E-2</v>
          </cell>
        </row>
        <row r="67">
          <cell r="B67" t="str">
            <v>EBITDA</v>
          </cell>
          <cell r="D67">
            <v>2206.5</v>
          </cell>
          <cell r="E67">
            <v>2601.469708450858</v>
          </cell>
          <cell r="F67">
            <v>2981.6266293162735</v>
          </cell>
          <cell r="G67">
            <v>3545.0366302025977</v>
          </cell>
          <cell r="H67">
            <v>4103.1829084186911</v>
          </cell>
          <cell r="I67">
            <v>4913.1113466417319</v>
          </cell>
          <cell r="J67">
            <v>5757.5264736534791</v>
          </cell>
          <cell r="K67">
            <v>6755.2110597576775</v>
          </cell>
          <cell r="L67">
            <v>7718.9221095282892</v>
          </cell>
          <cell r="M67">
            <v>7219.6722105298186</v>
          </cell>
          <cell r="N67">
            <v>7848.6982947094275</v>
          </cell>
          <cell r="O67">
            <v>8284.6432698570461</v>
          </cell>
          <cell r="P67">
            <v>8690.5674711618467</v>
          </cell>
        </row>
        <row r="68">
          <cell r="B68" t="str">
            <v>Research and Development</v>
          </cell>
          <cell r="D68">
            <v>980</v>
          </cell>
          <cell r="E68">
            <v>1206.8698503557655</v>
          </cell>
          <cell r="F68">
            <v>1214.8618190145996</v>
          </cell>
          <cell r="G68">
            <v>1298.0958332835412</v>
          </cell>
          <cell r="H68">
            <v>1435.013760210672</v>
          </cell>
          <cell r="I68">
            <v>1418.2596959948273</v>
          </cell>
          <cell r="J68">
            <v>1590.7568560448503</v>
          </cell>
          <cell r="K68">
            <v>1795.2099948199266</v>
          </cell>
          <cell r="L68">
            <v>1994.0010772217629</v>
          </cell>
          <cell r="M68">
            <v>2152.3014457626264</v>
          </cell>
          <cell r="N68">
            <v>2282.4900476524326</v>
          </cell>
          <cell r="O68">
            <v>2373.0496526620618</v>
          </cell>
          <cell r="P68">
            <v>2456.8150621972418</v>
          </cell>
        </row>
        <row r="70">
          <cell r="D70" t="str">
            <v>Products</v>
          </cell>
        </row>
        <row r="71">
          <cell r="C71" t="str">
            <v>Probability of commericalization</v>
          </cell>
          <cell r="D71" t="str">
            <v>in phase</v>
          </cell>
        </row>
        <row r="72">
          <cell r="B72" t="str">
            <v>Phase I</v>
          </cell>
          <cell r="C72">
            <v>0.25</v>
          </cell>
          <cell r="D72">
            <v>2</v>
          </cell>
          <cell r="E72">
            <v>0.2</v>
          </cell>
        </row>
        <row r="73">
          <cell r="B73" t="str">
            <v>Phase II</v>
          </cell>
          <cell r="C73">
            <v>0.5</v>
          </cell>
          <cell r="D73">
            <v>3</v>
          </cell>
          <cell r="E73">
            <v>0.17333333333333334</v>
          </cell>
        </row>
        <row r="74">
          <cell r="B74" t="str">
            <v>Phase III</v>
          </cell>
          <cell r="C74">
            <v>0.75</v>
          </cell>
          <cell r="D74">
            <v>6</v>
          </cell>
          <cell r="E74">
            <v>0.15166666666666667</v>
          </cell>
        </row>
        <row r="75">
          <cell r="B75" t="str">
            <v>Phase IV</v>
          </cell>
          <cell r="C75">
            <v>0.9</v>
          </cell>
          <cell r="D75">
            <v>2</v>
          </cell>
          <cell r="E75">
            <v>0.125</v>
          </cell>
        </row>
        <row r="76">
          <cell r="B76" t="str">
            <v>Weighted Average Probability</v>
          </cell>
          <cell r="C76">
            <v>0.63846153846153852</v>
          </cell>
        </row>
        <row r="78">
          <cell r="B78" t="str">
            <v>MON's Cost of Capital</v>
          </cell>
          <cell r="C78">
            <v>0.1</v>
          </cell>
        </row>
        <row r="79">
          <cell r="B79" t="str">
            <v>Probability Adjusted Cost of Capital</v>
          </cell>
          <cell r="C79">
            <v>0.15662650602409639</v>
          </cell>
          <cell r="E79">
            <v>0.16</v>
          </cell>
        </row>
        <row r="81">
          <cell r="B81" t="str">
            <v>MON R&amp;D as EPS</v>
          </cell>
          <cell r="D81">
            <v>1.2496523432067863</v>
          </cell>
          <cell r="E81">
            <v>1.5559895792828451</v>
          </cell>
          <cell r="F81">
            <v>1.5532437747493066</v>
          </cell>
          <cell r="G81">
            <v>1.6604179385925921</v>
          </cell>
          <cell r="H81">
            <v>1.7949928252113552</v>
          </cell>
          <cell r="I81">
            <v>1.7127062025999964</v>
          </cell>
          <cell r="J81">
            <v>1.7728922523224011</v>
          </cell>
          <cell r="K81">
            <v>1.8827132767459329</v>
          </cell>
          <cell r="L81">
            <v>1.9539385247107746</v>
          </cell>
          <cell r="M81">
            <v>2.0737742058871</v>
          </cell>
          <cell r="N81">
            <v>2.1286527809791469</v>
          </cell>
          <cell r="O81">
            <v>2.2336092306252615</v>
          </cell>
          <cell r="P81">
            <v>2.3183344766017591</v>
          </cell>
        </row>
        <row r="82">
          <cell r="B82" t="str">
            <v>Pipeline R&amp;D as EPS</v>
          </cell>
          <cell r="D82">
            <v>0</v>
          </cell>
          <cell r="E82">
            <v>0</v>
          </cell>
          <cell r="F82">
            <v>6.9723768086002611E-3</v>
          </cell>
          <cell r="G82">
            <v>2.5135297743004336E-2</v>
          </cell>
          <cell r="H82">
            <v>9.1715277466765541E-2</v>
          </cell>
          <cell r="I82">
            <v>0.19548181035165996</v>
          </cell>
          <cell r="J82">
            <v>0.37315374310707644</v>
          </cell>
          <cell r="K82">
            <v>0.58705192130049821</v>
          </cell>
          <cell r="L82">
            <v>0.7905783209238183</v>
          </cell>
          <cell r="M82">
            <v>0.95985028427772856</v>
          </cell>
          <cell r="N82">
            <v>1.0760239450710025</v>
          </cell>
          <cell r="O82">
            <v>1.1573638847538918</v>
          </cell>
          <cell r="P82">
            <v>1.2140351011199009</v>
          </cell>
        </row>
        <row r="83">
          <cell r="B83" t="str">
            <v>TOTAL</v>
          </cell>
          <cell r="D83">
            <v>1.2496523432067863</v>
          </cell>
          <cell r="E83">
            <v>1.5559895792828451</v>
          </cell>
          <cell r="F83">
            <v>1.5602161515579069</v>
          </cell>
          <cell r="G83">
            <v>1.6855532363355965</v>
          </cell>
          <cell r="H83">
            <v>1.8867081026781207</v>
          </cell>
          <cell r="I83">
            <v>1.9081880129516564</v>
          </cell>
          <cell r="J83">
            <v>2.1460459954294775</v>
          </cell>
          <cell r="K83">
            <v>2.469765198046431</v>
          </cell>
          <cell r="L83">
            <v>2.744516845634593</v>
          </cell>
          <cell r="M83">
            <v>3.0336244901648284</v>
          </cell>
          <cell r="N83">
            <v>3.2046767260501494</v>
          </cell>
          <cell r="O83">
            <v>3.3909731153791531</v>
          </cell>
          <cell r="P83">
            <v>3.5323695777216599</v>
          </cell>
        </row>
        <row r="85">
          <cell r="B85" t="str">
            <v>MON EPS</v>
          </cell>
          <cell r="D85">
            <v>3.6366887180404079</v>
          </cell>
          <cell r="E85">
            <v>4.402203461316236</v>
          </cell>
          <cell r="F85">
            <v>4.3992851339707242</v>
          </cell>
          <cell r="G85">
            <v>5.1512469838065913</v>
          </cell>
          <cell r="H85">
            <v>5.9197160312166224</v>
          </cell>
          <cell r="I85">
            <v>6.7278990297263608</v>
          </cell>
          <cell r="J85">
            <v>7.2979105974996905</v>
          </cell>
          <cell r="K85">
            <v>8.086358481731498</v>
          </cell>
          <cell r="L85">
            <v>8.6334305752194442</v>
          </cell>
          <cell r="M85">
            <v>9.4063913392402032</v>
          </cell>
          <cell r="N85">
            <v>9.7914627309818378</v>
          </cell>
          <cell r="O85">
            <v>10.414111102199115</v>
          </cell>
          <cell r="P85">
            <v>10.950239758709918</v>
          </cell>
        </row>
        <row r="87">
          <cell r="B87" t="str">
            <v>TRUE CASH EPS</v>
          </cell>
          <cell r="D87">
            <v>4.8863410612471938</v>
          </cell>
          <cell r="E87">
            <v>5.9581930405990811</v>
          </cell>
          <cell r="F87">
            <v>5.9595012855286313</v>
          </cell>
          <cell r="G87">
            <v>6.8368002201421874</v>
          </cell>
          <cell r="H87">
            <v>7.8064241338947431</v>
          </cell>
          <cell r="I87">
            <v>8.6360870426780174</v>
          </cell>
          <cell r="J87">
            <v>9.4439565929291689</v>
          </cell>
          <cell r="K87">
            <v>10.556123679777929</v>
          </cell>
          <cell r="L87">
            <v>11.377947420854037</v>
          </cell>
          <cell r="M87">
            <v>12.440015829405031</v>
          </cell>
          <cell r="N87">
            <v>12.996139457031987</v>
          </cell>
          <cell r="O87">
            <v>13.805084217578269</v>
          </cell>
          <cell r="P87">
            <v>14.482609336431578</v>
          </cell>
        </row>
        <row r="91">
          <cell r="B91" t="str">
            <v>Seeds and Traits Gross Profit</v>
          </cell>
          <cell r="D91">
            <v>3857</v>
          </cell>
          <cell r="E91">
            <v>4576.4922803020063</v>
          </cell>
          <cell r="F91">
            <v>5489.5341020911001</v>
          </cell>
          <cell r="G91">
            <v>6248.2273584022705</v>
          </cell>
          <cell r="H91">
            <v>7409.9977440520606</v>
          </cell>
          <cell r="I91">
            <v>8642.5034150613265</v>
          </cell>
          <cell r="J91">
            <v>10305.406265242271</v>
          </cell>
          <cell r="K91">
            <v>12248.666959602393</v>
          </cell>
          <cell r="L91">
            <v>14098.505931451677</v>
          </cell>
          <cell r="M91">
            <v>15559.536277483938</v>
          </cell>
          <cell r="N91">
            <v>16678.509571561222</v>
          </cell>
          <cell r="O91">
            <v>17405.913206530309</v>
          </cell>
          <cell r="P91">
            <v>18063.382354703412</v>
          </cell>
        </row>
        <row r="92">
          <cell r="B92" t="str">
            <v>Chemical Gross Profit</v>
          </cell>
          <cell r="D92">
            <v>2320</v>
          </cell>
          <cell r="E92">
            <v>2350.3477045284044</v>
          </cell>
          <cell r="F92">
            <v>1350.8945453066151</v>
          </cell>
          <cell r="G92">
            <v>1350.8945453066151</v>
          </cell>
          <cell r="H92">
            <v>1350.8945453066151</v>
          </cell>
          <cell r="I92">
            <v>1350.8945453066151</v>
          </cell>
          <cell r="J92">
            <v>1350.8945453066151</v>
          </cell>
          <cell r="K92">
            <v>1350.8945453066151</v>
          </cell>
          <cell r="L92">
            <v>1350.8945453066151</v>
          </cell>
          <cell r="M92">
            <v>1350.8945453066151</v>
          </cell>
          <cell r="N92">
            <v>1350.8945453066151</v>
          </cell>
          <cell r="O92">
            <v>1350.8945453066151</v>
          </cell>
          <cell r="P92">
            <v>1350.8945453066151</v>
          </cell>
        </row>
        <row r="93">
          <cell r="D93">
            <v>6177</v>
          </cell>
          <cell r="E93">
            <v>6926.8399848304107</v>
          </cell>
          <cell r="F93">
            <v>6840.4286473977154</v>
          </cell>
          <cell r="G93">
            <v>7599.1219037088858</v>
          </cell>
          <cell r="H93">
            <v>8760.892289358675</v>
          </cell>
          <cell r="I93">
            <v>9993.3979603679418</v>
          </cell>
          <cell r="J93">
            <v>11656.300810548886</v>
          </cell>
          <cell r="K93">
            <v>13599.561504909008</v>
          </cell>
          <cell r="L93">
            <v>15449.400476758292</v>
          </cell>
          <cell r="M93">
            <v>16910.430822790553</v>
          </cell>
          <cell r="N93">
            <v>18029.404116867838</v>
          </cell>
          <cell r="O93">
            <v>18756.807751836925</v>
          </cell>
          <cell r="P93">
            <v>19414.276900010027</v>
          </cell>
        </row>
        <row r="94">
          <cell r="D94">
            <v>2008</v>
          </cell>
          <cell r="E94">
            <v>2009</v>
          </cell>
          <cell r="F94">
            <v>2010</v>
          </cell>
          <cell r="G94">
            <v>2011</v>
          </cell>
          <cell r="H94">
            <v>2012</v>
          </cell>
          <cell r="I94">
            <v>2013</v>
          </cell>
          <cell r="J94">
            <v>2014</v>
          </cell>
          <cell r="K94">
            <v>2015</v>
          </cell>
          <cell r="L94">
            <v>2016</v>
          </cell>
          <cell r="M94">
            <v>2017</v>
          </cell>
          <cell r="N94">
            <v>2018</v>
          </cell>
          <cell r="O94">
            <v>2019</v>
          </cell>
          <cell r="P94">
            <v>2020</v>
          </cell>
        </row>
        <row r="95">
          <cell r="B95" t="str">
            <v>Seeds and Traits Gross Profit</v>
          </cell>
          <cell r="D95">
            <v>0.62441314553990612</v>
          </cell>
          <cell r="E95">
            <v>0.66068976478804164</v>
          </cell>
          <cell r="F95">
            <v>0.80251317352450824</v>
          </cell>
          <cell r="G95">
            <v>0.82223017837794032</v>
          </cell>
          <cell r="H95">
            <v>0.84580400024464808</v>
          </cell>
          <cell r="I95">
            <v>0.86482129995582835</v>
          </cell>
          <cell r="J95">
            <v>0.88410606698790206</v>
          </cell>
          <cell r="K95">
            <v>0.9006663159823951</v>
          </cell>
          <cell r="L95">
            <v>0.91256006682337809</v>
          </cell>
          <cell r="M95">
            <v>0.9201147173917068</v>
          </cell>
          <cell r="N95">
            <v>0.92507270142984077</v>
          </cell>
          <cell r="O95">
            <v>0.92797844051185541</v>
          </cell>
          <cell r="P95">
            <v>0.93041746791476343</v>
          </cell>
        </row>
        <row r="96">
          <cell r="B96" t="str">
            <v>Chemical Gross Profit</v>
          </cell>
          <cell r="D96">
            <v>0.37558685446009388</v>
          </cell>
          <cell r="E96">
            <v>0.3393102352119583</v>
          </cell>
          <cell r="F96">
            <v>0.19748682647549171</v>
          </cell>
          <cell r="G96">
            <v>0.17776982162205968</v>
          </cell>
          <cell r="H96">
            <v>0.15419599975535195</v>
          </cell>
          <cell r="I96">
            <v>0.13517870004417168</v>
          </cell>
          <cell r="J96">
            <v>0.1158939330120979</v>
          </cell>
          <cell r="K96">
            <v>9.9333684017604923E-2</v>
          </cell>
          <cell r="L96">
            <v>8.7439933176621867E-2</v>
          </cell>
          <cell r="M96">
            <v>7.9885282608293182E-2</v>
          </cell>
          <cell r="N96">
            <v>7.492729857015927E-2</v>
          </cell>
          <cell r="O96">
            <v>7.2021559488144621E-2</v>
          </cell>
          <cell r="P96">
            <v>6.9582532085236584E-2</v>
          </cell>
        </row>
        <row r="99">
          <cell r="B99" t="str">
            <v>Seeds and Traits EPS</v>
          </cell>
          <cell r="D99">
            <v>2.2707962417810998</v>
          </cell>
          <cell r="E99">
            <v>2.9084907694061268</v>
          </cell>
          <cell r="F99">
            <v>3.5632175059041562</v>
          </cell>
          <cell r="G99">
            <v>4.3567659747954979</v>
          </cell>
          <cell r="H99">
            <v>5.4530734267401728</v>
          </cell>
          <cell r="I99">
            <v>6.9156526598521495</v>
          </cell>
          <cell r="J99">
            <v>8.621145498486797</v>
          </cell>
          <cell r="K99">
            <v>10.811776186839193</v>
          </cell>
          <cell r="L99">
            <v>12.771872311305822</v>
          </cell>
          <cell r="M99">
            <v>14.72518401364256</v>
          </cell>
          <cell r="N99">
            <v>15.960985393619994</v>
          </cell>
          <cell r="O99">
            <v>17.16867485153724</v>
          </cell>
          <cell r="P99">
            <v>18.142745159256513</v>
          </cell>
        </row>
        <row r="100">
          <cell r="B100" t="str">
            <v>Chemical EPS</v>
          </cell>
          <cell r="D100">
            <v>1.3658924762593081</v>
          </cell>
          <cell r="E100">
            <v>1.4937126919101089</v>
          </cell>
          <cell r="F100">
            <v>0.87685603239687915</v>
          </cell>
          <cell r="G100">
            <v>0.94195218146378101</v>
          </cell>
          <cell r="H100">
            <v>0.99413352092486085</v>
          </cell>
          <cell r="I100">
            <v>1.0809735335653505</v>
          </cell>
          <cell r="J100">
            <v>1.1301115286915571</v>
          </cell>
          <cell r="K100">
            <v>1.192421144606836</v>
          </cell>
          <cell r="L100">
            <v>1.2237787977381158</v>
          </cell>
          <cell r="M100">
            <v>1.2784552449324393</v>
          </cell>
          <cell r="N100">
            <v>1.2927778716345752</v>
          </cell>
          <cell r="O100">
            <v>1.3324821818819019</v>
          </cell>
          <cell r="P100">
            <v>1.3568298002697092</v>
          </cell>
        </row>
        <row r="102">
          <cell r="B102" t="str">
            <v>Chemical X</v>
          </cell>
          <cell r="C102">
            <v>10</v>
          </cell>
          <cell r="F102">
            <v>8.7685603239687921</v>
          </cell>
          <cell r="G102">
            <v>8.7685603239687921</v>
          </cell>
          <cell r="H102">
            <v>8.7685603239687921</v>
          </cell>
          <cell r="I102">
            <v>8.7685603239687921</v>
          </cell>
          <cell r="J102">
            <v>8.7685603239687921</v>
          </cell>
          <cell r="K102">
            <v>8.7685603239687921</v>
          </cell>
          <cell r="L102">
            <v>8.7685603239687921</v>
          </cell>
          <cell r="M102">
            <v>8.7685603239687921</v>
          </cell>
          <cell r="N102">
            <v>8.7685603239687921</v>
          </cell>
          <cell r="O102">
            <v>8.7685603239687921</v>
          </cell>
          <cell r="P102">
            <v>8.7685603239687921</v>
          </cell>
        </row>
        <row r="103">
          <cell r="B103" t="str">
            <v>Seeds and Traits X</v>
          </cell>
          <cell r="F103">
            <v>96.231439676031215</v>
          </cell>
          <cell r="G103">
            <v>96.231439676031215</v>
          </cell>
          <cell r="H103">
            <v>96.231439676031215</v>
          </cell>
          <cell r="I103">
            <v>96.231439676031215</v>
          </cell>
          <cell r="J103">
            <v>96.231439676031215</v>
          </cell>
          <cell r="K103">
            <v>96.231439676031215</v>
          </cell>
          <cell r="L103">
            <v>96.231439676031215</v>
          </cell>
          <cell r="M103">
            <v>96.231439676031215</v>
          </cell>
          <cell r="N103">
            <v>96.231439676031215</v>
          </cell>
          <cell r="O103">
            <v>96.231439676031215</v>
          </cell>
          <cell r="P103">
            <v>96.231439676031215</v>
          </cell>
        </row>
        <row r="104">
          <cell r="F104">
            <v>27.006894616053689</v>
          </cell>
          <cell r="G104">
            <v>22.087814730638183</v>
          </cell>
          <cell r="H104">
            <v>17.64719308640559</v>
          </cell>
          <cell r="I104">
            <v>13.915019219326807</v>
          </cell>
          <cell r="J104">
            <v>11.162256766565646</v>
          </cell>
          <cell r="K104">
            <v>8.9006133694452974</v>
          </cell>
          <cell r="L104">
            <v>7.5346384093462895</v>
          </cell>
          <cell r="M104">
            <v>6.5351604154403029</v>
          </cell>
          <cell r="N104">
            <v>6.0291665773027603</v>
          </cell>
          <cell r="O104">
            <v>5.6050592435452229</v>
          </cell>
          <cell r="P104">
            <v>5.3041278390516045</v>
          </cell>
        </row>
        <row r="105">
          <cell r="B105" t="str">
            <v>Price Target</v>
          </cell>
          <cell r="C105">
            <v>105</v>
          </cell>
        </row>
      </sheetData>
      <sheetData sheetId="4">
        <row r="1">
          <cell r="A1" t="str">
            <v>MON MODEL</v>
          </cell>
        </row>
        <row r="3">
          <cell r="C3">
            <v>2008</v>
          </cell>
          <cell r="D3">
            <v>2009</v>
          </cell>
          <cell r="E3">
            <v>2010</v>
          </cell>
          <cell r="F3">
            <v>2011</v>
          </cell>
          <cell r="G3">
            <v>2012</v>
          </cell>
          <cell r="H3">
            <v>2013</v>
          </cell>
          <cell r="I3">
            <v>2014</v>
          </cell>
          <cell r="J3">
            <v>2015</v>
          </cell>
          <cell r="K3">
            <v>2016</v>
          </cell>
          <cell r="L3">
            <v>2017</v>
          </cell>
          <cell r="M3">
            <v>2018</v>
          </cell>
          <cell r="N3">
            <v>2019</v>
          </cell>
          <cell r="O3">
            <v>2020</v>
          </cell>
        </row>
        <row r="4">
          <cell r="B4" t="str">
            <v>Income Statement</v>
          </cell>
        </row>
        <row r="5">
          <cell r="B5" t="str">
            <v>MON take (corn)</v>
          </cell>
          <cell r="C5">
            <v>0.71467949970685951</v>
          </cell>
          <cell r="D5">
            <v>0.71672727272727266</v>
          </cell>
          <cell r="E5">
            <v>0.72533527696792999</v>
          </cell>
          <cell r="F5">
            <v>0.73381126173096978</v>
          </cell>
          <cell r="G5">
            <v>0.75083314285714287</v>
          </cell>
          <cell r="H5">
            <v>0.77009227799227808</v>
          </cell>
          <cell r="I5">
            <v>0.78719151343705795</v>
          </cell>
          <cell r="J5">
            <v>0.78744992927864221</v>
          </cell>
          <cell r="K5">
            <v>0.78770834512022636</v>
          </cell>
          <cell r="L5">
            <v>0.78796676096181051</v>
          </cell>
          <cell r="M5">
            <v>0.78822517680339454</v>
          </cell>
          <cell r="N5">
            <v>0.7884835926449788</v>
          </cell>
          <cell r="O5">
            <v>0.78874200848656306</v>
          </cell>
        </row>
        <row r="6">
          <cell r="B6" t="str">
            <v>MON take (soybeans)</v>
          </cell>
          <cell r="C6">
            <v>0.75</v>
          </cell>
          <cell r="D6">
            <v>0.75</v>
          </cell>
          <cell r="E6">
            <v>0.75</v>
          </cell>
          <cell r="F6">
            <v>0.75</v>
          </cell>
          <cell r="G6">
            <v>0.75</v>
          </cell>
          <cell r="H6">
            <v>0.75</v>
          </cell>
          <cell r="I6">
            <v>0.75</v>
          </cell>
          <cell r="J6">
            <v>0.75</v>
          </cell>
          <cell r="K6">
            <v>0.75</v>
          </cell>
          <cell r="L6">
            <v>0.75</v>
          </cell>
          <cell r="M6">
            <v>0.75</v>
          </cell>
          <cell r="N6">
            <v>0.75</v>
          </cell>
          <cell r="O6">
            <v>0.75</v>
          </cell>
        </row>
        <row r="7">
          <cell r="B7" t="str">
            <v>SG&amp;A % sales</v>
          </cell>
          <cell r="C7">
            <v>0.20343158820941487</v>
          </cell>
          <cell r="D7">
            <v>0.18</v>
          </cell>
          <cell r="E7">
            <v>0.17499999999999999</v>
          </cell>
          <cell r="F7">
            <v>0.17</v>
          </cell>
          <cell r="G7">
            <v>0.17</v>
          </cell>
          <cell r="H7">
            <v>0.17</v>
          </cell>
          <cell r="I7">
            <v>0.16500000000000001</v>
          </cell>
          <cell r="J7">
            <v>0.16</v>
          </cell>
          <cell r="K7">
            <v>0.155</v>
          </cell>
          <cell r="L7">
            <v>0.15</v>
          </cell>
          <cell r="M7">
            <v>0.14499999999999999</v>
          </cell>
          <cell r="N7">
            <v>0.13999999999999999</v>
          </cell>
          <cell r="O7">
            <v>0.13499999999999998</v>
          </cell>
        </row>
        <row r="8">
          <cell r="B8" t="str">
            <v>R&amp;D % Sales</v>
          </cell>
          <cell r="C8">
            <v>8.6229652441706994E-2</v>
          </cell>
          <cell r="D8">
            <v>0.1</v>
          </cell>
          <cell r="E8">
            <v>0.1</v>
          </cell>
          <cell r="F8">
            <v>0.1</v>
          </cell>
          <cell r="G8">
            <v>0.1</v>
          </cell>
          <cell r="H8">
            <v>0.09</v>
          </cell>
          <cell r="I8">
            <v>0.09</v>
          </cell>
          <cell r="J8">
            <v>0.09</v>
          </cell>
          <cell r="K8">
            <v>0.09</v>
          </cell>
          <cell r="L8">
            <v>0.09</v>
          </cell>
          <cell r="M8">
            <v>0.09</v>
          </cell>
          <cell r="N8">
            <v>0.09</v>
          </cell>
          <cell r="O8">
            <v>0.09</v>
          </cell>
        </row>
        <row r="9">
          <cell r="B9" t="str">
            <v>Tax Rate</v>
          </cell>
          <cell r="C9">
            <v>0.28680555555555554</v>
          </cell>
          <cell r="D9">
            <v>0.28399999999999997</v>
          </cell>
          <cell r="E9">
            <v>0.29299999999999998</v>
          </cell>
          <cell r="F9">
            <v>0.29099999999999998</v>
          </cell>
          <cell r="G9">
            <v>0.28999999999999998</v>
          </cell>
          <cell r="H9">
            <v>0.28299999999999997</v>
          </cell>
          <cell r="I9">
            <v>0.28999999999999998</v>
          </cell>
          <cell r="J9">
            <v>0.28449999999999998</v>
          </cell>
          <cell r="K9">
            <v>0.29199999999999998</v>
          </cell>
          <cell r="L9">
            <v>0.28249999999999997</v>
          </cell>
          <cell r="M9">
            <v>0.29199999999999998</v>
          </cell>
          <cell r="N9">
            <v>0.28570000000000001</v>
          </cell>
          <cell r="O9">
            <v>0.28699999999999998</v>
          </cell>
        </row>
        <row r="10">
          <cell r="B10" t="str">
            <v>Diluted Shares</v>
          </cell>
          <cell r="C10">
            <v>559.29999999999995</v>
          </cell>
          <cell r="D10">
            <v>555.35</v>
          </cell>
          <cell r="E10">
            <v>550.50532914025143</v>
          </cell>
          <cell r="F10">
            <v>546.02247259711453</v>
          </cell>
          <cell r="G10">
            <v>540.01981986685632</v>
          </cell>
          <cell r="H10">
            <v>532.90985748061826</v>
          </cell>
          <cell r="I10">
            <v>526.28758665809255</v>
          </cell>
          <cell r="J10">
            <v>520.0788934550003</v>
          </cell>
          <cell r="K10">
            <v>514.39027052012125</v>
          </cell>
          <cell r="L10">
            <v>509.05321088398051</v>
          </cell>
          <cell r="M10">
            <v>504.26395292909609</v>
          </cell>
          <cell r="N10">
            <v>499.87697018558663</v>
          </cell>
          <cell r="O10">
            <v>495.90200028742942</v>
          </cell>
        </row>
        <row r="11">
          <cell r="B11" t="str">
            <v>Diltuted EPS</v>
          </cell>
          <cell r="C11">
            <v>3.6366887180404079</v>
          </cell>
          <cell r="D11">
            <v>4.402203461316236</v>
          </cell>
          <cell r="E11">
            <v>4.3992851339707242</v>
          </cell>
          <cell r="F11">
            <v>5.1512469838065913</v>
          </cell>
          <cell r="G11">
            <v>5.9197160312166224</v>
          </cell>
          <cell r="H11">
            <v>6.7278990297263608</v>
          </cell>
          <cell r="I11">
            <v>7.2979105974996905</v>
          </cell>
          <cell r="J11">
            <v>8.086358481731498</v>
          </cell>
          <cell r="K11">
            <v>8.6334305752194442</v>
          </cell>
          <cell r="L11">
            <v>9.4063913392402032</v>
          </cell>
          <cell r="M11">
            <v>9.7914627309818378</v>
          </cell>
          <cell r="N11">
            <v>10.414111102199115</v>
          </cell>
          <cell r="O11">
            <v>10.950239758709918</v>
          </cell>
        </row>
        <row r="13">
          <cell r="B13" t="str">
            <v>Gross Margin - Corn</v>
          </cell>
        </row>
        <row r="14">
          <cell r="B14" t="str">
            <v>Single</v>
          </cell>
          <cell r="C14">
            <v>0.82449176554574499</v>
          </cell>
          <cell r="D14">
            <v>0.83180460864800554</v>
          </cell>
          <cell r="E14">
            <v>0.83647670285222764</v>
          </cell>
          <cell r="F14">
            <v>0.83647670285222775</v>
          </cell>
          <cell r="G14">
            <v>0.83647670285222775</v>
          </cell>
          <cell r="H14">
            <v>0.83647670285222764</v>
          </cell>
          <cell r="I14">
            <v>0.83647670285222775</v>
          </cell>
          <cell r="J14">
            <v>0.83647670285222786</v>
          </cell>
          <cell r="K14">
            <v>0.83647670285222786</v>
          </cell>
          <cell r="L14">
            <v>0.83647670285222775</v>
          </cell>
          <cell r="M14">
            <v>0.82830053799483916</v>
          </cell>
          <cell r="N14">
            <v>0.81971556489458097</v>
          </cell>
          <cell r="O14">
            <v>0.81070134313931019</v>
          </cell>
        </row>
        <row r="15">
          <cell r="B15" t="str">
            <v>Double</v>
          </cell>
          <cell r="C15">
            <v>0.84237098277705158</v>
          </cell>
          <cell r="D15">
            <v>0.85262327658017023</v>
          </cell>
          <cell r="E15">
            <v>0.85671707445294332</v>
          </cell>
          <cell r="F15">
            <v>0.85671707445294332</v>
          </cell>
          <cell r="G15">
            <v>0.85671707445294343</v>
          </cell>
          <cell r="H15">
            <v>0.85671707445294321</v>
          </cell>
          <cell r="I15">
            <v>0.85671707445294354</v>
          </cell>
          <cell r="J15">
            <v>0.85671707445294332</v>
          </cell>
          <cell r="K15">
            <v>0.85671707445294321</v>
          </cell>
          <cell r="L15">
            <v>0.85671707445294332</v>
          </cell>
          <cell r="M15">
            <v>0.84955292817559047</v>
          </cell>
          <cell r="N15">
            <v>0.84203057458437003</v>
          </cell>
          <cell r="O15">
            <v>0.83413210331358845</v>
          </cell>
        </row>
        <row r="16">
          <cell r="B16" t="str">
            <v>Triple</v>
          </cell>
          <cell r="C16">
            <v>0.81026136815756244</v>
          </cell>
          <cell r="D16">
            <v>0.82187801908669122</v>
          </cell>
          <cell r="E16">
            <v>0.82682585188983881</v>
          </cell>
          <cell r="F16">
            <v>0.82682585188983881</v>
          </cell>
          <cell r="G16">
            <v>0.8268258518898387</v>
          </cell>
          <cell r="H16">
            <v>0.8268258518898387</v>
          </cell>
          <cell r="I16">
            <v>0.8268258518898387</v>
          </cell>
          <cell r="J16">
            <v>0.8268258518898387</v>
          </cell>
          <cell r="K16">
            <v>0.8268258518898387</v>
          </cell>
          <cell r="L16">
            <v>0.8268258518898387</v>
          </cell>
          <cell r="M16">
            <v>0.8181671444843307</v>
          </cell>
          <cell r="N16">
            <v>0.80907550170854725</v>
          </cell>
          <cell r="O16">
            <v>0.79952927679397456</v>
          </cell>
        </row>
        <row r="17">
          <cell r="B17" t="str">
            <v>Quadruple</v>
          </cell>
          <cell r="C17">
            <v>0.81026136815756244</v>
          </cell>
          <cell r="D17">
            <v>0.82187801908669122</v>
          </cell>
          <cell r="E17">
            <v>0.82682585188983881</v>
          </cell>
          <cell r="F17">
            <v>0.82682585188983881</v>
          </cell>
          <cell r="G17">
            <v>0.8268258518898387</v>
          </cell>
          <cell r="H17">
            <v>0.8268258518898387</v>
          </cell>
          <cell r="I17">
            <v>0.8268258518898387</v>
          </cell>
          <cell r="J17">
            <v>0.8268258518898387</v>
          </cell>
          <cell r="K17">
            <v>0.8268258518898387</v>
          </cell>
          <cell r="L17">
            <v>0.8268258518898387</v>
          </cell>
          <cell r="M17">
            <v>0.8181671444843307</v>
          </cell>
          <cell r="N17">
            <v>0.80907550170854725</v>
          </cell>
          <cell r="O17">
            <v>0.79952927679397456</v>
          </cell>
        </row>
        <row r="19">
          <cell r="B19" t="str">
            <v>Gross Margin - Soybeans</v>
          </cell>
        </row>
        <row r="20">
          <cell r="B20" t="str">
            <v>Single</v>
          </cell>
        </row>
        <row r="21">
          <cell r="B21" t="str">
            <v>US</v>
          </cell>
          <cell r="C21">
            <v>0.73778784780290618</v>
          </cell>
          <cell r="D21">
            <v>0.75483985337802106</v>
          </cell>
          <cell r="E21">
            <v>0.79231605887271783</v>
          </cell>
          <cell r="F21">
            <v>0.84953528247744814</v>
          </cell>
          <cell r="G21">
            <v>0.8707993017802772</v>
          </cell>
          <cell r="H21">
            <v>0.89480582776058404</v>
          </cell>
          <cell r="I21">
            <v>0.908402638345993</v>
          </cell>
          <cell r="J21">
            <v>0.91430376915100098</v>
          </cell>
          <cell r="K21">
            <v>0.9177126555492694</v>
          </cell>
          <cell r="L21">
            <v>0.9201093743196791</v>
          </cell>
          <cell r="M21">
            <v>0.92243628574726122</v>
          </cell>
          <cell r="N21">
            <v>0.92469542305559349</v>
          </cell>
          <cell r="O21">
            <v>0.92688876024814904</v>
          </cell>
        </row>
        <row r="22">
          <cell r="B22" t="str">
            <v>International</v>
          </cell>
          <cell r="C22">
            <v>0.12296031194893454</v>
          </cell>
          <cell r="D22">
            <v>0.73000000000000009</v>
          </cell>
          <cell r="E22">
            <v>0.75454545454545463</v>
          </cell>
          <cell r="F22">
            <v>0.77685950413223159</v>
          </cell>
          <cell r="G22">
            <v>0.79714500375657416</v>
          </cell>
          <cell r="H22">
            <v>0.81558636705143106</v>
          </cell>
          <cell r="I22">
            <v>0.83235124277402817</v>
          </cell>
          <cell r="J22">
            <v>0.84759203888548018</v>
          </cell>
          <cell r="K22">
            <v>0.86144730807770931</v>
          </cell>
          <cell r="L22">
            <v>0.87404300734337215</v>
          </cell>
          <cell r="M22">
            <v>0.88549364303942935</v>
          </cell>
          <cell r="N22">
            <v>0.8959033118540265</v>
          </cell>
          <cell r="O22">
            <v>0.90536664714002413</v>
          </cell>
        </row>
        <row r="23">
          <cell r="B23" t="str">
            <v>Double</v>
          </cell>
        </row>
        <row r="24">
          <cell r="B24" t="str">
            <v>US</v>
          </cell>
          <cell r="C24">
            <v>0.7527878478029062</v>
          </cell>
          <cell r="D24">
            <v>0.76983985337802108</v>
          </cell>
          <cell r="E24">
            <v>0.80731605887271785</v>
          </cell>
          <cell r="F24">
            <v>0.86453528247744815</v>
          </cell>
          <cell r="G24">
            <v>0.88579930178027722</v>
          </cell>
          <cell r="H24">
            <v>0.90980582776058405</v>
          </cell>
          <cell r="I24">
            <v>0.92340263834599301</v>
          </cell>
          <cell r="J24">
            <v>0.92930376915100099</v>
          </cell>
          <cell r="K24">
            <v>0.93271265554926941</v>
          </cell>
          <cell r="L24">
            <v>0.93510937431967911</v>
          </cell>
          <cell r="M24">
            <v>0.93743628574726123</v>
          </cell>
          <cell r="N24">
            <v>0.9396954230555935</v>
          </cell>
          <cell r="O24">
            <v>0.94188876024814905</v>
          </cell>
          <cell r="P24">
            <v>1.4999999999999999E-2</v>
          </cell>
        </row>
        <row r="25">
          <cell r="B25" t="str">
            <v>International</v>
          </cell>
          <cell r="C25">
            <v>0.13796031194893454</v>
          </cell>
          <cell r="D25">
            <v>0.74500000000000011</v>
          </cell>
          <cell r="E25">
            <v>0.76954545454545464</v>
          </cell>
          <cell r="F25">
            <v>0.79185950413223161</v>
          </cell>
          <cell r="G25">
            <v>0.81214500375657417</v>
          </cell>
          <cell r="H25">
            <v>0.83058636705143107</v>
          </cell>
          <cell r="I25">
            <v>0.84735124277402818</v>
          </cell>
          <cell r="J25">
            <v>0.86259203888548019</v>
          </cell>
          <cell r="K25">
            <v>0.87644730807770932</v>
          </cell>
          <cell r="L25">
            <v>0.88904300734337216</v>
          </cell>
          <cell r="M25">
            <v>0.90049364303942936</v>
          </cell>
          <cell r="N25">
            <v>0.91090331185402651</v>
          </cell>
          <cell r="O25">
            <v>0.92036664714002414</v>
          </cell>
          <cell r="P25">
            <v>1.4999999999999999E-2</v>
          </cell>
        </row>
        <row r="26">
          <cell r="B26" t="str">
            <v>Triple</v>
          </cell>
        </row>
        <row r="27">
          <cell r="B27" t="str">
            <v>US</v>
          </cell>
          <cell r="C27">
            <v>0.77278784780290621</v>
          </cell>
          <cell r="D27">
            <v>0.7898398533780211</v>
          </cell>
          <cell r="E27">
            <v>0.82731605887271786</v>
          </cell>
          <cell r="F27">
            <v>0.88453528247744817</v>
          </cell>
          <cell r="G27">
            <v>0.90579930178027723</v>
          </cell>
          <cell r="H27">
            <v>0.92980582776058407</v>
          </cell>
          <cell r="I27">
            <v>0.94340263834599303</v>
          </cell>
          <cell r="J27">
            <v>0.94930376915100101</v>
          </cell>
          <cell r="K27">
            <v>0.95271265554926943</v>
          </cell>
          <cell r="L27">
            <v>0.95510937431967913</v>
          </cell>
          <cell r="M27">
            <v>0.95743628574726125</v>
          </cell>
          <cell r="N27">
            <v>0.95969542305559352</v>
          </cell>
          <cell r="O27">
            <v>0.96188876024814907</v>
          </cell>
          <cell r="P27">
            <v>3.5000000000000003E-2</v>
          </cell>
        </row>
        <row r="28">
          <cell r="B28" t="str">
            <v>International</v>
          </cell>
          <cell r="C28">
            <v>0.15796031194893456</v>
          </cell>
          <cell r="D28">
            <v>0.76500000000000012</v>
          </cell>
          <cell r="E28">
            <v>0.78954545454545466</v>
          </cell>
          <cell r="F28">
            <v>0.81185950413223162</v>
          </cell>
          <cell r="G28">
            <v>0.83214500375657419</v>
          </cell>
          <cell r="H28">
            <v>0.85058636705143109</v>
          </cell>
          <cell r="I28">
            <v>0.8673512427740282</v>
          </cell>
          <cell r="J28">
            <v>0.88259203888548021</v>
          </cell>
          <cell r="K28">
            <v>0.89644730807770934</v>
          </cell>
          <cell r="L28">
            <v>0.90904300734337218</v>
          </cell>
          <cell r="M28">
            <v>0.92049364303942938</v>
          </cell>
          <cell r="N28">
            <v>0.93090331185402653</v>
          </cell>
          <cell r="O28">
            <v>0.94036664714002416</v>
          </cell>
          <cell r="P28">
            <v>3.5000000000000003E-2</v>
          </cell>
        </row>
        <row r="29">
          <cell r="B29" t="str">
            <v>Quadruple</v>
          </cell>
        </row>
        <row r="30">
          <cell r="B30" t="str">
            <v>US</v>
          </cell>
          <cell r="C30">
            <v>0.78778784780290623</v>
          </cell>
          <cell r="D30">
            <v>0.80483985337802111</v>
          </cell>
          <cell r="E30">
            <v>0.84231605887271788</v>
          </cell>
          <cell r="F30">
            <v>0.89953528247744818</v>
          </cell>
          <cell r="G30">
            <v>0.92079930178027725</v>
          </cell>
          <cell r="H30">
            <v>0.94480582776058408</v>
          </cell>
          <cell r="I30">
            <v>0.95840263834599304</v>
          </cell>
          <cell r="J30">
            <v>0.96430376915100102</v>
          </cell>
          <cell r="K30">
            <v>0.96771265554926944</v>
          </cell>
          <cell r="L30">
            <v>0.97010937431967914</v>
          </cell>
          <cell r="M30">
            <v>0.97243628574726126</v>
          </cell>
          <cell r="N30">
            <v>0.97469542305559354</v>
          </cell>
          <cell r="O30">
            <v>0.97688876024814908</v>
          </cell>
          <cell r="P30">
            <v>0.05</v>
          </cell>
        </row>
        <row r="31">
          <cell r="B31" t="str">
            <v>International</v>
          </cell>
          <cell r="C31">
            <v>0.17296031194893455</v>
          </cell>
          <cell r="D31">
            <v>0.78000000000000014</v>
          </cell>
          <cell r="E31">
            <v>0.80454545454545467</v>
          </cell>
          <cell r="F31">
            <v>0.82685950413223164</v>
          </cell>
          <cell r="G31">
            <v>0.8471450037565742</v>
          </cell>
          <cell r="H31">
            <v>0.8655863670514311</v>
          </cell>
          <cell r="I31">
            <v>0.88235124277402821</v>
          </cell>
          <cell r="J31">
            <v>0.89759203888548023</v>
          </cell>
          <cell r="K31">
            <v>0.91144730807770935</v>
          </cell>
          <cell r="L31">
            <v>0.92404300734337219</v>
          </cell>
          <cell r="M31">
            <v>0.93549364303942939</v>
          </cell>
          <cell r="N31">
            <v>0.94590331185402654</v>
          </cell>
          <cell r="O31">
            <v>0.95536664714002417</v>
          </cell>
          <cell r="P31">
            <v>0.05</v>
          </cell>
        </row>
        <row r="33">
          <cell r="B33" t="str">
            <v>Soybeans</v>
          </cell>
        </row>
        <row r="35">
          <cell r="B35" t="str">
            <v>Acres</v>
          </cell>
        </row>
        <row r="36">
          <cell r="B36" t="str">
            <v>Roundup Ready</v>
          </cell>
        </row>
        <row r="37">
          <cell r="B37" t="str">
            <v>US</v>
          </cell>
          <cell r="C37">
            <v>72.5</v>
          </cell>
          <cell r="D37">
            <v>75.599999999999994</v>
          </cell>
          <cell r="E37">
            <v>67.45</v>
          </cell>
          <cell r="F37">
            <v>57.45</v>
          </cell>
          <cell r="G37">
            <v>60</v>
          </cell>
          <cell r="H37">
            <v>55</v>
          </cell>
          <cell r="I37">
            <v>50</v>
          </cell>
          <cell r="J37">
            <v>50</v>
          </cell>
          <cell r="K37">
            <v>50</v>
          </cell>
          <cell r="L37">
            <v>50</v>
          </cell>
          <cell r="M37">
            <v>50</v>
          </cell>
          <cell r="N37">
            <v>50</v>
          </cell>
          <cell r="O37">
            <v>50</v>
          </cell>
        </row>
        <row r="38">
          <cell r="B38" t="str">
            <v>Argentina</v>
          </cell>
          <cell r="C38">
            <v>40</v>
          </cell>
          <cell r="D38">
            <v>40</v>
          </cell>
          <cell r="E38">
            <v>40</v>
          </cell>
          <cell r="F38">
            <v>40</v>
          </cell>
          <cell r="G38">
            <v>40</v>
          </cell>
          <cell r="H38">
            <v>40</v>
          </cell>
          <cell r="I38">
            <v>40</v>
          </cell>
          <cell r="J38">
            <v>40</v>
          </cell>
          <cell r="K38">
            <v>40</v>
          </cell>
          <cell r="L38">
            <v>40</v>
          </cell>
          <cell r="M38">
            <v>40</v>
          </cell>
          <cell r="N38">
            <v>40</v>
          </cell>
          <cell r="O38">
            <v>40</v>
          </cell>
        </row>
        <row r="39">
          <cell r="B39" t="str">
            <v>Brazil</v>
          </cell>
          <cell r="C39">
            <v>29</v>
          </cell>
          <cell r="D39">
            <v>37.5</v>
          </cell>
          <cell r="E39">
            <v>45</v>
          </cell>
          <cell r="F39">
            <v>45</v>
          </cell>
          <cell r="G39">
            <v>45</v>
          </cell>
          <cell r="H39">
            <v>45</v>
          </cell>
          <cell r="I39">
            <v>45</v>
          </cell>
          <cell r="J39">
            <v>45</v>
          </cell>
          <cell r="K39">
            <v>45</v>
          </cell>
          <cell r="L39">
            <v>45</v>
          </cell>
          <cell r="M39">
            <v>45</v>
          </cell>
          <cell r="N39">
            <v>45</v>
          </cell>
          <cell r="O39">
            <v>45</v>
          </cell>
        </row>
        <row r="40">
          <cell r="B40" t="str">
            <v>Other</v>
          </cell>
          <cell r="C40">
            <v>7</v>
          </cell>
          <cell r="D40">
            <v>7</v>
          </cell>
          <cell r="E40">
            <v>7</v>
          </cell>
          <cell r="F40">
            <v>7</v>
          </cell>
          <cell r="G40">
            <v>7</v>
          </cell>
          <cell r="H40">
            <v>7</v>
          </cell>
          <cell r="I40">
            <v>7</v>
          </cell>
          <cell r="J40">
            <v>7</v>
          </cell>
          <cell r="K40">
            <v>7</v>
          </cell>
          <cell r="L40">
            <v>7</v>
          </cell>
          <cell r="M40">
            <v>7</v>
          </cell>
          <cell r="N40">
            <v>7</v>
          </cell>
          <cell r="O40">
            <v>7</v>
          </cell>
        </row>
        <row r="42">
          <cell r="B42" t="str">
            <v>US Germplasm</v>
          </cell>
          <cell r="C42">
            <v>46.875</v>
          </cell>
          <cell r="D42">
            <v>49.53</v>
          </cell>
          <cell r="E42">
            <v>45.795000000000002</v>
          </cell>
          <cell r="F42">
            <v>46.50500000000001</v>
          </cell>
          <cell r="G42">
            <v>47.215000000000003</v>
          </cell>
          <cell r="H42">
            <v>47.215000000000003</v>
          </cell>
          <cell r="I42">
            <v>47.215000000000003</v>
          </cell>
          <cell r="J42">
            <v>47.215000000000003</v>
          </cell>
          <cell r="K42">
            <v>47.215000000000003</v>
          </cell>
          <cell r="L42">
            <v>47.215000000000003</v>
          </cell>
          <cell r="M42">
            <v>47.215000000000003</v>
          </cell>
          <cell r="N42">
            <v>47.215000000000003</v>
          </cell>
          <cell r="O42">
            <v>47.215000000000003</v>
          </cell>
        </row>
        <row r="44">
          <cell r="B44" t="str">
            <v>Pricing/acre (realized by MON)</v>
          </cell>
        </row>
        <row r="45">
          <cell r="B45" t="str">
            <v>US</v>
          </cell>
        </row>
        <row r="46">
          <cell r="B46" t="str">
            <v>Roundup Ready</v>
          </cell>
          <cell r="C46">
            <v>11.500215517241378</v>
          </cell>
          <cell r="D46">
            <v>12.650237068965517</v>
          </cell>
          <cell r="E46">
            <v>13.662256034482759</v>
          </cell>
          <cell r="F46">
            <v>14.072123715517241</v>
          </cell>
          <cell r="G46">
            <v>14.494287426982758</v>
          </cell>
          <cell r="H46">
            <v>14.929116049792242</v>
          </cell>
          <cell r="I46">
            <v>15.376989531286009</v>
          </cell>
          <cell r="J46">
            <v>15.83829921722459</v>
          </cell>
          <cell r="K46">
            <v>16.313448193741326</v>
          </cell>
          <cell r="L46">
            <v>16.802851639553566</v>
          </cell>
          <cell r="M46">
            <v>17.306937188740175</v>
          </cell>
          <cell r="N46">
            <v>17.826145304402381</v>
          </cell>
          <cell r="O46">
            <v>18.360929663534453</v>
          </cell>
        </row>
        <row r="47">
          <cell r="B47" t="str">
            <v>Germplasm</v>
          </cell>
          <cell r="C47">
            <v>7.3698078720000026</v>
          </cell>
          <cell r="D47">
            <v>8.1067886592000029</v>
          </cell>
          <cell r="E47">
            <v>8.7553317519360032</v>
          </cell>
          <cell r="F47">
            <v>8.930438386974723</v>
          </cell>
          <cell r="G47">
            <v>9.1090471547142169</v>
          </cell>
          <cell r="H47">
            <v>9.2912280978085011</v>
          </cell>
          <cell r="I47">
            <v>9.4770526597646718</v>
          </cell>
          <cell r="J47">
            <v>9.6665937129599655</v>
          </cell>
          <cell r="K47">
            <v>9.8599255872191645</v>
          </cell>
          <cell r="L47">
            <v>10.057124098963548</v>
          </cell>
          <cell r="M47">
            <v>10.25826658094282</v>
          </cell>
          <cell r="N47">
            <v>10.463431912561676</v>
          </cell>
          <cell r="O47">
            <v>10.672700550812909</v>
          </cell>
        </row>
        <row r="48">
          <cell r="B48" t="str">
            <v>International</v>
          </cell>
        </row>
        <row r="49">
          <cell r="B49" t="str">
            <v>Roundup Ready</v>
          </cell>
          <cell r="C49">
            <v>1.65</v>
          </cell>
          <cell r="D49">
            <v>1.8974999999999997</v>
          </cell>
          <cell r="E49">
            <v>2.08725</v>
          </cell>
          <cell r="F49">
            <v>2.2959750000000003</v>
          </cell>
          <cell r="G49">
            <v>2.5255725000000004</v>
          </cell>
          <cell r="H49">
            <v>2.7781297500000006</v>
          </cell>
          <cell r="I49">
            <v>3.0559427250000009</v>
          </cell>
          <cell r="J49">
            <v>3.3615369975000013</v>
          </cell>
          <cell r="K49">
            <v>3.6976906972500019</v>
          </cell>
          <cell r="L49">
            <v>4.0674597669750021</v>
          </cell>
          <cell r="M49">
            <v>4.4742057436725027</v>
          </cell>
          <cell r="N49">
            <v>4.9216263180397535</v>
          </cell>
          <cell r="O49">
            <v>5.4137889498437293</v>
          </cell>
        </row>
        <row r="51">
          <cell r="B51" t="str">
            <v>GP/acre</v>
          </cell>
        </row>
        <row r="52">
          <cell r="B52" t="str">
            <v>US</v>
          </cell>
        </row>
        <row r="53">
          <cell r="B53" t="str">
            <v>Roundup Ready</v>
          </cell>
          <cell r="C53">
            <v>8.4847192557351008</v>
          </cell>
          <cell r="D53">
            <v>9.4839659943839258</v>
          </cell>
          <cell r="E53">
            <v>10.495984959901168</v>
          </cell>
          <cell r="F53">
            <v>10.905852640935649</v>
          </cell>
          <cell r="G53">
            <v>11.328016352401168</v>
          </cell>
          <cell r="H53">
            <v>11.762844975210651</v>
          </cell>
          <cell r="I53">
            <v>12.210718456704416</v>
          </cell>
          <cell r="J53">
            <v>12.672028142642997</v>
          </cell>
          <cell r="K53">
            <v>13.147177119159736</v>
          </cell>
          <cell r="L53">
            <v>13.636580564971975</v>
          </cell>
          <cell r="M53">
            <v>14.140666114158584</v>
          </cell>
          <cell r="N53">
            <v>14.65987422982079</v>
          </cell>
          <cell r="O53">
            <v>15.194658588952862</v>
          </cell>
        </row>
        <row r="54">
          <cell r="B54" t="str">
            <v>Germplasm</v>
          </cell>
          <cell r="C54">
            <v>2.1878189104946868</v>
          </cell>
          <cell r="D54">
            <v>2.5102405807742612</v>
          </cell>
          <cell r="E54">
            <v>3.7184384813528357</v>
          </cell>
          <cell r="F54">
            <v>3.8305839505092658</v>
          </cell>
          <cell r="G54">
            <v>3.9709438099752683</v>
          </cell>
          <cell r="H54">
            <v>4.1788152697932475</v>
          </cell>
          <cell r="I54">
            <v>4.3646398317494182</v>
          </cell>
          <cell r="J54">
            <v>4.5541808849447118</v>
          </cell>
          <cell r="K54">
            <v>4.7347317271338731</v>
          </cell>
          <cell r="L54">
            <v>4.9447432235284703</v>
          </cell>
          <cell r="M54">
            <v>5.1458857055077418</v>
          </cell>
          <cell r="N54">
            <v>5.3510510371265978</v>
          </cell>
          <cell r="O54">
            <v>5.5603196753778308</v>
          </cell>
        </row>
        <row r="55">
          <cell r="B55" t="str">
            <v>International</v>
          </cell>
        </row>
        <row r="56">
          <cell r="B56" t="str">
            <v>Roundup Ready</v>
          </cell>
          <cell r="C56">
            <v>1.2044999999999999</v>
          </cell>
          <cell r="D56">
            <v>1.3851749999999998</v>
          </cell>
          <cell r="E56">
            <v>1.5749250000000004</v>
          </cell>
          <cell r="F56">
            <v>1.7836500000000006</v>
          </cell>
          <cell r="G56">
            <v>2.0132475000000007</v>
          </cell>
          <cell r="H56">
            <v>2.2658047500000009</v>
          </cell>
          <cell r="I56">
            <v>2.5436177250000012</v>
          </cell>
          <cell r="J56">
            <v>2.8492119975000016</v>
          </cell>
          <cell r="K56">
            <v>3.1853656972500022</v>
          </cell>
          <cell r="L56">
            <v>3.5551347669750024</v>
          </cell>
          <cell r="M56">
            <v>3.961880743672503</v>
          </cell>
          <cell r="N56">
            <v>4.4093013180397538</v>
          </cell>
          <cell r="O56">
            <v>4.9014639498437296</v>
          </cell>
        </row>
        <row r="58">
          <cell r="B58" t="str">
            <v>Corn</v>
          </cell>
        </row>
        <row r="60">
          <cell r="B60" t="str">
            <v>Acres</v>
          </cell>
        </row>
        <row r="61">
          <cell r="B61" t="str">
            <v>Single-stack</v>
          </cell>
        </row>
        <row r="62">
          <cell r="B62" t="str">
            <v xml:space="preserve">US Roundup Ready </v>
          </cell>
          <cell r="C62">
            <v>29.5</v>
          </cell>
          <cell r="D62">
            <v>32</v>
          </cell>
          <cell r="E62">
            <v>32</v>
          </cell>
          <cell r="F62">
            <v>28</v>
          </cell>
          <cell r="G62">
            <v>22</v>
          </cell>
          <cell r="H62">
            <v>15</v>
          </cell>
          <cell r="I62">
            <v>10</v>
          </cell>
          <cell r="J62">
            <v>10</v>
          </cell>
          <cell r="K62">
            <v>10</v>
          </cell>
          <cell r="L62">
            <v>10</v>
          </cell>
          <cell r="M62">
            <v>10</v>
          </cell>
          <cell r="N62">
            <v>10</v>
          </cell>
          <cell r="O62">
            <v>10</v>
          </cell>
        </row>
        <row r="63">
          <cell r="B63" t="str">
            <v>US YG Corn Borer</v>
          </cell>
          <cell r="C63">
            <v>4.5999999999999996</v>
          </cell>
          <cell r="D63">
            <v>0.5</v>
          </cell>
          <cell r="E63">
            <v>0.5</v>
          </cell>
          <cell r="F63">
            <v>0</v>
          </cell>
          <cell r="G63">
            <v>0</v>
          </cell>
          <cell r="H63">
            <v>0</v>
          </cell>
          <cell r="I63">
            <v>0</v>
          </cell>
          <cell r="J63">
            <v>0</v>
          </cell>
          <cell r="K63">
            <v>0</v>
          </cell>
          <cell r="L63">
            <v>0</v>
          </cell>
          <cell r="M63">
            <v>0</v>
          </cell>
          <cell r="N63">
            <v>0</v>
          </cell>
          <cell r="O63">
            <v>0</v>
          </cell>
        </row>
        <row r="64">
          <cell r="B64" t="str">
            <v>US YG Rootworm</v>
          </cell>
          <cell r="C64">
            <v>0</v>
          </cell>
          <cell r="D64">
            <v>0</v>
          </cell>
          <cell r="E64">
            <v>0</v>
          </cell>
          <cell r="F64">
            <v>0</v>
          </cell>
          <cell r="G64">
            <v>0</v>
          </cell>
          <cell r="H64">
            <v>0</v>
          </cell>
          <cell r="I64">
            <v>0</v>
          </cell>
          <cell r="J64">
            <v>0</v>
          </cell>
          <cell r="K64">
            <v>0</v>
          </cell>
          <cell r="L64">
            <v>0</v>
          </cell>
          <cell r="M64">
            <v>0</v>
          </cell>
          <cell r="N64">
            <v>0</v>
          </cell>
          <cell r="O64">
            <v>0</v>
          </cell>
        </row>
        <row r="65">
          <cell r="B65" t="str">
            <v xml:space="preserve">International Roundup Ready </v>
          </cell>
          <cell r="C65">
            <v>2.9</v>
          </cell>
          <cell r="D65">
            <v>0.7</v>
          </cell>
          <cell r="E65">
            <v>0</v>
          </cell>
          <cell r="F65">
            <v>0</v>
          </cell>
          <cell r="G65">
            <v>0</v>
          </cell>
          <cell r="H65">
            <v>0</v>
          </cell>
          <cell r="I65">
            <v>0</v>
          </cell>
          <cell r="J65">
            <v>0</v>
          </cell>
          <cell r="K65">
            <v>0</v>
          </cell>
          <cell r="L65">
            <v>0</v>
          </cell>
          <cell r="M65">
            <v>0</v>
          </cell>
          <cell r="N65">
            <v>0</v>
          </cell>
          <cell r="O65">
            <v>0</v>
          </cell>
        </row>
        <row r="66">
          <cell r="B66" t="str">
            <v>International YG Corn Borer</v>
          </cell>
          <cell r="C66">
            <v>10.100000000000001</v>
          </cell>
          <cell r="D66">
            <v>4</v>
          </cell>
          <cell r="E66">
            <v>7.5</v>
          </cell>
          <cell r="F66">
            <v>8</v>
          </cell>
          <cell r="G66">
            <v>8</v>
          </cell>
          <cell r="H66">
            <v>5</v>
          </cell>
          <cell r="I66">
            <v>2</v>
          </cell>
          <cell r="J66">
            <v>0</v>
          </cell>
          <cell r="K66">
            <v>0</v>
          </cell>
          <cell r="L66">
            <v>0</v>
          </cell>
          <cell r="M66">
            <v>0</v>
          </cell>
          <cell r="N66">
            <v>0</v>
          </cell>
          <cell r="O66">
            <v>0</v>
          </cell>
        </row>
        <row r="68">
          <cell r="B68" t="str">
            <v>Double-stack</v>
          </cell>
        </row>
        <row r="69">
          <cell r="B69" t="str">
            <v>US YG Corn Borer/Roundup Ready</v>
          </cell>
          <cell r="C69">
            <v>9.1</v>
          </cell>
          <cell r="D69">
            <v>5.5</v>
          </cell>
          <cell r="E69">
            <v>5.5</v>
          </cell>
          <cell r="F69">
            <v>5.5</v>
          </cell>
          <cell r="G69">
            <v>5.5</v>
          </cell>
          <cell r="H69">
            <v>5.5</v>
          </cell>
          <cell r="I69">
            <v>5.5</v>
          </cell>
          <cell r="J69">
            <v>5.5</v>
          </cell>
          <cell r="K69">
            <v>5.5</v>
          </cell>
          <cell r="L69">
            <v>5.5</v>
          </cell>
          <cell r="M69">
            <v>5.5</v>
          </cell>
          <cell r="N69">
            <v>5.5</v>
          </cell>
          <cell r="O69">
            <v>5.5</v>
          </cell>
          <cell r="P69">
            <v>0</v>
          </cell>
        </row>
        <row r="70">
          <cell r="B70" t="str">
            <v>US YG Rootworm/Roundup Ready</v>
          </cell>
          <cell r="C70">
            <v>0.5</v>
          </cell>
          <cell r="D70">
            <v>0.25</v>
          </cell>
          <cell r="E70">
            <v>0.25</v>
          </cell>
          <cell r="F70">
            <v>0</v>
          </cell>
          <cell r="G70">
            <v>0</v>
          </cell>
          <cell r="H70">
            <v>0</v>
          </cell>
          <cell r="I70">
            <v>0</v>
          </cell>
          <cell r="J70">
            <v>0</v>
          </cell>
          <cell r="K70">
            <v>0</v>
          </cell>
          <cell r="L70">
            <v>0</v>
          </cell>
          <cell r="M70">
            <v>0</v>
          </cell>
          <cell r="N70">
            <v>0</v>
          </cell>
          <cell r="O70">
            <v>0</v>
          </cell>
          <cell r="P70">
            <v>0</v>
          </cell>
        </row>
        <row r="71">
          <cell r="B71" t="str">
            <v>US YG Plus</v>
          </cell>
          <cell r="C71">
            <v>0.3</v>
          </cell>
          <cell r="D71">
            <v>0.25</v>
          </cell>
          <cell r="E71">
            <v>0.25</v>
          </cell>
          <cell r="F71">
            <v>0</v>
          </cell>
          <cell r="G71">
            <v>0</v>
          </cell>
          <cell r="H71">
            <v>0</v>
          </cell>
          <cell r="I71">
            <v>0</v>
          </cell>
          <cell r="J71">
            <v>0</v>
          </cell>
          <cell r="K71">
            <v>0</v>
          </cell>
          <cell r="L71">
            <v>0</v>
          </cell>
          <cell r="M71">
            <v>0</v>
          </cell>
          <cell r="N71">
            <v>0</v>
          </cell>
          <cell r="O71">
            <v>0</v>
          </cell>
          <cell r="P71">
            <v>0</v>
          </cell>
        </row>
        <row r="72">
          <cell r="B72" t="str">
            <v>US Roundup Ready/Other</v>
          </cell>
          <cell r="C72">
            <v>0</v>
          </cell>
          <cell r="D72">
            <v>0</v>
          </cell>
          <cell r="E72">
            <v>0</v>
          </cell>
          <cell r="F72">
            <v>0</v>
          </cell>
          <cell r="G72">
            <v>0</v>
          </cell>
          <cell r="H72">
            <v>0</v>
          </cell>
          <cell r="I72">
            <v>0</v>
          </cell>
          <cell r="J72">
            <v>0</v>
          </cell>
          <cell r="K72">
            <v>0</v>
          </cell>
          <cell r="L72">
            <v>0</v>
          </cell>
          <cell r="M72">
            <v>0</v>
          </cell>
          <cell r="N72">
            <v>0</v>
          </cell>
          <cell r="O72">
            <v>0</v>
          </cell>
          <cell r="P72">
            <v>0</v>
          </cell>
        </row>
        <row r="73">
          <cell r="B73" t="str">
            <v>International YG Corn Borer/Roundup Ready</v>
          </cell>
          <cell r="C73">
            <v>0.30000000000000004</v>
          </cell>
          <cell r="D73">
            <v>2.5</v>
          </cell>
          <cell r="E73">
            <v>4</v>
          </cell>
          <cell r="F73">
            <v>7.15</v>
          </cell>
          <cell r="G73">
            <v>11</v>
          </cell>
          <cell r="H73">
            <v>14</v>
          </cell>
          <cell r="I73">
            <v>19</v>
          </cell>
          <cell r="J73">
            <v>22</v>
          </cell>
          <cell r="K73">
            <v>22</v>
          </cell>
          <cell r="L73">
            <v>22</v>
          </cell>
          <cell r="M73">
            <v>22</v>
          </cell>
          <cell r="N73">
            <v>22</v>
          </cell>
          <cell r="O73">
            <v>22</v>
          </cell>
        </row>
        <row r="75">
          <cell r="B75" t="str">
            <v>Triple-Stack</v>
          </cell>
        </row>
        <row r="76">
          <cell r="B76" t="str">
            <v>US YG Plus/Roundup Ready</v>
          </cell>
          <cell r="C76">
            <v>29.1</v>
          </cell>
          <cell r="D76">
            <v>32.5</v>
          </cell>
          <cell r="E76">
            <v>35</v>
          </cell>
          <cell r="F76">
            <v>35</v>
          </cell>
          <cell r="G76">
            <v>35</v>
          </cell>
          <cell r="H76">
            <v>35</v>
          </cell>
          <cell r="I76">
            <v>35</v>
          </cell>
          <cell r="J76">
            <v>35</v>
          </cell>
          <cell r="K76">
            <v>35</v>
          </cell>
          <cell r="L76">
            <v>35</v>
          </cell>
          <cell r="M76">
            <v>35</v>
          </cell>
          <cell r="N76">
            <v>35</v>
          </cell>
          <cell r="O76">
            <v>35</v>
          </cell>
        </row>
        <row r="77">
          <cell r="B77" t="str">
            <v>US Roundup Ready/Other/Other</v>
          </cell>
          <cell r="C77">
            <v>0</v>
          </cell>
          <cell r="D77">
            <v>0.5</v>
          </cell>
          <cell r="E77">
            <v>0</v>
          </cell>
          <cell r="F77">
            <v>0</v>
          </cell>
          <cell r="G77">
            <v>0</v>
          </cell>
          <cell r="H77">
            <v>0</v>
          </cell>
          <cell r="I77">
            <v>0</v>
          </cell>
          <cell r="J77">
            <v>0</v>
          </cell>
          <cell r="K77">
            <v>0</v>
          </cell>
          <cell r="L77">
            <v>0</v>
          </cell>
          <cell r="M77">
            <v>0</v>
          </cell>
          <cell r="N77">
            <v>0</v>
          </cell>
          <cell r="O77">
            <v>0</v>
          </cell>
        </row>
        <row r="79">
          <cell r="B79" t="str">
            <v>Pricing/ acre</v>
          </cell>
        </row>
        <row r="80">
          <cell r="B80" t="str">
            <v>Single-stack</v>
          </cell>
        </row>
        <row r="81">
          <cell r="B81" t="str">
            <v xml:space="preserve">US Roundup Ready </v>
          </cell>
          <cell r="C81">
            <v>12.149551495016611</v>
          </cell>
          <cell r="D81">
            <v>14.579461794019933</v>
          </cell>
          <cell r="E81">
            <v>15.745818737541528</v>
          </cell>
          <cell r="F81">
            <v>16.533109674418604</v>
          </cell>
          <cell r="G81">
            <v>17.359765158139535</v>
          </cell>
          <cell r="H81">
            <v>18.227753416046511</v>
          </cell>
          <cell r="I81">
            <v>19.139141086848838</v>
          </cell>
          <cell r="J81">
            <v>20.09609814119128</v>
          </cell>
          <cell r="K81">
            <v>21.100903048250846</v>
          </cell>
          <cell r="L81">
            <v>22.155948200663389</v>
          </cell>
          <cell r="M81">
            <v>22.155948200663389</v>
          </cell>
          <cell r="N81">
            <v>22.155948200663389</v>
          </cell>
          <cell r="O81">
            <v>22.155948200663389</v>
          </cell>
        </row>
        <row r="82">
          <cell r="B82" t="str">
            <v>US YG Corn Borer</v>
          </cell>
          <cell r="C82">
            <v>7.8614744967754548</v>
          </cell>
          <cell r="D82">
            <v>9.4337693961305451</v>
          </cell>
          <cell r="E82">
            <v>10.188470947820988</v>
          </cell>
          <cell r="F82">
            <v>10.697894495212038</v>
          </cell>
          <cell r="G82">
            <v>11.232789219972641</v>
          </cell>
          <cell r="H82">
            <v>11.794428680971274</v>
          </cell>
          <cell r="I82">
            <v>12.384150115019839</v>
          </cell>
          <cell r="J82">
            <v>13.003357620770831</v>
          </cell>
          <cell r="K82">
            <v>13.653525501809373</v>
          </cell>
          <cell r="L82">
            <v>14.336201776899841</v>
          </cell>
          <cell r="M82">
            <v>14.336201776899841</v>
          </cell>
          <cell r="N82">
            <v>14.336201776899841</v>
          </cell>
          <cell r="O82">
            <v>14.336201776899841</v>
          </cell>
          <cell r="P82">
            <v>0</v>
          </cell>
        </row>
        <row r="83">
          <cell r="B83" t="str">
            <v>US YG Rootworm</v>
          </cell>
          <cell r="C83">
            <v>14.293589994137189</v>
          </cell>
          <cell r="D83">
            <v>17.152307992964626</v>
          </cell>
          <cell r="E83">
            <v>18.524492632401799</v>
          </cell>
          <cell r="F83">
            <v>19.45071726402189</v>
          </cell>
          <cell r="G83">
            <v>20.423253127222985</v>
          </cell>
          <cell r="H83">
            <v>21.444415783584134</v>
          </cell>
          <cell r="I83">
            <v>22.516636572763343</v>
          </cell>
          <cell r="J83">
            <v>23.642468401401512</v>
          </cell>
          <cell r="K83">
            <v>24.824591821471589</v>
          </cell>
          <cell r="L83">
            <v>26.065821412545169</v>
          </cell>
          <cell r="M83">
            <v>26.065821412545169</v>
          </cell>
          <cell r="N83">
            <v>26.065821412545169</v>
          </cell>
          <cell r="O83">
            <v>26.065821412545169</v>
          </cell>
        </row>
        <row r="84">
          <cell r="B84" t="str">
            <v xml:space="preserve">International Roundup Ready </v>
          </cell>
          <cell r="C84">
            <v>12.149551495016611</v>
          </cell>
          <cell r="D84">
            <v>14.579461794019933</v>
          </cell>
          <cell r="E84">
            <v>15.745818737541528</v>
          </cell>
          <cell r="F84">
            <v>16.533109674418604</v>
          </cell>
          <cell r="G84">
            <v>17.359765158139535</v>
          </cell>
          <cell r="H84">
            <v>18.227753416046511</v>
          </cell>
          <cell r="I84">
            <v>19.139141086848838</v>
          </cell>
          <cell r="J84">
            <v>20.09609814119128</v>
          </cell>
          <cell r="K84">
            <v>21.100903048250846</v>
          </cell>
          <cell r="L84">
            <v>22.155948200663389</v>
          </cell>
          <cell r="M84">
            <v>22.155948200663389</v>
          </cell>
          <cell r="N84">
            <v>22.155948200663389</v>
          </cell>
          <cell r="O84">
            <v>22.155948200663389</v>
          </cell>
        </row>
        <row r="85">
          <cell r="B85" t="str">
            <v>International YG Corn Borer</v>
          </cell>
          <cell r="C85">
            <v>7.8614744967754548</v>
          </cell>
          <cell r="D85">
            <v>9.4337693961305451</v>
          </cell>
          <cell r="E85">
            <v>10.188470947820988</v>
          </cell>
          <cell r="F85">
            <v>10.697894495212038</v>
          </cell>
          <cell r="G85">
            <v>11.232789219972641</v>
          </cell>
          <cell r="H85">
            <v>11.794428680971274</v>
          </cell>
          <cell r="I85">
            <v>12.384150115019839</v>
          </cell>
          <cell r="J85">
            <v>13.003357620770831</v>
          </cell>
          <cell r="K85">
            <v>13.653525501809373</v>
          </cell>
          <cell r="L85">
            <v>14.336201776899841</v>
          </cell>
          <cell r="M85">
            <v>14.336201776899841</v>
          </cell>
          <cell r="N85">
            <v>14.336201776899841</v>
          </cell>
          <cell r="O85">
            <v>14.336201776899841</v>
          </cell>
        </row>
        <row r="87">
          <cell r="B87" t="str">
            <v>Double-stack</v>
          </cell>
        </row>
        <row r="88">
          <cell r="B88" t="str">
            <v>US YG Corn Borer/Roundup Ready</v>
          </cell>
          <cell r="C88">
            <v>19.296346492085206</v>
          </cell>
          <cell r="D88">
            <v>23.734506185264802</v>
          </cell>
          <cell r="E88">
            <v>25.633266680085988</v>
          </cell>
          <cell r="F88">
            <v>26.914930014090288</v>
          </cell>
          <cell r="G88">
            <v>28.260676514794802</v>
          </cell>
          <cell r="H88">
            <v>29.673710340534544</v>
          </cell>
          <cell r="I88">
            <v>31.157395857561273</v>
          </cell>
          <cell r="J88">
            <v>32.715265650439335</v>
          </cell>
          <cell r="K88">
            <v>34.351028932961306</v>
          </cell>
          <cell r="L88">
            <v>36.068580379609372</v>
          </cell>
          <cell r="M88">
            <v>36.068580379609372</v>
          </cell>
          <cell r="N88">
            <v>36.068580379609372</v>
          </cell>
          <cell r="O88">
            <v>36.068580379609372</v>
          </cell>
        </row>
        <row r="89">
          <cell r="B89" t="str">
            <v>US YG Rootworm/Roundup Ready</v>
          </cell>
          <cell r="C89">
            <v>21.440384991205786</v>
          </cell>
          <cell r="D89">
            <v>26.371673539183117</v>
          </cell>
          <cell r="E89">
            <v>28.481407422317769</v>
          </cell>
          <cell r="F89">
            <v>29.905477793433658</v>
          </cell>
          <cell r="G89">
            <v>31.400751683105341</v>
          </cell>
          <cell r="H89">
            <v>32.970789267260606</v>
          </cell>
          <cell r="I89">
            <v>34.619328730623636</v>
          </cell>
          <cell r="J89">
            <v>36.350295167154819</v>
          </cell>
          <cell r="K89">
            <v>38.167809925512564</v>
          </cell>
          <cell r="L89">
            <v>40.076200421788194</v>
          </cell>
          <cell r="M89">
            <v>40.076200421788194</v>
          </cell>
          <cell r="N89">
            <v>40.076200421788194</v>
          </cell>
          <cell r="O89">
            <v>40.076200421788194</v>
          </cell>
        </row>
        <row r="90">
          <cell r="B90" t="str">
            <v>US YG Plus</v>
          </cell>
          <cell r="C90">
            <v>21.440384991205786</v>
          </cell>
          <cell r="D90">
            <v>26.371673539183117</v>
          </cell>
          <cell r="E90">
            <v>28.481407422317769</v>
          </cell>
          <cell r="F90">
            <v>29.905477793433658</v>
          </cell>
          <cell r="G90">
            <v>31.400751683105341</v>
          </cell>
          <cell r="H90">
            <v>32.970789267260606</v>
          </cell>
          <cell r="I90">
            <v>34.619328730623636</v>
          </cell>
          <cell r="J90">
            <v>36.350295167154819</v>
          </cell>
          <cell r="K90">
            <v>38.167809925512564</v>
          </cell>
          <cell r="L90">
            <v>40.076200421788194</v>
          </cell>
          <cell r="M90">
            <v>40.076200421788194</v>
          </cell>
          <cell r="N90">
            <v>40.076200421788194</v>
          </cell>
          <cell r="O90">
            <v>40.076200421788194</v>
          </cell>
        </row>
        <row r="91">
          <cell r="B91" t="str">
            <v>US Roundup Ready/Other</v>
          </cell>
          <cell r="C91">
            <v>21.440384991205786</v>
          </cell>
          <cell r="D91">
            <v>26.371673539183117</v>
          </cell>
          <cell r="E91">
            <v>28.481407422317769</v>
          </cell>
          <cell r="F91">
            <v>29.905477793433658</v>
          </cell>
          <cell r="G91">
            <v>31.400751683105341</v>
          </cell>
          <cell r="H91">
            <v>32.970789267260606</v>
          </cell>
          <cell r="I91">
            <v>34.619328730623636</v>
          </cell>
          <cell r="J91">
            <v>36.350295167154819</v>
          </cell>
          <cell r="K91">
            <v>38.167809925512564</v>
          </cell>
          <cell r="L91">
            <v>40.076200421788194</v>
          </cell>
          <cell r="M91">
            <v>40.076200421788194</v>
          </cell>
          <cell r="N91">
            <v>40.076200421788194</v>
          </cell>
          <cell r="O91">
            <v>40.076200421788194</v>
          </cell>
        </row>
        <row r="92">
          <cell r="B92" t="str">
            <v>International YG Corn Borer/Roundup Ready</v>
          </cell>
          <cell r="C92">
            <v>19.296346492085206</v>
          </cell>
          <cell r="D92">
            <v>23.734506185264802</v>
          </cell>
          <cell r="E92">
            <v>25.633266680085988</v>
          </cell>
          <cell r="F92">
            <v>26.914930014090288</v>
          </cell>
          <cell r="G92">
            <v>28.260676514794802</v>
          </cell>
          <cell r="H92">
            <v>29.673710340534544</v>
          </cell>
          <cell r="I92">
            <v>31.157395857561273</v>
          </cell>
          <cell r="J92">
            <v>32.715265650439335</v>
          </cell>
          <cell r="K92">
            <v>34.351028932961306</v>
          </cell>
          <cell r="L92">
            <v>36.068580379609372</v>
          </cell>
          <cell r="M92">
            <v>36.068580379609372</v>
          </cell>
          <cell r="N92">
            <v>36.068580379609372</v>
          </cell>
          <cell r="O92">
            <v>36.068580379609372</v>
          </cell>
        </row>
        <row r="94">
          <cell r="B94" t="str">
            <v>Triple-Stack</v>
          </cell>
        </row>
        <row r="95">
          <cell r="B95" t="str">
            <v>US YG Plus/Roundup Ready</v>
          </cell>
          <cell r="C95">
            <v>25.728461989446942</v>
          </cell>
          <cell r="D95">
            <v>31.517365937072505</v>
          </cell>
          <cell r="E95">
            <v>34.038755212038311</v>
          </cell>
          <cell r="F95">
            <v>35.740692972640225</v>
          </cell>
          <cell r="G95">
            <v>37.527727621272241</v>
          </cell>
          <cell r="H95">
            <v>39.404114002335852</v>
          </cell>
          <cell r="I95">
            <v>41.374319702452645</v>
          </cell>
          <cell r="J95">
            <v>43.443035687575282</v>
          </cell>
          <cell r="K95">
            <v>45.615187471954052</v>
          </cell>
          <cell r="L95">
            <v>47.895946845551755</v>
          </cell>
          <cell r="M95">
            <v>47.895946845551755</v>
          </cell>
          <cell r="N95">
            <v>47.895946845551755</v>
          </cell>
          <cell r="O95">
            <v>47.895946845551755</v>
          </cell>
        </row>
        <row r="96">
          <cell r="B96" t="str">
            <v>US Roundup Ready/Other/Other</v>
          </cell>
          <cell r="C96">
            <v>25.728461989446942</v>
          </cell>
          <cell r="D96">
            <v>31.517365937072505</v>
          </cell>
          <cell r="E96">
            <v>34.038755212038311</v>
          </cell>
          <cell r="F96">
            <v>35.740692972640225</v>
          </cell>
          <cell r="G96">
            <v>37.527727621272241</v>
          </cell>
          <cell r="H96">
            <v>39.404114002335852</v>
          </cell>
          <cell r="I96">
            <v>41.374319702452645</v>
          </cell>
          <cell r="J96">
            <v>43.443035687575282</v>
          </cell>
          <cell r="K96">
            <v>45.615187471954052</v>
          </cell>
          <cell r="L96">
            <v>47.895946845551755</v>
          </cell>
          <cell r="M96">
            <v>47.895946845551755</v>
          </cell>
          <cell r="N96">
            <v>47.895946845551755</v>
          </cell>
          <cell r="O96">
            <v>47.895946845551755</v>
          </cell>
        </row>
        <row r="98">
          <cell r="B98" t="str">
            <v>Gross Profit/ acre</v>
          </cell>
        </row>
        <row r="99">
          <cell r="B99" t="str">
            <v>Single-stack</v>
          </cell>
        </row>
        <row r="100">
          <cell r="B100" t="str">
            <v xml:space="preserve">US Roundup Ready </v>
          </cell>
          <cell r="C100">
            <v>10.522323769254003</v>
          </cell>
          <cell r="D100">
            <v>12.708149909392933</v>
          </cell>
          <cell r="E100">
            <v>13.780941258683178</v>
          </cell>
          <cell r="F100">
            <v>14.469988321617336</v>
          </cell>
          <cell r="G100">
            <v>15.193487737698204</v>
          </cell>
          <cell r="H100">
            <v>15.953162124583113</v>
          </cell>
          <cell r="I100">
            <v>16.75082023081227</v>
          </cell>
          <cell r="J100">
            <v>17.588361242352885</v>
          </cell>
          <cell r="K100">
            <v>18.467779304470529</v>
          </cell>
          <cell r="L100">
            <v>19.391168269694056</v>
          </cell>
          <cell r="M100">
            <v>19.25292927314559</v>
          </cell>
          <cell r="N100">
            <v>19.107778326769701</v>
          </cell>
          <cell r="O100">
            <v>18.955369833075014</v>
          </cell>
        </row>
        <row r="101">
          <cell r="B101" t="str">
            <v>US YG Corn Borer</v>
          </cell>
          <cell r="C101">
            <v>6.3969695435891065</v>
          </cell>
          <cell r="D101">
            <v>7.7495886999662442</v>
          </cell>
          <cell r="E101">
            <v>8.4200812168484731</v>
          </cell>
          <cell r="F101">
            <v>8.8410852776908975</v>
          </cell>
          <cell r="G101">
            <v>9.2831395415754425</v>
          </cell>
          <cell r="H101">
            <v>9.7472965186542151</v>
          </cell>
          <cell r="I101">
            <v>10.234661344586927</v>
          </cell>
          <cell r="J101">
            <v>10.746394411816274</v>
          </cell>
          <cell r="K101">
            <v>11.283714132407088</v>
          </cell>
          <cell r="L101">
            <v>11.847899839027441</v>
          </cell>
          <cell r="M101">
            <v>11.723484742133822</v>
          </cell>
          <cell r="N101">
            <v>11.592848890395521</v>
          </cell>
          <cell r="O101">
            <v>11.455681246070304</v>
          </cell>
        </row>
        <row r="102">
          <cell r="B102" t="str">
            <v>US YG Rootworm</v>
          </cell>
          <cell r="C102">
            <v>11.364580087764493</v>
          </cell>
          <cell r="D102">
            <v>13.783946600636025</v>
          </cell>
          <cell r="E102">
            <v>14.987713170456768</v>
          </cell>
          <cell r="F102">
            <v>15.737098828979606</v>
          </cell>
          <cell r="G102">
            <v>16.523953770428587</v>
          </cell>
          <cell r="H102">
            <v>17.350151458950016</v>
          </cell>
          <cell r="I102">
            <v>18.217659031897519</v>
          </cell>
          <cell r="J102">
            <v>19.128541983492397</v>
          </cell>
          <cell r="K102">
            <v>20.084969082667019</v>
          </cell>
          <cell r="L102">
            <v>21.089217536800369</v>
          </cell>
          <cell r="M102">
            <v>20.840387343013131</v>
          </cell>
          <cell r="N102">
            <v>20.579115639536528</v>
          </cell>
          <cell r="O102">
            <v>20.304780350886094</v>
          </cell>
        </row>
        <row r="103">
          <cell r="B103" t="str">
            <v xml:space="preserve">International Roundup Ready </v>
          </cell>
          <cell r="C103">
            <v>10.522323769254003</v>
          </cell>
          <cell r="D103">
            <v>12.708149909392933</v>
          </cell>
          <cell r="E103">
            <v>13.780941258683178</v>
          </cell>
          <cell r="F103">
            <v>14.469988321617336</v>
          </cell>
          <cell r="G103">
            <v>15.193487737698204</v>
          </cell>
          <cell r="H103">
            <v>15.953162124583113</v>
          </cell>
          <cell r="I103">
            <v>16.75082023081227</v>
          </cell>
          <cell r="J103">
            <v>17.588361242352885</v>
          </cell>
          <cell r="K103">
            <v>18.467779304470529</v>
          </cell>
          <cell r="L103">
            <v>19.391168269694056</v>
          </cell>
          <cell r="M103">
            <v>19.25292927314559</v>
          </cell>
          <cell r="N103">
            <v>19.107778326769701</v>
          </cell>
          <cell r="O103">
            <v>18.955369833075014</v>
          </cell>
        </row>
        <row r="104">
          <cell r="B104" t="str">
            <v>International YG Corn Borer</v>
          </cell>
          <cell r="C104">
            <v>6.3969695435891065</v>
          </cell>
          <cell r="D104">
            <v>7.7495886999662442</v>
          </cell>
          <cell r="E104">
            <v>8.4200812168484731</v>
          </cell>
          <cell r="F104">
            <v>8.8410852776908975</v>
          </cell>
          <cell r="G104">
            <v>9.2831395415754425</v>
          </cell>
          <cell r="H104">
            <v>9.7472965186542151</v>
          </cell>
          <cell r="I104">
            <v>10.234661344586927</v>
          </cell>
          <cell r="J104">
            <v>10.746394411816274</v>
          </cell>
          <cell r="K104">
            <v>11.283714132407088</v>
          </cell>
          <cell r="L104">
            <v>11.847899839027441</v>
          </cell>
          <cell r="M104">
            <v>11.723484742133822</v>
          </cell>
          <cell r="N104">
            <v>11.592848890395521</v>
          </cell>
          <cell r="O104">
            <v>11.455681246070304</v>
          </cell>
        </row>
        <row r="106">
          <cell r="B106" t="str">
            <v>Double-stack</v>
          </cell>
        </row>
        <row r="107">
          <cell r="B107" t="str">
            <v>US YG Corn Borer/Roundup Ready</v>
          </cell>
          <cell r="C107">
            <v>17.018227676017553</v>
          </cell>
          <cell r="D107">
            <v>21.114669546787002</v>
          </cell>
          <cell r="E107">
            <v>22.882438209684299</v>
          </cell>
          <cell r="F107">
            <v>24.026560120168512</v>
          </cell>
          <cell r="G107">
            <v>25.227888126176939</v>
          </cell>
          <cell r="H107">
            <v>26.489282532485788</v>
          </cell>
          <cell r="I107">
            <v>27.813746659110077</v>
          </cell>
          <cell r="J107">
            <v>29.204433992065582</v>
          </cell>
          <cell r="K107">
            <v>30.664655691668862</v>
          </cell>
          <cell r="L107">
            <v>32.197888476252309</v>
          </cell>
          <cell r="M107">
            <v>32.004353881084455</v>
          </cell>
          <cell r="N107">
            <v>31.801142556158208</v>
          </cell>
          <cell r="O107">
            <v>31.587770664985648</v>
          </cell>
        </row>
        <row r="108">
          <cell r="B108" t="str">
            <v>US YG Rootworm/Roundup Ready</v>
          </cell>
          <cell r="C108">
            <v>17.697761221951787</v>
          </cell>
          <cell r="D108">
            <v>22.067656204541017</v>
          </cell>
          <cell r="E108">
            <v>23.962189220943564</v>
          </cell>
          <cell r="F108">
            <v>25.160298681990742</v>
          </cell>
          <cell r="G108">
            <v>26.418313616090281</v>
          </cell>
          <cell r="H108">
            <v>27.739229296894791</v>
          </cell>
          <cell r="I108">
            <v>29.126190761739529</v>
          </cell>
          <cell r="J108">
            <v>30.58250029982651</v>
          </cell>
          <cell r="K108">
            <v>32.111625314817836</v>
          </cell>
          <cell r="L108">
            <v>33.717206580558731</v>
          </cell>
          <cell r="M108">
            <v>33.399256888497256</v>
          </cell>
          <cell r="N108">
            <v>33.065409711832707</v>
          </cell>
          <cell r="O108">
            <v>32.714870176334934</v>
          </cell>
        </row>
        <row r="109">
          <cell r="B109" t="str">
            <v>US YG Plus</v>
          </cell>
          <cell r="C109">
            <v>17.535038449375524</v>
          </cell>
          <cell r="D109">
            <v>21.880525016078316</v>
          </cell>
          <cell r="E109">
            <v>23.765701473057728</v>
          </cell>
          <cell r="F109">
            <v>24.953986546710617</v>
          </cell>
          <cell r="G109">
            <v>26.201685874046145</v>
          </cell>
          <cell r="H109">
            <v>27.511770167748452</v>
          </cell>
          <cell r="I109">
            <v>28.887358676135875</v>
          </cell>
          <cell r="J109">
            <v>30.33172660994267</v>
          </cell>
          <cell r="K109">
            <v>31.848312940439804</v>
          </cell>
          <cell r="L109">
            <v>33.440728587461798</v>
          </cell>
          <cell r="M109">
            <v>33.108954995745478</v>
          </cell>
          <cell r="N109">
            <v>32.760592724443342</v>
          </cell>
          <cell r="O109">
            <v>32.394812339576099</v>
          </cell>
        </row>
        <row r="110">
          <cell r="B110" t="str">
            <v>US Roundup Ready/Other</v>
          </cell>
          <cell r="C110">
            <v>18.185929539680568</v>
          </cell>
          <cell r="D110">
            <v>22.629049769929118</v>
          </cell>
          <cell r="E110">
            <v>24.551652464601069</v>
          </cell>
          <cell r="F110">
            <v>25.779235087831122</v>
          </cell>
          <cell r="G110">
            <v>27.06819684222268</v>
          </cell>
          <cell r="H110">
            <v>28.42160668433381</v>
          </cell>
          <cell r="I110">
            <v>29.8426870185505</v>
          </cell>
          <cell r="J110">
            <v>31.334821369478025</v>
          </cell>
          <cell r="K110">
            <v>32.901562437951931</v>
          </cell>
          <cell r="L110">
            <v>34.546640559849529</v>
          </cell>
          <cell r="M110">
            <v>34.270162566752596</v>
          </cell>
          <cell r="N110">
            <v>33.979860674000818</v>
          </cell>
          <cell r="O110">
            <v>33.675043686611446</v>
          </cell>
        </row>
        <row r="111">
          <cell r="B111" t="str">
            <v>International YG Corn Borer/Roundup Ready</v>
          </cell>
          <cell r="C111">
            <v>17.018227676017553</v>
          </cell>
          <cell r="D111">
            <v>21.114669546787002</v>
          </cell>
          <cell r="E111">
            <v>22.882438209684299</v>
          </cell>
          <cell r="F111">
            <v>24.026560120168512</v>
          </cell>
          <cell r="G111">
            <v>25.227888126176939</v>
          </cell>
          <cell r="H111">
            <v>26.489282532485788</v>
          </cell>
          <cell r="I111">
            <v>27.813746659110077</v>
          </cell>
          <cell r="J111">
            <v>29.204433992065582</v>
          </cell>
          <cell r="K111">
            <v>30.664655691668862</v>
          </cell>
          <cell r="L111">
            <v>32.197888476252309</v>
          </cell>
          <cell r="M111">
            <v>32.004353881084455</v>
          </cell>
          <cell r="N111">
            <v>31.801142556158208</v>
          </cell>
          <cell r="O111">
            <v>31.587770664985648</v>
          </cell>
        </row>
        <row r="113">
          <cell r="B113" t="str">
            <v>Triple-Stack</v>
          </cell>
        </row>
        <row r="114">
          <cell r="B114" t="str">
            <v>US YG Plus/Roundup Ready</v>
          </cell>
          <cell r="C114">
            <v>20.846778812159119</v>
          </cell>
          <cell r="D114">
            <v>25.903430283191508</v>
          </cell>
          <cell r="E114">
            <v>28.144122775463266</v>
          </cell>
          <cell r="F114">
            <v>29.551328914236429</v>
          </cell>
          <cell r="G114">
            <v>31.028895359948251</v>
          </cell>
          <cell r="H114">
            <v>32.580340127945661</v>
          </cell>
          <cell r="I114">
            <v>34.209357134342945</v>
          </cell>
          <cell r="J114">
            <v>35.919824991060096</v>
          </cell>
          <cell r="K114">
            <v>37.715816240613108</v>
          </cell>
          <cell r="L114">
            <v>39.601607052643764</v>
          </cell>
          <cell r="M114">
            <v>39.186890062998366</v>
          </cell>
          <cell r="N114">
            <v>38.751437223870695</v>
          </cell>
          <cell r="O114">
            <v>38.294211742786644</v>
          </cell>
        </row>
        <row r="115">
          <cell r="B115" t="str">
            <v>US Roundup Ready/Other/Other</v>
          </cell>
          <cell r="C115">
            <v>20.846778812159119</v>
          </cell>
          <cell r="D115">
            <v>25.903430283191508</v>
          </cell>
          <cell r="E115">
            <v>28.144122775463266</v>
          </cell>
          <cell r="F115">
            <v>29.551328914236429</v>
          </cell>
          <cell r="G115">
            <v>31.028895359948251</v>
          </cell>
          <cell r="H115">
            <v>32.580340127945661</v>
          </cell>
          <cell r="I115">
            <v>34.209357134342945</v>
          </cell>
          <cell r="J115">
            <v>35.919824991060096</v>
          </cell>
          <cell r="K115">
            <v>37.715816240613108</v>
          </cell>
          <cell r="L115">
            <v>39.601607052643764</v>
          </cell>
          <cell r="M115">
            <v>39.186890062998366</v>
          </cell>
          <cell r="N115">
            <v>38.751437223870695</v>
          </cell>
          <cell r="O115">
            <v>38.294211742786644</v>
          </cell>
        </row>
        <row r="117">
          <cell r="B117" t="str">
            <v>Quadruple-stack</v>
          </cell>
        </row>
        <row r="119">
          <cell r="B119" t="str">
            <v>Cotton</v>
          </cell>
        </row>
        <row r="121">
          <cell r="B121" t="str">
            <v>Acres</v>
          </cell>
        </row>
        <row r="123">
          <cell r="B123" t="str">
            <v>India Single-trait Acres</v>
          </cell>
        </row>
        <row r="124">
          <cell r="B124" t="str">
            <v>Bollgard</v>
          </cell>
          <cell r="C124">
            <v>12</v>
          </cell>
          <cell r="D124">
            <v>10</v>
          </cell>
          <cell r="E124">
            <v>6</v>
          </cell>
        </row>
        <row r="125">
          <cell r="B125" t="str">
            <v>Bollgard II</v>
          </cell>
          <cell r="C125">
            <v>3</v>
          </cell>
          <cell r="D125">
            <v>5</v>
          </cell>
          <cell r="E125">
            <v>9</v>
          </cell>
        </row>
        <row r="127">
          <cell r="B127" t="str">
            <v>US Double-trait Acres</v>
          </cell>
        </row>
        <row r="128">
          <cell r="B128" t="str">
            <v>US Bollgard / Roundup Ready</v>
          </cell>
          <cell r="C128">
            <v>2</v>
          </cell>
          <cell r="D128">
            <v>1</v>
          </cell>
          <cell r="E128">
            <v>0</v>
          </cell>
        </row>
        <row r="129">
          <cell r="B129" t="str">
            <v>US Bollgard II / Roundup Ready</v>
          </cell>
          <cell r="C129">
            <v>0</v>
          </cell>
          <cell r="D129">
            <v>0</v>
          </cell>
          <cell r="E129">
            <v>0</v>
          </cell>
        </row>
        <row r="130">
          <cell r="B130" t="str">
            <v>US Bollgard II / Roundup Ready Flex</v>
          </cell>
          <cell r="C130">
            <v>0</v>
          </cell>
          <cell r="D130">
            <v>0</v>
          </cell>
          <cell r="E130">
            <v>0</v>
          </cell>
        </row>
        <row r="132">
          <cell r="B132" t="str">
            <v>Pricing/ acre</v>
          </cell>
        </row>
        <row r="134">
          <cell r="B134" t="str">
            <v>India Single-trait Acres</v>
          </cell>
        </row>
        <row r="135">
          <cell r="B135" t="str">
            <v>Bollgard</v>
          </cell>
          <cell r="C135">
            <v>18</v>
          </cell>
          <cell r="D135">
            <v>18.900000000000002</v>
          </cell>
          <cell r="E135">
            <v>19.845000000000002</v>
          </cell>
          <cell r="F135">
            <v>20.837250000000004</v>
          </cell>
          <cell r="G135">
            <v>21.879112500000005</v>
          </cell>
          <cell r="H135">
            <v>22.973068125000005</v>
          </cell>
          <cell r="I135">
            <v>24.121721531250007</v>
          </cell>
          <cell r="J135">
            <v>25.32780760781251</v>
          </cell>
          <cell r="K135">
            <v>26.594197988203135</v>
          </cell>
          <cell r="L135">
            <v>27.923907887613293</v>
          </cell>
        </row>
        <row r="136">
          <cell r="B136" t="str">
            <v>Bollgard II</v>
          </cell>
          <cell r="C136">
            <v>22</v>
          </cell>
          <cell r="D136">
            <v>23.1</v>
          </cell>
          <cell r="E136">
            <v>24.255000000000003</v>
          </cell>
          <cell r="F136">
            <v>25.467750000000002</v>
          </cell>
          <cell r="G136">
            <v>26.741137500000004</v>
          </cell>
          <cell r="H136">
            <v>28.078194375000006</v>
          </cell>
          <cell r="I136">
            <v>29.482104093750007</v>
          </cell>
          <cell r="J136">
            <v>30.956209298437507</v>
          </cell>
          <cell r="K136">
            <v>32.504019763359381</v>
          </cell>
          <cell r="L136">
            <v>34.129220751527349</v>
          </cell>
        </row>
        <row r="138">
          <cell r="B138" t="str">
            <v>US Double-trait Acres</v>
          </cell>
        </row>
        <row r="139">
          <cell r="B139" t="str">
            <v>US Bollgard / Roundup Ready</v>
          </cell>
          <cell r="C139">
            <v>39.5</v>
          </cell>
          <cell r="D139">
            <v>39.5</v>
          </cell>
          <cell r="E139">
            <v>41.475000000000001</v>
          </cell>
          <cell r="F139">
            <v>43.548750000000005</v>
          </cell>
          <cell r="G139">
            <v>45.726187500000009</v>
          </cell>
          <cell r="H139">
            <v>48.012496875000011</v>
          </cell>
          <cell r="I139">
            <v>50.413121718750013</v>
          </cell>
          <cell r="J139">
            <v>52.933777804687516</v>
          </cell>
          <cell r="K139">
            <v>55.580466694921896</v>
          </cell>
          <cell r="L139">
            <v>58.359490029667995</v>
          </cell>
        </row>
        <row r="140">
          <cell r="B140" t="str">
            <v>US Bollgard II / Roundup Ready</v>
          </cell>
          <cell r="C140">
            <v>0</v>
          </cell>
          <cell r="D140">
            <v>0</v>
          </cell>
          <cell r="E140">
            <v>0</v>
          </cell>
          <cell r="F140">
            <v>0</v>
          </cell>
          <cell r="G140">
            <v>0</v>
          </cell>
          <cell r="H140">
            <v>0</v>
          </cell>
          <cell r="I140">
            <v>0</v>
          </cell>
          <cell r="J140">
            <v>0</v>
          </cell>
          <cell r="K140">
            <v>0</v>
          </cell>
          <cell r="L140">
            <v>0</v>
          </cell>
        </row>
        <row r="141">
          <cell r="B141" t="str">
            <v>US Bollgard II / Roundup Ready Flex</v>
          </cell>
          <cell r="C141">
            <v>39</v>
          </cell>
          <cell r="D141">
            <v>39</v>
          </cell>
          <cell r="E141">
            <v>40.950000000000003</v>
          </cell>
          <cell r="F141">
            <v>42.997500000000002</v>
          </cell>
          <cell r="G141">
            <v>45.147375000000004</v>
          </cell>
          <cell r="H141">
            <v>47.404743750000009</v>
          </cell>
          <cell r="I141">
            <v>49.774980937500011</v>
          </cell>
          <cell r="J141">
            <v>52.263729984375011</v>
          </cell>
          <cell r="K141">
            <v>54.876916483593767</v>
          </cell>
          <cell r="L141">
            <v>57.620762307773461</v>
          </cell>
        </row>
        <row r="143">
          <cell r="B143" t="str">
            <v>Gross Profit/ acre</v>
          </cell>
          <cell r="C143" t="str">
            <v>80% Gross Margin US</v>
          </cell>
        </row>
        <row r="144">
          <cell r="C144" t="str">
            <v>lower in India</v>
          </cell>
          <cell r="E144" t="str">
            <v>~50%?</v>
          </cell>
        </row>
        <row r="145">
          <cell r="B145" t="str">
            <v>India Single-trait Acres</v>
          </cell>
        </row>
        <row r="146">
          <cell r="B146" t="str">
            <v>Bollgard</v>
          </cell>
        </row>
        <row r="147">
          <cell r="B147" t="str">
            <v>Bollgard II</v>
          </cell>
        </row>
        <row r="149">
          <cell r="B149" t="str">
            <v>US Double-trait Acres</v>
          </cell>
        </row>
        <row r="150">
          <cell r="B150" t="str">
            <v>US Bollgard / Roundup Ready</v>
          </cell>
        </row>
        <row r="151">
          <cell r="B151" t="str">
            <v>US Bollgard II / Roundup Ready</v>
          </cell>
        </row>
        <row r="152">
          <cell r="B152" t="str">
            <v>US Bollgard II / Roundup Ready Flex</v>
          </cell>
        </row>
        <row r="154">
          <cell r="B154" t="str">
            <v>Base Case Corn Price</v>
          </cell>
          <cell r="C154">
            <v>3</v>
          </cell>
        </row>
        <row r="155">
          <cell r="B155" t="str">
            <v>Base Case Soybean Price</v>
          </cell>
          <cell r="C155">
            <v>8</v>
          </cell>
        </row>
      </sheetData>
      <sheetData sheetId="5">
        <row r="2">
          <cell r="A2" t="str">
            <v>VT Pro</v>
          </cell>
          <cell r="J2" t="str">
            <v>Higher Yielding Soybeans</v>
          </cell>
        </row>
        <row r="3">
          <cell r="C3" t="str">
            <v>Launch Year</v>
          </cell>
          <cell r="D3" t="str">
            <v>100% Penetration</v>
          </cell>
          <cell r="E3" t="str">
            <v>US Acreage</v>
          </cell>
          <cell r="F3" t="str">
            <v>International Acreage</v>
          </cell>
          <cell r="G3" t="str">
            <v>Trait Retail Price</v>
          </cell>
          <cell r="H3" t="str">
            <v>Pricing</v>
          </cell>
          <cell r="I3" t="str">
            <v>2008-2020 EPS</v>
          </cell>
          <cell r="L3" t="str">
            <v>Launch Year</v>
          </cell>
          <cell r="M3" t="str">
            <v>100% Penetration</v>
          </cell>
          <cell r="N3" t="str">
            <v>US Acreage (end 2020)</v>
          </cell>
          <cell r="O3" t="str">
            <v>International Acreage</v>
          </cell>
          <cell r="P3" t="str">
            <v>Trait Retail Price</v>
          </cell>
          <cell r="Q3" t="str">
            <v>Pricing</v>
          </cell>
          <cell r="R3" t="str">
            <v>2008-2020 EPS</v>
          </cell>
        </row>
        <row r="4">
          <cell r="B4" t="str">
            <v>Bear Case</v>
          </cell>
          <cell r="C4">
            <v>2009</v>
          </cell>
          <cell r="D4">
            <v>2012</v>
          </cell>
          <cell r="E4" t="str">
            <v>50M</v>
          </cell>
          <cell r="F4" t="str">
            <v>0M</v>
          </cell>
          <cell r="G4">
            <v>0.66371681415929207</v>
          </cell>
          <cell r="H4" t="str">
            <v>None</v>
          </cell>
          <cell r="I4">
            <v>0.13406213397667038</v>
          </cell>
          <cell r="K4" t="str">
            <v>Bear Case</v>
          </cell>
          <cell r="L4">
            <v>2014</v>
          </cell>
          <cell r="M4">
            <v>2017</v>
          </cell>
          <cell r="N4" t="str">
            <v>38M</v>
          </cell>
          <cell r="O4" t="str">
            <v>0M</v>
          </cell>
          <cell r="P4">
            <v>10.726256983240225</v>
          </cell>
          <cell r="Q4" t="str">
            <v>None</v>
          </cell>
          <cell r="R4">
            <v>0.76</v>
          </cell>
        </row>
        <row r="5">
          <cell r="B5" t="str">
            <v>Base Case</v>
          </cell>
          <cell r="C5">
            <v>2009</v>
          </cell>
          <cell r="D5">
            <v>2011</v>
          </cell>
          <cell r="E5" t="str">
            <v>60M</v>
          </cell>
          <cell r="F5" t="str">
            <v>0M</v>
          </cell>
          <cell r="G5">
            <v>1.3274336283185844</v>
          </cell>
          <cell r="H5" t="str">
            <v>shift to MON 2/3 gross profit</v>
          </cell>
          <cell r="I5" t="e">
            <v>#REF!</v>
          </cell>
          <cell r="K5" t="str">
            <v>Base Case</v>
          </cell>
          <cell r="L5">
            <v>2013</v>
          </cell>
          <cell r="M5">
            <v>2016</v>
          </cell>
          <cell r="N5" t="str">
            <v>50M</v>
          </cell>
          <cell r="O5" t="str">
            <v>0M</v>
          </cell>
          <cell r="P5">
            <v>14.301675977653632</v>
          </cell>
          <cell r="Q5" t="str">
            <v>shift to MON 2/3 gross profit</v>
          </cell>
          <cell r="R5">
            <v>6.5334067104174993</v>
          </cell>
        </row>
        <row r="6">
          <cell r="B6" t="str">
            <v>Bull Case</v>
          </cell>
          <cell r="C6">
            <v>2009</v>
          </cell>
          <cell r="D6">
            <v>2011</v>
          </cell>
          <cell r="E6" t="str">
            <v>65M</v>
          </cell>
          <cell r="F6" t="str">
            <v>19M</v>
          </cell>
          <cell r="G6">
            <v>2.6548672566371683</v>
          </cell>
          <cell r="H6" t="str">
            <v>shift to MON 3/4 gross profit</v>
          </cell>
          <cell r="I6">
            <v>3.19</v>
          </cell>
          <cell r="K6" t="str">
            <v>Bull Case</v>
          </cell>
          <cell r="L6">
            <v>2013</v>
          </cell>
          <cell r="M6">
            <v>2016</v>
          </cell>
          <cell r="N6" t="str">
            <v>55M</v>
          </cell>
          <cell r="O6" t="str">
            <v>0M</v>
          </cell>
          <cell r="P6">
            <v>17.877094972067042</v>
          </cell>
          <cell r="Q6" t="str">
            <v>shift to MON 3/4 gross profit</v>
          </cell>
          <cell r="R6">
            <v>7.56</v>
          </cell>
        </row>
        <row r="8">
          <cell r="A8" t="str">
            <v>SmartStax</v>
          </cell>
          <cell r="J8" t="str">
            <v>Dicamba-Tolerant Soybeans</v>
          </cell>
        </row>
        <row r="9">
          <cell r="C9" t="str">
            <v>Launch Year</v>
          </cell>
          <cell r="D9" t="str">
            <v>100% Penetration</v>
          </cell>
          <cell r="E9" t="str">
            <v>US Acreage</v>
          </cell>
          <cell r="F9" t="str">
            <v>International Acreage</v>
          </cell>
          <cell r="G9" t="str">
            <v>Trait Retail Price</v>
          </cell>
          <cell r="H9" t="str">
            <v>Pricing</v>
          </cell>
          <cell r="I9" t="str">
            <v>2008-2020 EPS</v>
          </cell>
          <cell r="L9" t="str">
            <v>Launch Year</v>
          </cell>
          <cell r="M9" t="str">
            <v>100% Penetration</v>
          </cell>
          <cell r="N9" t="str">
            <v>US Acreage</v>
          </cell>
          <cell r="O9" t="str">
            <v>International Acreage</v>
          </cell>
          <cell r="P9" t="str">
            <v>Trait Retail Price</v>
          </cell>
          <cell r="Q9" t="str">
            <v>Pricing</v>
          </cell>
          <cell r="R9" t="str">
            <v>2008-2020 EPS</v>
          </cell>
        </row>
        <row r="10">
          <cell r="B10" t="str">
            <v>Bear Case</v>
          </cell>
          <cell r="C10">
            <v>2010</v>
          </cell>
          <cell r="D10">
            <v>2014</v>
          </cell>
          <cell r="E10" t="str">
            <v>40M</v>
          </cell>
          <cell r="F10" t="str">
            <v>0M</v>
          </cell>
          <cell r="G10">
            <v>7.860262008733625</v>
          </cell>
          <cell r="H10" t="str">
            <v>None</v>
          </cell>
          <cell r="I10">
            <v>6.516541648335088</v>
          </cell>
          <cell r="K10" t="str">
            <v>Bear Case</v>
          </cell>
          <cell r="L10">
            <v>2014</v>
          </cell>
          <cell r="M10">
            <v>2020</v>
          </cell>
          <cell r="N10" t="str">
            <v>15M</v>
          </cell>
          <cell r="O10" t="str">
            <v>0M</v>
          </cell>
          <cell r="P10">
            <v>8.9385474860335208</v>
          </cell>
          <cell r="Q10" t="str">
            <v>None</v>
          </cell>
          <cell r="R10">
            <v>0.62</v>
          </cell>
        </row>
        <row r="11">
          <cell r="B11" t="str">
            <v>Base Case</v>
          </cell>
          <cell r="C11">
            <v>2010</v>
          </cell>
          <cell r="D11">
            <v>2013</v>
          </cell>
          <cell r="E11" t="str">
            <v>60M</v>
          </cell>
          <cell r="F11" t="str">
            <v>0M</v>
          </cell>
          <cell r="G11">
            <v>10.480349344978167</v>
          </cell>
          <cell r="H11" t="str">
            <v>shift to MON 2/3 gross profit</v>
          </cell>
          <cell r="I11">
            <v>9.6160895280848102</v>
          </cell>
          <cell r="K11" t="str">
            <v>Base Case</v>
          </cell>
          <cell r="L11">
            <v>2013</v>
          </cell>
          <cell r="M11">
            <v>2016</v>
          </cell>
          <cell r="N11" t="str">
            <v>25M</v>
          </cell>
          <cell r="O11" t="str">
            <v>70M</v>
          </cell>
          <cell r="P11">
            <v>11.173184357541899</v>
          </cell>
          <cell r="Q11" t="str">
            <v>shift to MON 2/3 gross profit</v>
          </cell>
          <cell r="R11">
            <v>7.3011120445993649</v>
          </cell>
        </row>
        <row r="12">
          <cell r="B12" t="str">
            <v>Bull Case</v>
          </cell>
          <cell r="C12">
            <v>2010</v>
          </cell>
          <cell r="D12">
            <v>2013</v>
          </cell>
          <cell r="E12" t="str">
            <v>65M</v>
          </cell>
          <cell r="F12" t="str">
            <v>38M</v>
          </cell>
          <cell r="G12">
            <v>11.790393013100434</v>
          </cell>
          <cell r="H12" t="str">
            <v>shift to MON 3/4 gross profit</v>
          </cell>
          <cell r="I12">
            <v>10.922250073281376</v>
          </cell>
          <cell r="K12" t="str">
            <v>Bull Case</v>
          </cell>
          <cell r="L12">
            <v>2013</v>
          </cell>
          <cell r="M12">
            <v>2016</v>
          </cell>
          <cell r="N12" t="str">
            <v>55M</v>
          </cell>
          <cell r="O12" t="str">
            <v>70M</v>
          </cell>
          <cell r="P12">
            <v>13.407821229050279</v>
          </cell>
          <cell r="Q12" t="str">
            <v>shift to MON 3/4 gross profit</v>
          </cell>
          <cell r="R12">
            <v>11.72</v>
          </cell>
        </row>
        <row r="14">
          <cell r="A14" t="str">
            <v>Drought Corn</v>
          </cell>
          <cell r="J14" t="str">
            <v>Insect Protected Soybeans</v>
          </cell>
        </row>
        <row r="15">
          <cell r="C15" t="str">
            <v>Launch Year</v>
          </cell>
          <cell r="D15" t="str">
            <v>100% Penetration</v>
          </cell>
          <cell r="E15" t="str">
            <v>US Acreage</v>
          </cell>
          <cell r="F15" t="str">
            <v>International Acreage</v>
          </cell>
          <cell r="G15" t="str">
            <v>Trait Retail Price</v>
          </cell>
          <cell r="H15" t="str">
            <v>Pricing</v>
          </cell>
          <cell r="I15" t="str">
            <v>2008-2020 EPS</v>
          </cell>
          <cell r="L15" t="str">
            <v>Launch Year</v>
          </cell>
          <cell r="M15" t="str">
            <v>100% Penetration</v>
          </cell>
          <cell r="N15" t="str">
            <v>US Acreage</v>
          </cell>
          <cell r="O15" t="str">
            <v>International Acreage</v>
          </cell>
          <cell r="P15" t="str">
            <v>Trait Retail Price</v>
          </cell>
          <cell r="Q15" t="str">
            <v>Pricing</v>
          </cell>
          <cell r="R15" t="str">
            <v>2008-2020 EPS</v>
          </cell>
        </row>
        <row r="16">
          <cell r="B16" t="str">
            <v>Bear Case</v>
          </cell>
          <cell r="C16">
            <v>2013</v>
          </cell>
          <cell r="D16">
            <v>2016</v>
          </cell>
          <cell r="E16" t="str">
            <v>45M</v>
          </cell>
          <cell r="F16" t="str">
            <v>0M</v>
          </cell>
          <cell r="G16">
            <v>13.10043668122271</v>
          </cell>
          <cell r="H16" t="str">
            <v>None</v>
          </cell>
          <cell r="I16">
            <v>1.36</v>
          </cell>
          <cell r="K16" t="str">
            <v>Bear Case</v>
          </cell>
          <cell r="L16">
            <v>2013</v>
          </cell>
          <cell r="M16">
            <v>2016</v>
          </cell>
          <cell r="N16" t="str">
            <v>0M</v>
          </cell>
          <cell r="O16" t="str">
            <v>58M</v>
          </cell>
          <cell r="P16">
            <v>10.458100558659217</v>
          </cell>
          <cell r="Q16" t="str">
            <v>None</v>
          </cell>
          <cell r="R16">
            <v>2.11</v>
          </cell>
        </row>
        <row r="17">
          <cell r="B17" t="str">
            <v>Base Case</v>
          </cell>
          <cell r="C17">
            <v>2012</v>
          </cell>
          <cell r="D17">
            <v>2015</v>
          </cell>
          <cell r="E17" t="str">
            <v>60M</v>
          </cell>
          <cell r="F17" t="str">
            <v>0M</v>
          </cell>
          <cell r="G17">
            <v>19.650655021834066</v>
          </cell>
          <cell r="H17" t="str">
            <v>shift to MON 2/3 gross profit</v>
          </cell>
          <cell r="I17">
            <v>4.8872085307830861</v>
          </cell>
          <cell r="K17" t="str">
            <v>Base Case</v>
          </cell>
          <cell r="L17">
            <v>2012</v>
          </cell>
          <cell r="M17">
            <v>2015</v>
          </cell>
          <cell r="N17" t="str">
            <v>0M</v>
          </cell>
          <cell r="O17" t="str">
            <v>70M</v>
          </cell>
          <cell r="P17">
            <v>11.486033519553077</v>
          </cell>
          <cell r="Q17" t="str">
            <v>shift to MON 2/3 gross profit</v>
          </cell>
          <cell r="R17">
            <v>6.2339535878981529</v>
          </cell>
        </row>
        <row r="18">
          <cell r="B18" t="str">
            <v>Bull Case</v>
          </cell>
          <cell r="C18">
            <v>2012</v>
          </cell>
          <cell r="D18">
            <v>2015</v>
          </cell>
          <cell r="E18" t="str">
            <v>65M</v>
          </cell>
          <cell r="F18" t="str">
            <v>38M</v>
          </cell>
          <cell r="G18">
            <v>26.20087336244541</v>
          </cell>
          <cell r="H18" t="str">
            <v>shift to MON 3/4 gross profit</v>
          </cell>
          <cell r="I18">
            <v>15.34</v>
          </cell>
          <cell r="K18" t="str">
            <v>Bull Case</v>
          </cell>
          <cell r="L18">
            <v>2012</v>
          </cell>
          <cell r="M18">
            <v>2014</v>
          </cell>
          <cell r="N18" t="str">
            <v>0M</v>
          </cell>
          <cell r="O18" t="str">
            <v>70M</v>
          </cell>
          <cell r="P18">
            <v>17.608938547486037</v>
          </cell>
          <cell r="Q18" t="str">
            <v>shift to MON 3/4 gross profit</v>
          </cell>
          <cell r="R18">
            <v>8.56</v>
          </cell>
        </row>
        <row r="20">
          <cell r="A20" t="str">
            <v>Nitrogen Corn</v>
          </cell>
          <cell r="J20" t="str">
            <v>Higher Yielding Canola</v>
          </cell>
        </row>
        <row r="21">
          <cell r="C21" t="str">
            <v>Launch Year</v>
          </cell>
          <cell r="D21" t="str">
            <v>100% Penetration</v>
          </cell>
          <cell r="E21" t="str">
            <v>US Acreage</v>
          </cell>
          <cell r="F21" t="str">
            <v>International Acreage</v>
          </cell>
          <cell r="G21" t="str">
            <v>Trait Retail Price</v>
          </cell>
          <cell r="H21" t="str">
            <v>Pricing</v>
          </cell>
          <cell r="I21" t="str">
            <v>2008-2020 EPS</v>
          </cell>
          <cell r="L21" t="str">
            <v>Launch Year</v>
          </cell>
          <cell r="M21" t="str">
            <v>100% Penetration</v>
          </cell>
          <cell r="N21" t="str">
            <v>US Acreage</v>
          </cell>
          <cell r="O21" t="str">
            <v>International Acreage</v>
          </cell>
          <cell r="P21" t="str">
            <v>Trait Retail Price</v>
          </cell>
          <cell r="Q21" t="str">
            <v>Pricing</v>
          </cell>
          <cell r="R21" t="str">
            <v>2008-2020 EPS</v>
          </cell>
        </row>
        <row r="22">
          <cell r="B22" t="str">
            <v>Bear Case</v>
          </cell>
          <cell r="C22">
            <v>2016</v>
          </cell>
          <cell r="D22">
            <v>2019</v>
          </cell>
          <cell r="E22" t="str">
            <v>45M</v>
          </cell>
          <cell r="F22" t="str">
            <v>0M</v>
          </cell>
          <cell r="G22">
            <v>8.7898150526586178</v>
          </cell>
          <cell r="H22" t="str">
            <v>None</v>
          </cell>
          <cell r="I22">
            <v>0.53</v>
          </cell>
          <cell r="K22" t="str">
            <v>Bear Case</v>
          </cell>
          <cell r="L22">
            <v>2013</v>
          </cell>
          <cell r="M22">
            <v>2016</v>
          </cell>
          <cell r="N22" t="str">
            <v>1M</v>
          </cell>
          <cell r="O22" t="str">
            <v>10M</v>
          </cell>
          <cell r="P22">
            <v>10</v>
          </cell>
          <cell r="Q22" t="str">
            <v>None</v>
          </cell>
          <cell r="R22">
            <v>0.18</v>
          </cell>
        </row>
        <row r="23">
          <cell r="B23" t="str">
            <v>Base Case</v>
          </cell>
          <cell r="C23">
            <v>2015</v>
          </cell>
          <cell r="D23">
            <v>2018</v>
          </cell>
          <cell r="E23" t="str">
            <v>55M</v>
          </cell>
          <cell r="F23" t="str">
            <v>0M</v>
          </cell>
          <cell r="G23">
            <v>16.844335987670178</v>
          </cell>
          <cell r="H23">
            <v>0.05</v>
          </cell>
          <cell r="I23">
            <v>3.343623678465887</v>
          </cell>
          <cell r="K23" t="str">
            <v>Base Case</v>
          </cell>
          <cell r="L23">
            <v>2013</v>
          </cell>
          <cell r="M23">
            <v>2015</v>
          </cell>
          <cell r="N23" t="str">
            <v>2M</v>
          </cell>
          <cell r="O23" t="str">
            <v>9M</v>
          </cell>
          <cell r="P23">
            <v>20</v>
          </cell>
          <cell r="Q23">
            <v>0.05</v>
          </cell>
          <cell r="R23">
            <v>0.95841147859870857</v>
          </cell>
        </row>
        <row r="24">
          <cell r="B24" t="str">
            <v>Bull Case</v>
          </cell>
          <cell r="C24">
            <v>2015</v>
          </cell>
          <cell r="D24">
            <v>2018</v>
          </cell>
          <cell r="E24" t="str">
            <v>65M</v>
          </cell>
          <cell r="F24" t="str">
            <v>38M</v>
          </cell>
          <cell r="G24">
            <v>19.751798099152332</v>
          </cell>
          <cell r="H24">
            <v>7.0000000000000007E-2</v>
          </cell>
          <cell r="I24">
            <v>4.04</v>
          </cell>
          <cell r="K24" t="str">
            <v>Bull Case</v>
          </cell>
          <cell r="L24">
            <v>2012</v>
          </cell>
          <cell r="M24">
            <v>2015</v>
          </cell>
          <cell r="N24" t="str">
            <v>2M</v>
          </cell>
          <cell r="O24" t="str">
            <v>8M</v>
          </cell>
          <cell r="P24">
            <v>25</v>
          </cell>
          <cell r="Q24">
            <v>7.0000000000000007E-2</v>
          </cell>
          <cell r="R24">
            <v>1.25</v>
          </cell>
        </row>
        <row r="26">
          <cell r="A26" t="str">
            <v>RR2Y Soybeans</v>
          </cell>
          <cell r="J26" t="str">
            <v>Higher Yielding Corn</v>
          </cell>
        </row>
        <row r="27">
          <cell r="C27" t="str">
            <v>Launch Year</v>
          </cell>
          <cell r="D27" t="str">
            <v>100% Penetration</v>
          </cell>
          <cell r="E27" t="str">
            <v>US Acreage</v>
          </cell>
          <cell r="F27" t="str">
            <v>International Acreage</v>
          </cell>
          <cell r="G27" t="str">
            <v>Trait Retail Price</v>
          </cell>
          <cell r="H27" t="str">
            <v>Pricing</v>
          </cell>
          <cell r="I27" t="str">
            <v>2008-2020 EPS</v>
          </cell>
          <cell r="L27" t="str">
            <v>Launch Year</v>
          </cell>
          <cell r="M27" t="str">
            <v>100% Penetration</v>
          </cell>
          <cell r="N27" t="str">
            <v>US Acreage</v>
          </cell>
          <cell r="O27" t="str">
            <v>International Acreage</v>
          </cell>
          <cell r="P27" t="str">
            <v>Trait Retail Price</v>
          </cell>
          <cell r="Q27" t="str">
            <v>Pricing</v>
          </cell>
          <cell r="R27" t="str">
            <v>2008-2020 EPS</v>
          </cell>
        </row>
        <row r="28">
          <cell r="B28" t="str">
            <v>Bear Case</v>
          </cell>
          <cell r="C28">
            <v>2009</v>
          </cell>
          <cell r="D28">
            <v>2013</v>
          </cell>
          <cell r="E28" t="str">
            <v>45M</v>
          </cell>
          <cell r="F28" t="str">
            <v>47M</v>
          </cell>
          <cell r="G28">
            <v>10.835214446952596</v>
          </cell>
          <cell r="H28" t="str">
            <v>None</v>
          </cell>
          <cell r="I28">
            <v>4.28</v>
          </cell>
          <cell r="K28" t="str">
            <v>Bear Case</v>
          </cell>
          <cell r="L28">
            <v>2014</v>
          </cell>
          <cell r="M28">
            <v>2017</v>
          </cell>
          <cell r="N28" t="str">
            <v>0M</v>
          </cell>
          <cell r="O28" t="str">
            <v>58M</v>
          </cell>
          <cell r="P28">
            <v>10.619469026548673</v>
          </cell>
          <cell r="Q28" t="str">
            <v>None</v>
          </cell>
          <cell r="R28">
            <v>1.1100000000000001</v>
          </cell>
        </row>
        <row r="29">
          <cell r="B29" t="str">
            <v>Base Case</v>
          </cell>
          <cell r="C29">
            <v>2009</v>
          </cell>
          <cell r="D29">
            <v>2012</v>
          </cell>
          <cell r="E29" t="str">
            <v>50M</v>
          </cell>
          <cell r="F29" t="str">
            <v>70M</v>
          </cell>
          <cell r="G29">
            <v>20</v>
          </cell>
          <cell r="H29" t="str">
            <v>shift to MON 2/3 gross profit</v>
          </cell>
          <cell r="I29" t="e">
            <v>#REF!</v>
          </cell>
          <cell r="K29" t="str">
            <v>Base Case</v>
          </cell>
          <cell r="L29">
            <v>2013</v>
          </cell>
          <cell r="M29">
            <v>2016</v>
          </cell>
          <cell r="N29" t="str">
            <v>0M</v>
          </cell>
          <cell r="O29" t="str">
            <v>70M</v>
          </cell>
          <cell r="P29">
            <v>13.274336283185841</v>
          </cell>
          <cell r="Q29" t="str">
            <v>shift to MON 2/3 gross profit</v>
          </cell>
          <cell r="R29">
            <v>3.3108502339864407</v>
          </cell>
        </row>
        <row r="30">
          <cell r="B30" t="str">
            <v>Bull Case</v>
          </cell>
          <cell r="C30">
            <v>2009</v>
          </cell>
          <cell r="D30">
            <v>2012</v>
          </cell>
          <cell r="E30" t="str">
            <v>55M</v>
          </cell>
          <cell r="F30" t="str">
            <v>70M</v>
          </cell>
          <cell r="G30">
            <v>18.058690744920991</v>
          </cell>
          <cell r="H30" t="str">
            <v>shift to MON 3/4 gross profit</v>
          </cell>
          <cell r="I30">
            <v>23.67</v>
          </cell>
          <cell r="K30" t="str">
            <v>Bull Case</v>
          </cell>
          <cell r="L30">
            <v>2013</v>
          </cell>
          <cell r="M30">
            <v>2016</v>
          </cell>
          <cell r="N30" t="str">
            <v>0M</v>
          </cell>
          <cell r="O30" t="str">
            <v>70M</v>
          </cell>
          <cell r="P30">
            <v>19.911504424778762</v>
          </cell>
          <cell r="Q30" t="str">
            <v>shift to MON 3/4 gross profit</v>
          </cell>
          <cell r="R30">
            <v>5.51</v>
          </cell>
        </row>
        <row r="32">
          <cell r="A32" t="str">
            <v>Omega-3 Soybeans</v>
          </cell>
          <cell r="J32" t="str">
            <v>Drought Cotton</v>
          </cell>
        </row>
        <row r="33">
          <cell r="C33" t="str">
            <v>Launch Year</v>
          </cell>
          <cell r="D33" t="str">
            <v>100% Penetration</v>
          </cell>
          <cell r="E33" t="str">
            <v>US Acreage</v>
          </cell>
          <cell r="F33" t="str">
            <v>International Acreage</v>
          </cell>
          <cell r="G33" t="str">
            <v>Trait Retail Price</v>
          </cell>
          <cell r="H33" t="str">
            <v>Pricing</v>
          </cell>
          <cell r="I33" t="str">
            <v>2008-2020 EPS</v>
          </cell>
          <cell r="L33" t="str">
            <v>Launch Year</v>
          </cell>
          <cell r="M33" t="str">
            <v>100% Penetration</v>
          </cell>
          <cell r="N33" t="str">
            <v>US Acreage</v>
          </cell>
          <cell r="O33" t="str">
            <v>International Acreage</v>
          </cell>
          <cell r="P33" t="str">
            <v>Trait Retail Price</v>
          </cell>
          <cell r="Q33" t="str">
            <v>Pricing</v>
          </cell>
          <cell r="R33" t="str">
            <v>2008-2020 EPS</v>
          </cell>
        </row>
        <row r="34">
          <cell r="B34" t="str">
            <v>Bear Case</v>
          </cell>
          <cell r="C34">
            <v>2011</v>
          </cell>
          <cell r="D34">
            <v>2014</v>
          </cell>
          <cell r="E34" t="str">
            <v>1M</v>
          </cell>
          <cell r="F34" t="str">
            <v>0M</v>
          </cell>
          <cell r="G34">
            <v>30</v>
          </cell>
          <cell r="H34" t="str">
            <v>None</v>
          </cell>
          <cell r="I34">
            <v>0.14000000000000001</v>
          </cell>
          <cell r="K34" t="str">
            <v>Bear Case</v>
          </cell>
          <cell r="L34">
            <v>2016</v>
          </cell>
          <cell r="M34">
            <v>2019</v>
          </cell>
          <cell r="N34" t="str">
            <v>5M</v>
          </cell>
          <cell r="O34" t="str">
            <v>0M</v>
          </cell>
          <cell r="P34">
            <v>30</v>
          </cell>
          <cell r="Q34" t="str">
            <v>None</v>
          </cell>
          <cell r="R34">
            <v>7.0000000000000007E-2</v>
          </cell>
        </row>
        <row r="35">
          <cell r="B35" t="str">
            <v>Base Case</v>
          </cell>
          <cell r="C35">
            <v>2010</v>
          </cell>
          <cell r="D35">
            <v>2013</v>
          </cell>
          <cell r="E35" t="str">
            <v>1M</v>
          </cell>
          <cell r="F35" t="str">
            <v>0M</v>
          </cell>
          <cell r="G35">
            <v>30</v>
          </cell>
          <cell r="H35">
            <v>0.05</v>
          </cell>
          <cell r="I35">
            <v>0.24144515706708994</v>
          </cell>
          <cell r="K35" t="str">
            <v>Base Case</v>
          </cell>
          <cell r="L35">
            <v>2015</v>
          </cell>
          <cell r="M35">
            <v>2018</v>
          </cell>
          <cell r="N35" t="str">
            <v>8M</v>
          </cell>
          <cell r="O35" t="str">
            <v>0M</v>
          </cell>
          <cell r="P35">
            <v>20</v>
          </cell>
          <cell r="Q35" t="str">
            <v>None</v>
          </cell>
          <cell r="R35">
            <v>0.3229687878693594</v>
          </cell>
        </row>
        <row r="36">
          <cell r="B36" t="str">
            <v>Bull Case</v>
          </cell>
          <cell r="C36">
            <v>2010</v>
          </cell>
          <cell r="D36">
            <v>2012</v>
          </cell>
          <cell r="E36" t="str">
            <v>1M</v>
          </cell>
          <cell r="F36" t="str">
            <v>0M</v>
          </cell>
          <cell r="G36">
            <v>35</v>
          </cell>
          <cell r="H36">
            <v>7.0000000000000007E-2</v>
          </cell>
          <cell r="I36">
            <v>0.28999999999999998</v>
          </cell>
          <cell r="K36" t="str">
            <v>Bull Case</v>
          </cell>
          <cell r="L36">
            <v>2015</v>
          </cell>
          <cell r="M36">
            <v>2018</v>
          </cell>
          <cell r="N36" t="str">
            <v>10M</v>
          </cell>
          <cell r="O36" t="str">
            <v>14M</v>
          </cell>
          <cell r="P36">
            <v>10</v>
          </cell>
          <cell r="Q36" t="str">
            <v>None</v>
          </cell>
          <cell r="R36">
            <v>1.35</v>
          </cell>
        </row>
        <row r="38">
          <cell r="A38" t="str">
            <v>High Oil Soybeans</v>
          </cell>
          <cell r="J38" t="str">
            <v>Vistive III Soybeans</v>
          </cell>
        </row>
        <row r="39">
          <cell r="C39" t="str">
            <v>Launch Year</v>
          </cell>
          <cell r="D39" t="str">
            <v>100% Penetration</v>
          </cell>
          <cell r="E39" t="str">
            <v>US Acreage</v>
          </cell>
          <cell r="F39" t="str">
            <v>International Acreage</v>
          </cell>
          <cell r="G39" t="str">
            <v>Trait Retail Price</v>
          </cell>
          <cell r="H39" t="str">
            <v>Pricing</v>
          </cell>
          <cell r="I39" t="str">
            <v>2008-2020 EPS</v>
          </cell>
          <cell r="L39" t="str">
            <v>Launch Year</v>
          </cell>
          <cell r="M39" t="str">
            <v>100% Penetration</v>
          </cell>
          <cell r="N39" t="str">
            <v>US Acreage</v>
          </cell>
          <cell r="O39" t="str">
            <v>International Acreage</v>
          </cell>
          <cell r="P39" t="str">
            <v>Trait Retail Price</v>
          </cell>
          <cell r="Q39" t="str">
            <v>Pricing</v>
          </cell>
          <cell r="R39" t="str">
            <v>2008-2020 EPS</v>
          </cell>
        </row>
        <row r="40">
          <cell r="B40" t="str">
            <v>Bear Case</v>
          </cell>
          <cell r="C40">
            <v>2012</v>
          </cell>
          <cell r="D40">
            <v>2015</v>
          </cell>
          <cell r="E40" t="str">
            <v>15M</v>
          </cell>
          <cell r="F40" t="str">
            <v>0M</v>
          </cell>
          <cell r="G40">
            <v>1.073049385474852</v>
          </cell>
          <cell r="H40" t="str">
            <v>None</v>
          </cell>
          <cell r="I40">
            <v>0.05</v>
          </cell>
          <cell r="K40" t="str">
            <v>Bear Case</v>
          </cell>
          <cell r="L40">
            <v>2013</v>
          </cell>
          <cell r="M40">
            <v>2016</v>
          </cell>
          <cell r="N40" t="str">
            <v>10M</v>
          </cell>
          <cell r="O40" t="str">
            <v>0M</v>
          </cell>
          <cell r="P40">
            <v>10</v>
          </cell>
          <cell r="Q40" t="str">
            <v>None</v>
          </cell>
          <cell r="R40">
            <v>0.36</v>
          </cell>
        </row>
        <row r="41">
          <cell r="B41" t="str">
            <v>Base Case</v>
          </cell>
          <cell r="C41">
            <v>2011</v>
          </cell>
          <cell r="D41">
            <v>2014</v>
          </cell>
          <cell r="E41" t="str">
            <v>25M</v>
          </cell>
          <cell r="F41" t="str">
            <v>0M</v>
          </cell>
          <cell r="G41">
            <v>1.073049385474852</v>
          </cell>
          <cell r="H41">
            <v>0.05</v>
          </cell>
          <cell r="I41">
            <v>0.17879749592873762</v>
          </cell>
          <cell r="K41" t="str">
            <v>Base Case</v>
          </cell>
          <cell r="L41">
            <v>2012</v>
          </cell>
          <cell r="M41">
            <v>2015</v>
          </cell>
          <cell r="N41" t="str">
            <v>20M</v>
          </cell>
          <cell r="O41" t="str">
            <v>0M</v>
          </cell>
          <cell r="P41">
            <v>12.491620111731841</v>
          </cell>
          <cell r="Q41">
            <v>0.05</v>
          </cell>
          <cell r="R41">
            <v>1.48594582208495</v>
          </cell>
        </row>
        <row r="42">
          <cell r="B42" t="str">
            <v>Bull Case</v>
          </cell>
          <cell r="C42">
            <v>2011</v>
          </cell>
          <cell r="D42">
            <v>2014</v>
          </cell>
          <cell r="E42" t="str">
            <v>35M</v>
          </cell>
          <cell r="F42" t="str">
            <v>0M</v>
          </cell>
          <cell r="G42">
            <v>1.073049385474852</v>
          </cell>
          <cell r="H42">
            <v>7.0000000000000007E-2</v>
          </cell>
          <cell r="I42">
            <v>0.24</v>
          </cell>
          <cell r="K42" t="str">
            <v>Bull Case</v>
          </cell>
          <cell r="L42">
            <v>2012</v>
          </cell>
          <cell r="M42">
            <v>2015</v>
          </cell>
          <cell r="N42" t="str">
            <v>35M</v>
          </cell>
          <cell r="O42" t="str">
            <v>0M</v>
          </cell>
          <cell r="P42">
            <v>20</v>
          </cell>
          <cell r="Q42">
            <v>7.0000000000000007E-2</v>
          </cell>
          <cell r="R42">
            <v>3.8</v>
          </cell>
        </row>
      </sheetData>
      <sheetData sheetId="6">
        <row r="1">
          <cell r="A1" t="str">
            <v>YieldGard VT PRO</v>
          </cell>
          <cell r="G1" t="str">
            <v>2nd generation corn borer</v>
          </cell>
          <cell r="K1" t="str">
            <v>most of this will just get skipped straight into smartstax</v>
          </cell>
        </row>
        <row r="2">
          <cell r="A2" t="str">
            <v>PHASE 4</v>
          </cell>
          <cell r="D2" t="str">
            <v>Base</v>
          </cell>
          <cell r="E2" t="str">
            <v>Acres</v>
          </cell>
          <cell r="G2" t="str">
            <v>broadens the spectrum of insect control and increases the durability of CB trait</v>
          </cell>
        </row>
        <row r="3">
          <cell r="A3" t="str">
            <v>Assume Launch is</v>
          </cell>
          <cell r="D3" t="str">
            <v>Base</v>
          </cell>
          <cell r="E3" t="str">
            <v>Pricing</v>
          </cell>
          <cell r="G3" t="str">
            <v>added benefit of dual-action mode ensures that value of trait continues into the future; upgrade creates new value for the 2nd-gen trait</v>
          </cell>
        </row>
        <row r="4">
          <cell r="B4">
            <v>2009</v>
          </cell>
          <cell r="G4" t="str">
            <v>medium value trait: $10-$30</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YieldGard VT Pro Acres</v>
          </cell>
        </row>
        <row r="7">
          <cell r="B7" t="str">
            <v>Brazil</v>
          </cell>
          <cell r="D7">
            <v>0</v>
          </cell>
          <cell r="E7">
            <v>0</v>
          </cell>
          <cell r="F7">
            <v>0</v>
          </cell>
          <cell r="G7">
            <v>0</v>
          </cell>
          <cell r="H7">
            <v>0</v>
          </cell>
          <cell r="I7">
            <v>0</v>
          </cell>
          <cell r="J7">
            <v>0</v>
          </cell>
          <cell r="K7">
            <v>0</v>
          </cell>
          <cell r="L7">
            <v>0</v>
          </cell>
          <cell r="M7">
            <v>0</v>
          </cell>
          <cell r="N7">
            <v>0</v>
          </cell>
          <cell r="O7">
            <v>0</v>
          </cell>
        </row>
        <row r="8">
          <cell r="B8" t="str">
            <v>Argentina</v>
          </cell>
          <cell r="D8">
            <v>0</v>
          </cell>
          <cell r="E8">
            <v>0</v>
          </cell>
          <cell r="F8">
            <v>0</v>
          </cell>
          <cell r="G8">
            <v>0</v>
          </cell>
          <cell r="H8">
            <v>0</v>
          </cell>
          <cell r="I8">
            <v>0</v>
          </cell>
          <cell r="J8">
            <v>0</v>
          </cell>
          <cell r="K8">
            <v>0</v>
          </cell>
          <cell r="L8">
            <v>0</v>
          </cell>
          <cell r="M8">
            <v>0</v>
          </cell>
          <cell r="N8">
            <v>0</v>
          </cell>
          <cell r="O8">
            <v>0</v>
          </cell>
          <cell r="W8" t="str">
            <v>Year</v>
          </cell>
          <cell r="X8" t="str">
            <v>Acres</v>
          </cell>
          <cell r="Y8">
            <v>1</v>
          </cell>
        </row>
        <row r="9">
          <cell r="B9" t="str">
            <v>US</v>
          </cell>
          <cell r="D9">
            <v>16</v>
          </cell>
          <cell r="E9">
            <v>38</v>
          </cell>
          <cell r="F9">
            <v>60</v>
          </cell>
          <cell r="G9">
            <v>60</v>
          </cell>
          <cell r="H9">
            <v>60</v>
          </cell>
          <cell r="I9">
            <v>60</v>
          </cell>
          <cell r="J9">
            <v>60</v>
          </cell>
          <cell r="K9">
            <v>60</v>
          </cell>
          <cell r="L9">
            <v>60</v>
          </cell>
          <cell r="M9">
            <v>60</v>
          </cell>
          <cell r="N9">
            <v>60</v>
          </cell>
          <cell r="O9">
            <v>60</v>
          </cell>
          <cell r="W9">
            <v>2008</v>
          </cell>
          <cell r="X9" t="str">
            <v>Pricing</v>
          </cell>
          <cell r="Y9">
            <v>1</v>
          </cell>
        </row>
        <row r="10">
          <cell r="W10">
            <v>2009</v>
          </cell>
          <cell r="X10" t="str">
            <v>Base</v>
          </cell>
          <cell r="Y10">
            <v>1</v>
          </cell>
        </row>
        <row r="11">
          <cell r="B11" t="str">
            <v>MON TAKE</v>
          </cell>
          <cell r="D11">
            <v>0.71672727272727266</v>
          </cell>
          <cell r="E11">
            <v>0.72533527696792999</v>
          </cell>
          <cell r="F11">
            <v>0.73381126173096978</v>
          </cell>
          <cell r="G11">
            <v>0.75083314285714287</v>
          </cell>
          <cell r="H11">
            <v>0.77009227799227808</v>
          </cell>
          <cell r="I11">
            <v>0.78719151343705795</v>
          </cell>
          <cell r="J11">
            <v>0.78744992927864221</v>
          </cell>
          <cell r="K11">
            <v>0.78770834512022636</v>
          </cell>
          <cell r="L11">
            <v>0.78796676096181051</v>
          </cell>
          <cell r="M11">
            <v>0.78822517680339454</v>
          </cell>
          <cell r="N11">
            <v>0.7884835926449788</v>
          </cell>
          <cell r="O11">
            <v>0.78874200848656306</v>
          </cell>
          <cell r="W11">
            <v>2010</v>
          </cell>
          <cell r="X11" t="str">
            <v>Bull</v>
          </cell>
          <cell r="Y11">
            <v>2</v>
          </cell>
        </row>
        <row r="12">
          <cell r="W12">
            <v>2012</v>
          </cell>
          <cell r="X12" t="str">
            <v>Bear</v>
          </cell>
          <cell r="Y12">
            <v>3</v>
          </cell>
        </row>
        <row r="13">
          <cell r="C13">
            <v>2008</v>
          </cell>
          <cell r="D13">
            <v>2009</v>
          </cell>
          <cell r="E13">
            <v>2010</v>
          </cell>
          <cell r="F13">
            <v>2011</v>
          </cell>
          <cell r="G13">
            <v>2012</v>
          </cell>
          <cell r="H13">
            <v>2013</v>
          </cell>
          <cell r="I13">
            <v>2014</v>
          </cell>
          <cell r="J13">
            <v>2015</v>
          </cell>
          <cell r="K13">
            <v>2016</v>
          </cell>
          <cell r="L13">
            <v>2017</v>
          </cell>
          <cell r="M13">
            <v>2018</v>
          </cell>
          <cell r="N13">
            <v>2019</v>
          </cell>
          <cell r="O13">
            <v>2020</v>
          </cell>
          <cell r="W13">
            <v>2013</v>
          </cell>
        </row>
        <row r="14">
          <cell r="B14" t="str">
            <v>Incremental YG VT Pro Pricing</v>
          </cell>
          <cell r="D14">
            <v>1.3274336283185844</v>
          </cell>
          <cell r="E14">
            <v>1.3274336283185844</v>
          </cell>
          <cell r="F14">
            <v>1.3274336283185844</v>
          </cell>
          <cell r="G14">
            <v>1.3274336283185844</v>
          </cell>
          <cell r="H14">
            <v>1.3274336283185844</v>
          </cell>
          <cell r="I14">
            <v>1.3274336283185844</v>
          </cell>
          <cell r="J14">
            <v>1.3274336283185844</v>
          </cell>
          <cell r="K14">
            <v>1.3274336283185844</v>
          </cell>
          <cell r="L14">
            <v>1.3274336283185844</v>
          </cell>
          <cell r="M14">
            <v>1.3274336283185844</v>
          </cell>
          <cell r="N14">
            <v>1.3274336283185844</v>
          </cell>
          <cell r="O14">
            <v>1.3274336283185844</v>
          </cell>
          <cell r="W14">
            <v>2010</v>
          </cell>
        </row>
        <row r="15">
          <cell r="B15" t="str">
            <v>Increase</v>
          </cell>
          <cell r="D15">
            <v>0</v>
          </cell>
          <cell r="E15">
            <v>0</v>
          </cell>
          <cell r="F15">
            <v>0</v>
          </cell>
          <cell r="G15">
            <v>0</v>
          </cell>
          <cell r="H15">
            <v>0</v>
          </cell>
          <cell r="I15">
            <v>0</v>
          </cell>
          <cell r="J15">
            <v>0</v>
          </cell>
          <cell r="K15">
            <v>0</v>
          </cell>
          <cell r="L15">
            <v>0</v>
          </cell>
          <cell r="M15">
            <v>0</v>
          </cell>
          <cell r="N15">
            <v>0</v>
          </cell>
          <cell r="O15">
            <v>0</v>
          </cell>
          <cell r="W15">
            <v>2011</v>
          </cell>
        </row>
        <row r="16">
          <cell r="W16">
            <v>2012</v>
          </cell>
        </row>
        <row r="17">
          <cell r="B17" t="str">
            <v>Total US Acreage</v>
          </cell>
          <cell r="D17">
            <v>16</v>
          </cell>
          <cell r="E17">
            <v>38</v>
          </cell>
          <cell r="F17">
            <v>60</v>
          </cell>
          <cell r="G17">
            <v>60</v>
          </cell>
          <cell r="H17">
            <v>60</v>
          </cell>
          <cell r="I17">
            <v>60</v>
          </cell>
          <cell r="J17">
            <v>60</v>
          </cell>
          <cell r="K17">
            <v>60</v>
          </cell>
          <cell r="L17">
            <v>60</v>
          </cell>
          <cell r="M17">
            <v>60</v>
          </cell>
          <cell r="N17">
            <v>60</v>
          </cell>
          <cell r="O17">
            <v>60</v>
          </cell>
          <cell r="W17">
            <v>2013</v>
          </cell>
        </row>
        <row r="18">
          <cell r="B18" t="str">
            <v>Total Worldwide Acreage</v>
          </cell>
          <cell r="D18">
            <v>16</v>
          </cell>
          <cell r="E18">
            <v>38</v>
          </cell>
          <cell r="F18">
            <v>60</v>
          </cell>
          <cell r="G18">
            <v>60</v>
          </cell>
          <cell r="H18">
            <v>60</v>
          </cell>
          <cell r="I18">
            <v>60</v>
          </cell>
          <cell r="J18">
            <v>60</v>
          </cell>
          <cell r="K18">
            <v>60</v>
          </cell>
          <cell r="L18">
            <v>60</v>
          </cell>
          <cell r="M18">
            <v>60</v>
          </cell>
          <cell r="N18">
            <v>60</v>
          </cell>
          <cell r="O18">
            <v>60</v>
          </cell>
          <cell r="W18">
            <v>2014</v>
          </cell>
        </row>
        <row r="19">
          <cell r="W19">
            <v>2015</v>
          </cell>
        </row>
        <row r="20">
          <cell r="B20" t="str">
            <v>Revenue</v>
          </cell>
          <cell r="D20">
            <v>15.222526146419954</v>
          </cell>
          <cell r="E20">
            <v>36.587708661214172</v>
          </cell>
          <cell r="F20">
            <v>58.445144739634777</v>
          </cell>
          <cell r="G20">
            <v>59.800869785082192</v>
          </cell>
          <cell r="H20">
            <v>61.334783202924818</v>
          </cell>
          <cell r="I20">
            <v>62.696669211801094</v>
          </cell>
          <cell r="J20">
            <v>62.71725100449364</v>
          </cell>
          <cell r="K20">
            <v>62.737832797186186</v>
          </cell>
          <cell r="L20">
            <v>62.758414589878726</v>
          </cell>
          <cell r="M20">
            <v>62.778996382571265</v>
          </cell>
          <cell r="N20">
            <v>62.799578175263811</v>
          </cell>
          <cell r="O20">
            <v>62.820159967956364</v>
          </cell>
          <cell r="W20">
            <v>2016</v>
          </cell>
        </row>
        <row r="21">
          <cell r="B21" t="str">
            <v>COGS</v>
          </cell>
          <cell r="D21">
            <v>2.4356041834271931</v>
          </cell>
          <cell r="E21">
            <v>5.6710948424881984</v>
          </cell>
          <cell r="F21">
            <v>8.7667717109452212</v>
          </cell>
          <cell r="G21">
            <v>8.6711261188369164</v>
          </cell>
          <cell r="H21">
            <v>8.5868696484094755</v>
          </cell>
          <cell r="I21">
            <v>8.4640503435931507</v>
          </cell>
          <cell r="J21">
            <v>8.1532426305841739</v>
          </cell>
          <cell r="K21">
            <v>7.8422290996482715</v>
          </cell>
          <cell r="L21">
            <v>7.5310097507854437</v>
          </cell>
          <cell r="M21">
            <v>7.5334795659085501</v>
          </cell>
          <cell r="N21">
            <v>7.5359493810316565</v>
          </cell>
          <cell r="O21">
            <v>7.5384191961547629</v>
          </cell>
        </row>
        <row r="22">
          <cell r="B22" t="str">
            <v>Gross Profit</v>
          </cell>
          <cell r="D22">
            <v>12.786921962992761</v>
          </cell>
          <cell r="E22">
            <v>30.916613818725974</v>
          </cell>
          <cell r="F22">
            <v>49.678373028689556</v>
          </cell>
          <cell r="G22">
            <v>51.129743666245275</v>
          </cell>
          <cell r="H22">
            <v>52.747913554515343</v>
          </cell>
          <cell r="I22">
            <v>54.232618868207943</v>
          </cell>
          <cell r="J22">
            <v>54.564008373909466</v>
          </cell>
          <cell r="K22">
            <v>54.895603697537915</v>
          </cell>
          <cell r="L22">
            <v>55.227404839093282</v>
          </cell>
          <cell r="M22">
            <v>55.245516816662715</v>
          </cell>
          <cell r="N22">
            <v>55.263628794232154</v>
          </cell>
          <cell r="O22">
            <v>55.281740771801601</v>
          </cell>
        </row>
        <row r="23">
          <cell r="B23" t="str">
            <v>Gross Margin</v>
          </cell>
          <cell r="D23">
            <v>0.84</v>
          </cell>
          <cell r="E23">
            <v>0.84499999999999997</v>
          </cell>
          <cell r="F23">
            <v>0.84999999999999987</v>
          </cell>
          <cell r="G23">
            <v>0.85499999999999998</v>
          </cell>
          <cell r="H23">
            <v>0.86</v>
          </cell>
          <cell r="I23">
            <v>0.86499999999999999</v>
          </cell>
          <cell r="J23">
            <v>0.87</v>
          </cell>
          <cell r="K23">
            <v>0.875</v>
          </cell>
          <cell r="L23">
            <v>0.88</v>
          </cell>
          <cell r="M23">
            <v>0.88</v>
          </cell>
          <cell r="N23">
            <v>0.88</v>
          </cell>
          <cell r="O23">
            <v>0.88</v>
          </cell>
        </row>
        <row r="24">
          <cell r="B24" t="str">
            <v>Double Stack</v>
          </cell>
          <cell r="D24">
            <v>0.84</v>
          </cell>
          <cell r="E24">
            <v>0.84499999999999997</v>
          </cell>
          <cell r="F24">
            <v>0.85</v>
          </cell>
          <cell r="G24">
            <v>0.85499999999999998</v>
          </cell>
          <cell r="H24">
            <v>0.86</v>
          </cell>
          <cell r="I24">
            <v>0.86499999999999999</v>
          </cell>
          <cell r="J24">
            <v>0.87</v>
          </cell>
          <cell r="K24">
            <v>0.875</v>
          </cell>
          <cell r="L24">
            <v>0.88</v>
          </cell>
          <cell r="M24">
            <v>0.88</v>
          </cell>
          <cell r="N24">
            <v>0.88</v>
          </cell>
          <cell r="O24">
            <v>0.88</v>
          </cell>
        </row>
        <row r="25">
          <cell r="B25" t="str">
            <v>SG&amp;A % of Sales</v>
          </cell>
          <cell r="D25">
            <v>0.18</v>
          </cell>
          <cell r="E25">
            <v>0.17499999999999999</v>
          </cell>
          <cell r="F25">
            <v>0.17</v>
          </cell>
          <cell r="G25">
            <v>0.17</v>
          </cell>
          <cell r="H25">
            <v>0.17</v>
          </cell>
          <cell r="I25">
            <v>0.16500000000000001</v>
          </cell>
          <cell r="J25">
            <v>0.16</v>
          </cell>
          <cell r="K25">
            <v>0.155</v>
          </cell>
          <cell r="L25">
            <v>0.15</v>
          </cell>
          <cell r="M25">
            <v>0.14499999999999999</v>
          </cell>
          <cell r="N25">
            <v>0.13999999999999999</v>
          </cell>
          <cell r="O25">
            <v>0.13499999999999998</v>
          </cell>
        </row>
        <row r="26">
          <cell r="B26" t="str">
            <v>R&amp;D % of Sales</v>
          </cell>
          <cell r="D26">
            <v>0.1</v>
          </cell>
          <cell r="E26">
            <v>0.1</v>
          </cell>
          <cell r="F26">
            <v>0.1</v>
          </cell>
          <cell r="G26">
            <v>0.1</v>
          </cell>
          <cell r="H26">
            <v>0.09</v>
          </cell>
          <cell r="I26">
            <v>0.09</v>
          </cell>
          <cell r="J26">
            <v>0.09</v>
          </cell>
          <cell r="K26">
            <v>0.09</v>
          </cell>
          <cell r="L26">
            <v>0.09</v>
          </cell>
          <cell r="M26">
            <v>0.09</v>
          </cell>
          <cell r="N26">
            <v>0.09</v>
          </cell>
          <cell r="O26">
            <v>0.09</v>
          </cell>
        </row>
        <row r="27">
          <cell r="B27" t="str">
            <v>SG&amp;A</v>
          </cell>
          <cell r="D27">
            <v>2.7400547063555916</v>
          </cell>
          <cell r="E27">
            <v>6.40284901571248</v>
          </cell>
          <cell r="F27">
            <v>9.9356746057379137</v>
          </cell>
          <cell r="G27">
            <v>10.166147863463973</v>
          </cell>
          <cell r="H27">
            <v>10.42691314449722</v>
          </cell>
          <cell r="I27">
            <v>10.344950419947182</v>
          </cell>
          <cell r="J27">
            <v>10.034760160718983</v>
          </cell>
          <cell r="K27">
            <v>9.7243640835638594</v>
          </cell>
          <cell r="L27">
            <v>9.4137621884818081</v>
          </cell>
          <cell r="M27">
            <v>9.1029544754728331</v>
          </cell>
          <cell r="N27">
            <v>8.7919409445369325</v>
          </cell>
          <cell r="O27">
            <v>8.4807215956741082</v>
          </cell>
        </row>
        <row r="28">
          <cell r="B28" t="str">
            <v>R&amp;D</v>
          </cell>
          <cell r="D28">
            <v>1.5222526146419955</v>
          </cell>
          <cell r="E28">
            <v>3.6587708661214173</v>
          </cell>
          <cell r="F28">
            <v>5.8445144739634785</v>
          </cell>
          <cell r="G28">
            <v>5.9800869785082194</v>
          </cell>
          <cell r="H28">
            <v>5.5201304882632334</v>
          </cell>
          <cell r="I28">
            <v>5.6427002290620987</v>
          </cell>
          <cell r="J28">
            <v>5.6445525904044276</v>
          </cell>
          <cell r="K28">
            <v>5.6464049517467565</v>
          </cell>
          <cell r="L28">
            <v>5.6482573130890854</v>
          </cell>
          <cell r="M28">
            <v>5.6501096744314134</v>
          </cell>
          <cell r="N28">
            <v>5.6519620357737423</v>
          </cell>
          <cell r="O28">
            <v>5.6538143971160721</v>
          </cell>
        </row>
        <row r="29">
          <cell r="B29" t="str">
            <v>Operating Profit</v>
          </cell>
          <cell r="D29">
            <v>8.5246146419951732</v>
          </cell>
          <cell r="E29">
            <v>20.854993936892075</v>
          </cell>
          <cell r="F29">
            <v>33.898183948988162</v>
          </cell>
          <cell r="G29">
            <v>34.983508824273081</v>
          </cell>
          <cell r="H29">
            <v>36.800869921754888</v>
          </cell>
          <cell r="I29">
            <v>38.244968219198661</v>
          </cell>
          <cell r="J29">
            <v>38.884695622786055</v>
          </cell>
          <cell r="K29">
            <v>39.524834662227292</v>
          </cell>
          <cell r="L29">
            <v>40.165385337522387</v>
          </cell>
          <cell r="M29">
            <v>40.492452666758467</v>
          </cell>
          <cell r="N29">
            <v>40.81972581392148</v>
          </cell>
          <cell r="O29">
            <v>41.147204779011425</v>
          </cell>
        </row>
        <row r="30">
          <cell r="B30" t="str">
            <v>Taxes</v>
          </cell>
          <cell r="D30">
            <v>2.4209905583266291</v>
          </cell>
          <cell r="E30">
            <v>6.1105132235093773</v>
          </cell>
          <cell r="F30">
            <v>9.8643715291555552</v>
          </cell>
          <cell r="G30">
            <v>10.145217559039192</v>
          </cell>
          <cell r="H30">
            <v>10.414646187856633</v>
          </cell>
          <cell r="I30">
            <v>11.09104078356761</v>
          </cell>
          <cell r="J30">
            <v>11.062695904682631</v>
          </cell>
          <cell r="K30">
            <v>11.541251721370369</v>
          </cell>
          <cell r="L30">
            <v>11.346721357850074</v>
          </cell>
          <cell r="M30">
            <v>11.823796178693472</v>
          </cell>
          <cell r="N30">
            <v>11.662195665037368</v>
          </cell>
          <cell r="O30">
            <v>11.809247771576278</v>
          </cell>
        </row>
        <row r="31">
          <cell r="B31" t="str">
            <v>Net Income</v>
          </cell>
          <cell r="D31">
            <v>6.103624083668544</v>
          </cell>
          <cell r="E31">
            <v>14.744480713382698</v>
          </cell>
          <cell r="F31">
            <v>24.033812419832607</v>
          </cell>
          <cell r="G31">
            <v>24.838291265233888</v>
          </cell>
          <cell r="H31">
            <v>26.386223733898255</v>
          </cell>
          <cell r="I31">
            <v>27.153927435631051</v>
          </cell>
          <cell r="J31">
            <v>27.821999718103424</v>
          </cell>
          <cell r="K31">
            <v>27.983582940856923</v>
          </cell>
          <cell r="L31">
            <v>28.818663979672316</v>
          </cell>
          <cell r="M31">
            <v>28.668656488064997</v>
          </cell>
          <cell r="N31">
            <v>29.157530148884113</v>
          </cell>
          <cell r="O31">
            <v>29.337957007435147</v>
          </cell>
        </row>
        <row r="32">
          <cell r="B32" t="str">
            <v>Shares Outstanding</v>
          </cell>
          <cell r="D32">
            <v>555.35</v>
          </cell>
          <cell r="E32">
            <v>550.50532914025143</v>
          </cell>
          <cell r="F32">
            <v>546.02247259711453</v>
          </cell>
          <cell r="G32">
            <v>540.01981986685632</v>
          </cell>
          <cell r="H32">
            <v>532.90985748061826</v>
          </cell>
          <cell r="I32">
            <v>526.28758665809255</v>
          </cell>
          <cell r="J32">
            <v>520.0788934550003</v>
          </cell>
          <cell r="K32">
            <v>514.39027052012125</v>
          </cell>
          <cell r="L32">
            <v>509.05321088398051</v>
          </cell>
          <cell r="M32">
            <v>504.26395292909609</v>
          </cell>
          <cell r="N32">
            <v>499.87697018558663</v>
          </cell>
          <cell r="O32">
            <v>495.90200028742942</v>
          </cell>
        </row>
        <row r="33">
          <cell r="B33" t="str">
            <v>Accretive EPS</v>
          </cell>
          <cell r="D33">
            <v>1.0990589868854855E-2</v>
          </cell>
          <cell r="E33">
            <v>2.6783538565212088E-2</v>
          </cell>
          <cell r="F33">
            <v>4.4016159821257173E-2</v>
          </cell>
          <cell r="G33">
            <v>4.5995147495434242E-2</v>
          </cell>
          <cell r="H33">
            <v>4.9513484060215406E-2</v>
          </cell>
          <cell r="I33">
            <v>5.1595226875970082E-2</v>
          </cell>
          <cell r="J33">
            <v>5.3495729336900527E-2</v>
          </cell>
          <cell r="K33">
            <v>5.4401462361567544E-2</v>
          </cell>
          <cell r="L33">
            <v>5.661228210235264E-2</v>
          </cell>
          <cell r="M33">
            <v>5.6852480375681462E-2</v>
          </cell>
          <cell r="N33">
            <v>5.8329412811434292E-2</v>
          </cell>
          <cell r="O33">
            <v>5.9160795863760572E-2</v>
          </cell>
        </row>
        <row r="34">
          <cell r="B34" t="str">
            <v>Model EPS</v>
          </cell>
          <cell r="D34">
            <v>4.402203461316236</v>
          </cell>
          <cell r="E34">
            <v>4.3992851339707242</v>
          </cell>
          <cell r="F34">
            <v>5.1512469838065913</v>
          </cell>
          <cell r="G34">
            <v>5.9197160312166224</v>
          </cell>
          <cell r="H34">
            <v>6.7278990297263608</v>
          </cell>
          <cell r="I34">
            <v>7.2979105974996905</v>
          </cell>
          <cell r="J34">
            <v>8.086358481731498</v>
          </cell>
          <cell r="K34">
            <v>8.6334305752194442</v>
          </cell>
          <cell r="L34">
            <v>9.4063913392402032</v>
          </cell>
          <cell r="M34">
            <v>9.7914627309818378</v>
          </cell>
          <cell r="N34">
            <v>10.414111102199115</v>
          </cell>
          <cell r="O34">
            <v>10.950239758709918</v>
          </cell>
        </row>
        <row r="35">
          <cell r="B35" t="str">
            <v>MON EPS</v>
          </cell>
          <cell r="D35">
            <v>4.4131940511850907</v>
          </cell>
          <cell r="E35">
            <v>4.4260686725359362</v>
          </cell>
          <cell r="F35">
            <v>5.195263143627848</v>
          </cell>
          <cell r="G35">
            <v>5.9657111787120565</v>
          </cell>
          <cell r="H35">
            <v>6.7774125137865759</v>
          </cell>
          <cell r="I35">
            <v>7.3495058243756608</v>
          </cell>
          <cell r="J35">
            <v>8.139854211068398</v>
          </cell>
          <cell r="K35">
            <v>8.6878320375810123</v>
          </cell>
          <cell r="L35">
            <v>9.4630036213425566</v>
          </cell>
          <cell r="M35">
            <v>9.8483152113575194</v>
          </cell>
          <cell r="N35">
            <v>10.472440515010549</v>
          </cell>
          <cell r="O35">
            <v>11.009400554573679</v>
          </cell>
        </row>
        <row r="38">
          <cell r="A38" t="str">
            <v>Bear to Bull:</v>
          </cell>
        </row>
        <row r="39">
          <cell r="B39" t="str">
            <v>Base Case</v>
          </cell>
        </row>
        <row r="40">
          <cell r="R40" t="str">
            <v>Incremental YG Pro Value</v>
          </cell>
        </row>
        <row r="41">
          <cell r="B41" t="str">
            <v>Incremental YG VT Pro Value</v>
          </cell>
          <cell r="D41">
            <v>1.3274336283185841</v>
          </cell>
          <cell r="E41">
            <v>1.3274336283185841</v>
          </cell>
          <cell r="F41">
            <v>1.3274336283185841</v>
          </cell>
          <cell r="G41">
            <v>1.3274336283185841</v>
          </cell>
          <cell r="H41">
            <v>1.3274336283185841</v>
          </cell>
          <cell r="I41">
            <v>1.3274336283185841</v>
          </cell>
          <cell r="J41">
            <v>1.3274336283185841</v>
          </cell>
          <cell r="K41">
            <v>1.3274336283185841</v>
          </cell>
          <cell r="L41">
            <v>1.3274336283185841</v>
          </cell>
          <cell r="M41">
            <v>1.3274336283185841</v>
          </cell>
          <cell r="N41">
            <v>1.3274336283185841</v>
          </cell>
          <cell r="O41">
            <v>1.3274336283185841</v>
          </cell>
        </row>
        <row r="42">
          <cell r="B42" t="str">
            <v>Increase</v>
          </cell>
          <cell r="D42">
            <v>0</v>
          </cell>
          <cell r="E42">
            <v>0</v>
          </cell>
          <cell r="F42">
            <v>0</v>
          </cell>
          <cell r="G42">
            <v>0</v>
          </cell>
          <cell r="H42">
            <v>0</v>
          </cell>
          <cell r="I42">
            <v>0</v>
          </cell>
          <cell r="J42">
            <v>0</v>
          </cell>
          <cell r="K42">
            <v>0</v>
          </cell>
          <cell r="L42">
            <v>0</v>
          </cell>
          <cell r="M42">
            <v>0</v>
          </cell>
          <cell r="N42">
            <v>0</v>
          </cell>
          <cell r="O42">
            <v>0</v>
          </cell>
          <cell r="S42" t="str">
            <v>Base Case</v>
          </cell>
          <cell r="T42" t="str">
            <v>Calculations</v>
          </cell>
          <cell r="U42" t="str">
            <v>Bull</v>
          </cell>
          <cell r="V42" t="str">
            <v>Bear</v>
          </cell>
        </row>
        <row r="43">
          <cell r="Q43" t="str">
            <v>A</v>
          </cell>
          <cell r="R43" t="str">
            <v>Corn Price (bushel)</v>
          </cell>
          <cell r="S43">
            <v>3</v>
          </cell>
          <cell r="T43" t="str">
            <v>Assumption</v>
          </cell>
          <cell r="U43">
            <v>3</v>
          </cell>
          <cell r="V43">
            <v>3</v>
          </cell>
        </row>
        <row r="44">
          <cell r="B44" t="str">
            <v>VT Acres</v>
          </cell>
          <cell r="Q44" t="str">
            <v>B</v>
          </cell>
          <cell r="R44" t="str">
            <v>Average Yield Improvement</v>
          </cell>
          <cell r="S44">
            <v>1</v>
          </cell>
          <cell r="T44" t="str">
            <v>Assumption</v>
          </cell>
          <cell r="U44">
            <v>2</v>
          </cell>
          <cell r="V44">
            <v>0.5</v>
          </cell>
        </row>
        <row r="45">
          <cell r="B45" t="str">
            <v>Brazil</v>
          </cell>
          <cell r="D45">
            <v>0</v>
          </cell>
          <cell r="E45">
            <v>0</v>
          </cell>
          <cell r="F45">
            <v>0</v>
          </cell>
          <cell r="G45">
            <v>0</v>
          </cell>
          <cell r="H45">
            <v>0</v>
          </cell>
          <cell r="I45">
            <v>0</v>
          </cell>
          <cell r="J45">
            <v>0</v>
          </cell>
          <cell r="K45">
            <v>0</v>
          </cell>
          <cell r="L45">
            <v>0</v>
          </cell>
          <cell r="M45">
            <v>0</v>
          </cell>
          <cell r="N45">
            <v>0</v>
          </cell>
          <cell r="O45">
            <v>0</v>
          </cell>
          <cell r="Q45" t="str">
            <v>C</v>
          </cell>
          <cell r="R45" t="str">
            <v>Farmer Productivity Revenue</v>
          </cell>
          <cell r="S45">
            <v>3</v>
          </cell>
          <cell r="T45" t="str">
            <v>A * B</v>
          </cell>
          <cell r="U45">
            <v>6</v>
          </cell>
          <cell r="V45">
            <v>1.5</v>
          </cell>
        </row>
        <row r="46">
          <cell r="B46" t="str">
            <v>Argentina</v>
          </cell>
          <cell r="D46">
            <v>0</v>
          </cell>
          <cell r="E46">
            <v>0</v>
          </cell>
          <cell r="F46">
            <v>0</v>
          </cell>
          <cell r="G46">
            <v>0</v>
          </cell>
          <cell r="H46">
            <v>0</v>
          </cell>
          <cell r="I46">
            <v>0</v>
          </cell>
          <cell r="J46">
            <v>0</v>
          </cell>
          <cell r="K46">
            <v>0</v>
          </cell>
          <cell r="L46">
            <v>0</v>
          </cell>
          <cell r="M46">
            <v>0</v>
          </cell>
          <cell r="N46">
            <v>0</v>
          </cell>
          <cell r="O46">
            <v>0</v>
          </cell>
          <cell r="Q46" t="str">
            <v>D</v>
          </cell>
          <cell r="R46" t="str">
            <v>Trait Retail Price</v>
          </cell>
          <cell r="S46">
            <v>1.3274336283185837</v>
          </cell>
          <cell r="T46" t="str">
            <v>K / J</v>
          </cell>
          <cell r="U46">
            <v>2.6548672566371687</v>
          </cell>
          <cell r="V46">
            <v>0.66371681415929218</v>
          </cell>
        </row>
        <row r="47">
          <cell r="B47" t="str">
            <v>US</v>
          </cell>
          <cell r="D47">
            <v>16</v>
          </cell>
          <cell r="E47">
            <v>38</v>
          </cell>
          <cell r="F47">
            <v>60</v>
          </cell>
          <cell r="G47">
            <v>60</v>
          </cell>
          <cell r="H47">
            <v>60</v>
          </cell>
          <cell r="I47">
            <v>60</v>
          </cell>
          <cell r="J47">
            <v>60</v>
          </cell>
          <cell r="K47">
            <v>60</v>
          </cell>
          <cell r="L47">
            <v>60</v>
          </cell>
          <cell r="M47">
            <v>60</v>
          </cell>
          <cell r="N47">
            <v>60</v>
          </cell>
          <cell r="O47">
            <v>60</v>
          </cell>
          <cell r="Q47" t="str">
            <v>E</v>
          </cell>
          <cell r="R47" t="str">
            <v>Trait Gross Profit</v>
          </cell>
          <cell r="S47">
            <v>1.6725663716814163</v>
          </cell>
          <cell r="T47" t="str">
            <v>C - D</v>
          </cell>
          <cell r="U47">
            <v>3.3451327433628313</v>
          </cell>
          <cell r="V47">
            <v>0.83628318584070782</v>
          </cell>
        </row>
        <row r="48">
          <cell r="Q48" t="str">
            <v>F</v>
          </cell>
          <cell r="R48" t="str">
            <v>Average Input Cost Savings</v>
          </cell>
          <cell r="S48">
            <v>0</v>
          </cell>
          <cell r="T48" t="str">
            <v>Assumption</v>
          </cell>
          <cell r="U48">
            <v>0</v>
          </cell>
          <cell r="V48">
            <v>0</v>
          </cell>
        </row>
        <row r="49">
          <cell r="B49" t="str">
            <v>Bull Case</v>
          </cell>
          <cell r="Q49" t="str">
            <v>G</v>
          </cell>
          <cell r="R49" t="str">
            <v>Total Farmer Gross Profit</v>
          </cell>
          <cell r="S49">
            <v>1.6725663716814163</v>
          </cell>
          <cell r="T49" t="str">
            <v>E + F</v>
          </cell>
          <cell r="U49">
            <v>3.3451327433628313</v>
          </cell>
          <cell r="V49">
            <v>0.83628318584070782</v>
          </cell>
        </row>
        <row r="51">
          <cell r="B51" t="str">
            <v>Incremental YG VT Pro Value</v>
          </cell>
          <cell r="D51">
            <v>2.6548672566371687</v>
          </cell>
          <cell r="E51">
            <v>2.6548672566371687</v>
          </cell>
          <cell r="F51">
            <v>2.6548672566371687</v>
          </cell>
          <cell r="G51">
            <v>3.3185840707964607</v>
          </cell>
          <cell r="H51">
            <v>3.9823008849557522</v>
          </cell>
          <cell r="I51">
            <v>4.778761061946903</v>
          </cell>
          <cell r="J51">
            <v>5.9734513274336276</v>
          </cell>
          <cell r="K51">
            <v>6.2721238938053094</v>
          </cell>
          <cell r="L51">
            <v>6.5857300884955752</v>
          </cell>
          <cell r="M51">
            <v>6.9150165929203542</v>
          </cell>
          <cell r="N51">
            <v>7.2607674225663725</v>
          </cell>
          <cell r="O51">
            <v>7.6238057936946912</v>
          </cell>
          <cell r="Q51" t="str">
            <v>H</v>
          </cell>
          <cell r="R51" t="str">
            <v>Trait Retail Price</v>
          </cell>
          <cell r="S51">
            <v>1.3274336283185837</v>
          </cell>
          <cell r="T51" t="str">
            <v>K / J</v>
          </cell>
          <cell r="U51">
            <v>2.6548672566371687</v>
          </cell>
          <cell r="V51">
            <v>0.66371681415929218</v>
          </cell>
        </row>
        <row r="52">
          <cell r="B52" t="str">
            <v>Increase</v>
          </cell>
          <cell r="D52">
            <v>0</v>
          </cell>
          <cell r="E52">
            <v>0</v>
          </cell>
          <cell r="F52">
            <v>0</v>
          </cell>
          <cell r="G52">
            <v>0.25</v>
          </cell>
          <cell r="H52">
            <v>0.19999999999999973</v>
          </cell>
          <cell r="I52">
            <v>0.20000000000000018</v>
          </cell>
          <cell r="J52">
            <v>0.24999999999999978</v>
          </cell>
          <cell r="K52">
            <v>0.05</v>
          </cell>
          <cell r="L52">
            <v>0.05</v>
          </cell>
          <cell r="M52">
            <v>0.05</v>
          </cell>
          <cell r="N52">
            <v>0.05</v>
          </cell>
          <cell r="O52">
            <v>0.05</v>
          </cell>
          <cell r="Q52" t="str">
            <v>J</v>
          </cell>
          <cell r="R52" t="str">
            <v>Retail Capture</v>
          </cell>
          <cell r="S52">
            <v>0.75</v>
          </cell>
          <cell r="T52" t="str">
            <v>Assumption</v>
          </cell>
          <cell r="U52">
            <v>0.75</v>
          </cell>
          <cell r="V52">
            <v>0.75</v>
          </cell>
        </row>
        <row r="53">
          <cell r="Q53" t="str">
            <v>K</v>
          </cell>
          <cell r="R53" t="str">
            <v>Monsanto Revenue</v>
          </cell>
          <cell r="S53">
            <v>0.99557522123893805</v>
          </cell>
          <cell r="T53" t="str">
            <v>L + M</v>
          </cell>
          <cell r="U53">
            <v>1.9911504424778761</v>
          </cell>
          <cell r="V53">
            <v>0.49778761061946902</v>
          </cell>
        </row>
        <row r="54">
          <cell r="B54" t="str">
            <v>VT Acres</v>
          </cell>
          <cell r="Q54" t="str">
            <v>L</v>
          </cell>
          <cell r="R54" t="str">
            <v>Monsanto COGS</v>
          </cell>
          <cell r="S54">
            <v>0.15929203539823011</v>
          </cell>
          <cell r="T54" t="str">
            <v>K * (1 - N)</v>
          </cell>
          <cell r="U54">
            <v>0.31858407079646023</v>
          </cell>
          <cell r="V54">
            <v>7.9646017699115057E-2</v>
          </cell>
        </row>
        <row r="55">
          <cell r="B55" t="str">
            <v>Brazil</v>
          </cell>
          <cell r="D55">
            <v>5</v>
          </cell>
          <cell r="E55">
            <v>12</v>
          </cell>
          <cell r="F55">
            <v>15</v>
          </cell>
          <cell r="G55">
            <v>15</v>
          </cell>
          <cell r="H55">
            <v>15</v>
          </cell>
          <cell r="I55">
            <v>15</v>
          </cell>
          <cell r="J55">
            <v>15</v>
          </cell>
          <cell r="K55">
            <v>15</v>
          </cell>
          <cell r="L55">
            <v>15</v>
          </cell>
          <cell r="M55">
            <v>15</v>
          </cell>
          <cell r="N55">
            <v>15</v>
          </cell>
          <cell r="O55">
            <v>15</v>
          </cell>
          <cell r="Q55" t="str">
            <v>M</v>
          </cell>
          <cell r="R55" t="str">
            <v>Monsanto Gross Profit</v>
          </cell>
          <cell r="S55">
            <v>0.83628318584070815</v>
          </cell>
          <cell r="T55" t="str">
            <v>G * (3/2) * (1/3)</v>
          </cell>
          <cell r="U55">
            <v>1.6725663716814154</v>
          </cell>
          <cell r="V55">
            <v>0.41814159292035386</v>
          </cell>
        </row>
        <row r="56">
          <cell r="B56" t="str">
            <v>Argentina</v>
          </cell>
          <cell r="D56">
            <v>1.5</v>
          </cell>
          <cell r="E56">
            <v>2.5</v>
          </cell>
          <cell r="F56">
            <v>3</v>
          </cell>
          <cell r="G56">
            <v>4</v>
          </cell>
          <cell r="H56">
            <v>4</v>
          </cell>
          <cell r="I56">
            <v>4</v>
          </cell>
          <cell r="J56">
            <v>4</v>
          </cell>
          <cell r="K56">
            <v>4</v>
          </cell>
          <cell r="L56">
            <v>4</v>
          </cell>
          <cell r="M56">
            <v>4</v>
          </cell>
          <cell r="N56">
            <v>4</v>
          </cell>
          <cell r="O56">
            <v>4</v>
          </cell>
          <cell r="Q56" t="str">
            <v>N</v>
          </cell>
          <cell r="R56" t="str">
            <v>Monsanto Gross Profit Margin</v>
          </cell>
          <cell r="S56">
            <v>0.84</v>
          </cell>
          <cell r="T56" t="str">
            <v>Assumption</v>
          </cell>
          <cell r="U56">
            <v>0.84</v>
          </cell>
          <cell r="V56">
            <v>0.84</v>
          </cell>
        </row>
        <row r="57">
          <cell r="B57" t="str">
            <v>US</v>
          </cell>
          <cell r="D57">
            <v>16</v>
          </cell>
          <cell r="E57">
            <v>38</v>
          </cell>
          <cell r="F57">
            <v>65</v>
          </cell>
          <cell r="G57">
            <v>65</v>
          </cell>
          <cell r="H57">
            <v>65</v>
          </cell>
          <cell r="I57">
            <v>65</v>
          </cell>
          <cell r="J57">
            <v>65</v>
          </cell>
          <cell r="K57">
            <v>65</v>
          </cell>
          <cell r="L57">
            <v>65</v>
          </cell>
          <cell r="M57">
            <v>65</v>
          </cell>
          <cell r="N57">
            <v>65</v>
          </cell>
          <cell r="O57">
            <v>65</v>
          </cell>
        </row>
        <row r="59">
          <cell r="B59" t="str">
            <v>Bear Case</v>
          </cell>
        </row>
        <row r="61">
          <cell r="B61" t="str">
            <v>Incremental YG VT Pro Value</v>
          </cell>
          <cell r="D61">
            <v>0.66371681415929218</v>
          </cell>
          <cell r="E61">
            <v>0.66371681415929218</v>
          </cell>
          <cell r="F61">
            <v>0.66371681415929218</v>
          </cell>
          <cell r="G61">
            <v>0.66371681415929218</v>
          </cell>
          <cell r="H61">
            <v>0.66371681415929218</v>
          </cell>
          <cell r="I61">
            <v>0.66371681415929218</v>
          </cell>
          <cell r="J61">
            <v>0.66371681415929218</v>
          </cell>
          <cell r="K61">
            <v>0.66371681415929218</v>
          </cell>
          <cell r="L61">
            <v>0.66371681415929218</v>
          </cell>
          <cell r="M61">
            <v>0.66371681415929218</v>
          </cell>
          <cell r="N61">
            <v>0.66371681415929218</v>
          </cell>
          <cell r="O61">
            <v>0.66371681415929218</v>
          </cell>
        </row>
        <row r="62">
          <cell r="B62" t="str">
            <v>Increase</v>
          </cell>
          <cell r="D62">
            <v>0</v>
          </cell>
          <cell r="E62">
            <v>0</v>
          </cell>
          <cell r="F62">
            <v>0</v>
          </cell>
          <cell r="G62">
            <v>0</v>
          </cell>
          <cell r="H62">
            <v>0</v>
          </cell>
          <cell r="I62">
            <v>0</v>
          </cell>
          <cell r="J62">
            <v>0</v>
          </cell>
          <cell r="K62">
            <v>0</v>
          </cell>
          <cell r="L62">
            <v>0</v>
          </cell>
          <cell r="M62">
            <v>0</v>
          </cell>
          <cell r="N62">
            <v>0</v>
          </cell>
          <cell r="O62">
            <v>0</v>
          </cell>
        </row>
        <row r="64">
          <cell r="B64" t="str">
            <v>VT Acres</v>
          </cell>
        </row>
        <row r="65">
          <cell r="B65" t="str">
            <v>Brazil</v>
          </cell>
          <cell r="D65">
            <v>0</v>
          </cell>
          <cell r="E65">
            <v>0</v>
          </cell>
          <cell r="F65">
            <v>0</v>
          </cell>
          <cell r="G65">
            <v>0</v>
          </cell>
          <cell r="H65">
            <v>0</v>
          </cell>
          <cell r="I65">
            <v>0</v>
          </cell>
          <cell r="J65">
            <v>0</v>
          </cell>
          <cell r="K65">
            <v>0</v>
          </cell>
          <cell r="L65">
            <v>0</v>
          </cell>
          <cell r="M65">
            <v>0</v>
          </cell>
          <cell r="N65">
            <v>0</v>
          </cell>
          <cell r="O65">
            <v>0</v>
          </cell>
        </row>
        <row r="66">
          <cell r="B66" t="str">
            <v>Argentina</v>
          </cell>
          <cell r="D66">
            <v>0</v>
          </cell>
          <cell r="E66">
            <v>0</v>
          </cell>
          <cell r="F66">
            <v>0</v>
          </cell>
          <cell r="G66">
            <v>0</v>
          </cell>
          <cell r="H66">
            <v>0</v>
          </cell>
          <cell r="I66">
            <v>0</v>
          </cell>
          <cell r="J66">
            <v>0</v>
          </cell>
          <cell r="K66">
            <v>0</v>
          </cell>
          <cell r="L66">
            <v>0</v>
          </cell>
          <cell r="M66">
            <v>0</v>
          </cell>
          <cell r="N66">
            <v>0</v>
          </cell>
          <cell r="O66">
            <v>0</v>
          </cell>
        </row>
        <row r="67">
          <cell r="B67" t="str">
            <v>US</v>
          </cell>
          <cell r="D67">
            <v>0</v>
          </cell>
          <cell r="E67">
            <v>12</v>
          </cell>
          <cell r="F67">
            <v>30</v>
          </cell>
          <cell r="G67">
            <v>50</v>
          </cell>
          <cell r="H67">
            <v>50</v>
          </cell>
          <cell r="I67">
            <v>50</v>
          </cell>
          <cell r="J67">
            <v>50</v>
          </cell>
          <cell r="K67">
            <v>50</v>
          </cell>
          <cell r="L67">
            <v>50</v>
          </cell>
          <cell r="M67">
            <v>50</v>
          </cell>
          <cell r="N67">
            <v>50</v>
          </cell>
          <cell r="O67">
            <v>50</v>
          </cell>
        </row>
      </sheetData>
      <sheetData sheetId="7">
        <row r="1">
          <cell r="A1" t="str">
            <v>SmartStax</v>
          </cell>
          <cell r="F1" t="str">
            <v>60-65M US acre opportunity</v>
          </cell>
          <cell r="I1" t="str">
            <v>5-7M Argentina acre opportunity</v>
          </cell>
          <cell r="L1" t="str">
            <v>3-4% yield increase per acre</v>
          </cell>
        </row>
        <row r="2">
          <cell r="A2" t="str">
            <v>PHASE 3</v>
          </cell>
          <cell r="D2" t="str">
            <v>Base</v>
          </cell>
          <cell r="E2" t="str">
            <v>Acres</v>
          </cell>
          <cell r="F2" t="str">
            <v>15-20M EU acre opportunity</v>
          </cell>
          <cell r="I2" t="str">
            <v>5-6M India acre opportunity</v>
          </cell>
          <cell r="L2" t="str">
            <v>3-6% refuge acre yield benefit</v>
          </cell>
        </row>
        <row r="3">
          <cell r="A3" t="str">
            <v>Assume Launch is</v>
          </cell>
          <cell r="D3" t="str">
            <v>Base</v>
          </cell>
          <cell r="E3" t="str">
            <v>Pricing</v>
          </cell>
          <cell r="F3" t="str">
            <v>5-7M Brazil acre opportunity</v>
          </cell>
          <cell r="L3" t="str">
            <v>Refuge: 10% reduction = 2bu/acre</v>
          </cell>
        </row>
        <row r="4">
          <cell r="B4">
            <v>2010</v>
          </cell>
          <cell r="L4" t="str">
            <v>Refuge: 15% reduction = 3bu/acre</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SmartStax Acres</v>
          </cell>
        </row>
        <row r="7">
          <cell r="B7" t="str">
            <v>Brazil</v>
          </cell>
          <cell r="E7">
            <v>0</v>
          </cell>
          <cell r="F7">
            <v>0</v>
          </cell>
          <cell r="G7">
            <v>0</v>
          </cell>
          <cell r="H7">
            <v>0</v>
          </cell>
          <cell r="I7">
            <v>0</v>
          </cell>
          <cell r="J7">
            <v>0</v>
          </cell>
          <cell r="K7">
            <v>0</v>
          </cell>
          <cell r="L7">
            <v>0</v>
          </cell>
          <cell r="M7">
            <v>0</v>
          </cell>
          <cell r="N7">
            <v>0</v>
          </cell>
          <cell r="O7">
            <v>0</v>
          </cell>
        </row>
        <row r="8">
          <cell r="B8" t="str">
            <v>Argentina</v>
          </cell>
          <cell r="E8">
            <v>0</v>
          </cell>
          <cell r="F8">
            <v>0</v>
          </cell>
          <cell r="G8">
            <v>0</v>
          </cell>
          <cell r="H8">
            <v>0</v>
          </cell>
          <cell r="I8">
            <v>0</v>
          </cell>
          <cell r="J8">
            <v>0</v>
          </cell>
          <cell r="K8">
            <v>0</v>
          </cell>
          <cell r="L8">
            <v>0</v>
          </cell>
          <cell r="M8">
            <v>0</v>
          </cell>
          <cell r="N8">
            <v>0</v>
          </cell>
          <cell r="O8">
            <v>0</v>
          </cell>
        </row>
        <row r="9">
          <cell r="B9" t="str">
            <v>US</v>
          </cell>
          <cell r="E9">
            <v>4</v>
          </cell>
          <cell r="F9">
            <v>12</v>
          </cell>
          <cell r="G9">
            <v>25</v>
          </cell>
          <cell r="H9">
            <v>35</v>
          </cell>
          <cell r="I9">
            <v>50</v>
          </cell>
          <cell r="J9">
            <v>50</v>
          </cell>
          <cell r="K9">
            <v>50</v>
          </cell>
          <cell r="L9">
            <v>50</v>
          </cell>
          <cell r="M9">
            <v>50</v>
          </cell>
          <cell r="N9">
            <v>50</v>
          </cell>
          <cell r="O9">
            <v>50</v>
          </cell>
        </row>
        <row r="11">
          <cell r="B11" t="str">
            <v>MON TAKE</v>
          </cell>
          <cell r="E11">
            <v>0.72533527696792999</v>
          </cell>
          <cell r="F11">
            <v>0.73381126173096978</v>
          </cell>
          <cell r="G11">
            <v>0.75083314285714287</v>
          </cell>
          <cell r="H11">
            <v>0.77009227799227808</v>
          </cell>
          <cell r="I11">
            <v>0.78719151343705795</v>
          </cell>
          <cell r="J11">
            <v>0.78744992927864221</v>
          </cell>
          <cell r="K11">
            <v>0.78770834512022636</v>
          </cell>
          <cell r="L11">
            <v>0.78796676096181051</v>
          </cell>
          <cell r="M11">
            <v>0.78822517680339454</v>
          </cell>
          <cell r="N11">
            <v>0.7884835926449788</v>
          </cell>
          <cell r="O11">
            <v>0.78874200848656306</v>
          </cell>
        </row>
        <row r="13">
          <cell r="C13">
            <v>2008</v>
          </cell>
          <cell r="D13">
            <v>2009</v>
          </cell>
          <cell r="E13">
            <v>2010</v>
          </cell>
          <cell r="F13">
            <v>2011</v>
          </cell>
          <cell r="G13">
            <v>2012</v>
          </cell>
          <cell r="H13">
            <v>2013</v>
          </cell>
          <cell r="I13">
            <v>2014</v>
          </cell>
          <cell r="J13">
            <v>2015</v>
          </cell>
          <cell r="K13">
            <v>2016</v>
          </cell>
          <cell r="L13">
            <v>2017</v>
          </cell>
          <cell r="M13">
            <v>2018</v>
          </cell>
          <cell r="N13">
            <v>2019</v>
          </cell>
          <cell r="O13">
            <v>2020</v>
          </cell>
        </row>
        <row r="14">
          <cell r="B14" t="str">
            <v>Incremental SmartStax Pricing</v>
          </cell>
          <cell r="E14">
            <v>10.480349344978167</v>
          </cell>
          <cell r="F14">
            <v>11.004366812227076</v>
          </cell>
          <cell r="G14">
            <v>11.554585152838429</v>
          </cell>
          <cell r="H14">
            <v>13.637554585152838</v>
          </cell>
          <cell r="I14">
            <v>15.720524017467246</v>
          </cell>
          <cell r="J14">
            <v>18.340611353711786</v>
          </cell>
          <cell r="K14">
            <v>20.960698689956327</v>
          </cell>
          <cell r="L14">
            <v>22.218340611353707</v>
          </cell>
          <cell r="M14">
            <v>23.329257641921394</v>
          </cell>
          <cell r="N14">
            <v>24.495720524017464</v>
          </cell>
          <cell r="O14">
            <v>25.720506550218339</v>
          </cell>
          <cell r="AB14" t="str">
            <v>Year</v>
          </cell>
          <cell r="AC14" t="str">
            <v>Acres</v>
          </cell>
          <cell r="AD14">
            <v>1</v>
          </cell>
        </row>
        <row r="15">
          <cell r="B15" t="str">
            <v>Increase</v>
          </cell>
          <cell r="E15">
            <v>0</v>
          </cell>
          <cell r="F15">
            <v>0.05</v>
          </cell>
          <cell r="G15">
            <v>0.05</v>
          </cell>
          <cell r="H15">
            <v>0.18027210884353728</v>
          </cell>
          <cell r="I15">
            <v>0.15273775216138308</v>
          </cell>
          <cell r="J15">
            <v>0.16666666666666652</v>
          </cell>
          <cell r="K15">
            <v>0.14285714285714279</v>
          </cell>
          <cell r="L15">
            <v>0.06</v>
          </cell>
          <cell r="M15">
            <v>0.05</v>
          </cell>
          <cell r="N15">
            <v>0.05</v>
          </cell>
          <cell r="O15">
            <v>0.05</v>
          </cell>
          <cell r="AB15">
            <v>2008</v>
          </cell>
          <cell r="AC15" t="str">
            <v>Pricing</v>
          </cell>
          <cell r="AD15">
            <v>1</v>
          </cell>
        </row>
        <row r="17">
          <cell r="B17" t="str">
            <v>Triple Stack Price</v>
          </cell>
          <cell r="E17">
            <v>34.038755212038311</v>
          </cell>
          <cell r="F17">
            <v>35.740692972640225</v>
          </cell>
          <cell r="G17">
            <v>37.527727621272241</v>
          </cell>
          <cell r="H17">
            <v>39.404114002335852</v>
          </cell>
          <cell r="I17">
            <v>41.374319702452645</v>
          </cell>
          <cell r="J17">
            <v>43.443035687575282</v>
          </cell>
          <cell r="K17">
            <v>45.615187471954052</v>
          </cell>
          <cell r="L17">
            <v>47.895946845551755</v>
          </cell>
          <cell r="M17">
            <v>47.895946845551755</v>
          </cell>
          <cell r="N17">
            <v>47.895946845551755</v>
          </cell>
          <cell r="O17">
            <v>47.895946845551755</v>
          </cell>
        </row>
        <row r="18">
          <cell r="B18" t="str">
            <v>Roundup Ready Price</v>
          </cell>
          <cell r="E18">
            <v>15.745818737541528</v>
          </cell>
          <cell r="F18">
            <v>16.533109674418604</v>
          </cell>
          <cell r="G18">
            <v>17.359765158139535</v>
          </cell>
          <cell r="H18">
            <v>18.227753416046511</v>
          </cell>
          <cell r="I18">
            <v>19.139141086848838</v>
          </cell>
          <cell r="J18">
            <v>20.09609814119128</v>
          </cell>
          <cell r="K18">
            <v>21.100903048250846</v>
          </cell>
          <cell r="L18">
            <v>22.155948200663389</v>
          </cell>
          <cell r="M18">
            <v>22.155948200663389</v>
          </cell>
          <cell r="N18">
            <v>22.155948200663389</v>
          </cell>
          <cell r="O18">
            <v>22.155948200663389</v>
          </cell>
        </row>
        <row r="19">
          <cell r="AB19">
            <v>2009</v>
          </cell>
          <cell r="AC19" t="str">
            <v>Base</v>
          </cell>
          <cell r="AD19">
            <v>1</v>
          </cell>
        </row>
        <row r="20">
          <cell r="B20" t="str">
            <v>Non Refuge Acreage</v>
          </cell>
          <cell r="E20">
            <v>2.2000000000000002</v>
          </cell>
          <cell r="F20">
            <v>6.6</v>
          </cell>
          <cell r="G20">
            <v>16.8</v>
          </cell>
          <cell r="H20">
            <v>23</v>
          </cell>
          <cell r="I20">
            <v>38</v>
          </cell>
          <cell r="J20">
            <v>38</v>
          </cell>
          <cell r="K20">
            <v>38</v>
          </cell>
          <cell r="L20">
            <v>38</v>
          </cell>
          <cell r="M20">
            <v>38</v>
          </cell>
          <cell r="N20">
            <v>38</v>
          </cell>
          <cell r="O20">
            <v>38</v>
          </cell>
          <cell r="AB20">
            <v>2010</v>
          </cell>
          <cell r="AC20" t="str">
            <v>Bull</v>
          </cell>
          <cell r="AD20">
            <v>2</v>
          </cell>
        </row>
        <row r="21">
          <cell r="B21" t="str">
            <v>Total Refuge Acreage</v>
          </cell>
          <cell r="E21">
            <v>1.8</v>
          </cell>
          <cell r="F21">
            <v>5.4</v>
          </cell>
          <cell r="G21">
            <v>8.1999999999999993</v>
          </cell>
          <cell r="H21">
            <v>12</v>
          </cell>
          <cell r="I21">
            <v>12</v>
          </cell>
          <cell r="J21">
            <v>12</v>
          </cell>
          <cell r="K21">
            <v>12</v>
          </cell>
          <cell r="L21">
            <v>12</v>
          </cell>
          <cell r="M21">
            <v>12</v>
          </cell>
          <cell r="N21">
            <v>12</v>
          </cell>
          <cell r="O21">
            <v>12</v>
          </cell>
        </row>
        <row r="22">
          <cell r="B22" t="str">
            <v>Total WorldWide Acreage</v>
          </cell>
          <cell r="E22">
            <v>4</v>
          </cell>
          <cell r="F22">
            <v>12</v>
          </cell>
          <cell r="G22">
            <v>25</v>
          </cell>
          <cell r="H22">
            <v>35</v>
          </cell>
          <cell r="I22">
            <v>50</v>
          </cell>
          <cell r="J22">
            <v>50</v>
          </cell>
          <cell r="K22">
            <v>50</v>
          </cell>
          <cell r="L22">
            <v>50</v>
          </cell>
          <cell r="M22">
            <v>50</v>
          </cell>
          <cell r="N22">
            <v>50</v>
          </cell>
          <cell r="O22">
            <v>50</v>
          </cell>
          <cell r="AB22">
            <v>2011</v>
          </cell>
          <cell r="AC22" t="str">
            <v>Bear</v>
          </cell>
          <cell r="AD22">
            <v>3</v>
          </cell>
        </row>
        <row r="23">
          <cell r="AB23">
            <v>2012</v>
          </cell>
        </row>
        <row r="24">
          <cell r="B24" t="str">
            <v>Revenue</v>
          </cell>
          <cell r="E24">
            <v>54.290390239156181</v>
          </cell>
          <cell r="F24">
            <v>173.01314058867098</v>
          </cell>
          <cell r="G24">
            <v>341.05988917589826</v>
          </cell>
          <cell r="H24">
            <v>563.26916284713093</v>
          </cell>
          <cell r="I24">
            <v>1089.3493882902278</v>
          </cell>
          <cell r="J24">
            <v>1216.4039105462914</v>
          </cell>
          <cell r="K24">
            <v>1344.7188515509358</v>
          </cell>
          <cell r="L24">
            <v>1420.6761673789281</v>
          </cell>
          <cell r="M24">
            <v>1464.924720632215</v>
          </cell>
          <cell r="N24">
            <v>1511.3918313699219</v>
          </cell>
          <cell r="O24">
            <v>1560.1891810474881</v>
          </cell>
          <cell r="AB24">
            <v>2013</v>
          </cell>
        </row>
        <row r="25">
          <cell r="B25" t="str">
            <v>COGS</v>
          </cell>
          <cell r="E25">
            <v>7.6006546334818665</v>
          </cell>
          <cell r="F25">
            <v>24.221839682413929</v>
          </cell>
          <cell r="G25">
            <v>47.748384484625774</v>
          </cell>
          <cell r="H25">
            <v>73.224991170126941</v>
          </cell>
          <cell r="I25">
            <v>136.16867353627845</v>
          </cell>
          <cell r="J25">
            <v>145.96846926555486</v>
          </cell>
          <cell r="K25">
            <v>154.6426679283577</v>
          </cell>
          <cell r="L25">
            <v>156.27437841168216</v>
          </cell>
          <cell r="M25">
            <v>161.14171926954373</v>
          </cell>
          <cell r="N25">
            <v>166.25310145069147</v>
          </cell>
          <cell r="O25">
            <v>171.62080991522362</v>
          </cell>
          <cell r="AB25">
            <v>2014</v>
          </cell>
        </row>
        <row r="26">
          <cell r="B26" t="str">
            <v>Gross Profit</v>
          </cell>
          <cell r="E26">
            <v>46.689735605674315</v>
          </cell>
          <cell r="F26">
            <v>148.79130090625705</v>
          </cell>
          <cell r="G26">
            <v>293.31150469127249</v>
          </cell>
          <cell r="H26">
            <v>490.04417167700393</v>
          </cell>
          <cell r="I26">
            <v>953.18071475394936</v>
          </cell>
          <cell r="J26">
            <v>1070.4354412807365</v>
          </cell>
          <cell r="K26">
            <v>1190.0761836225781</v>
          </cell>
          <cell r="L26">
            <v>1264.4017889672459</v>
          </cell>
          <cell r="M26">
            <v>1303.7830013626713</v>
          </cell>
          <cell r="N26">
            <v>1345.1387299192304</v>
          </cell>
          <cell r="O26">
            <v>1388.5683711322645</v>
          </cell>
          <cell r="P26">
            <v>3941.5158206513743</v>
          </cell>
          <cell r="AB26">
            <v>2015</v>
          </cell>
        </row>
        <row r="27">
          <cell r="B27" t="str">
            <v>Gross Margin</v>
          </cell>
          <cell r="E27">
            <v>0.86</v>
          </cell>
          <cell r="F27">
            <v>0.8600000000000001</v>
          </cell>
          <cell r="G27">
            <v>0.86</v>
          </cell>
          <cell r="H27">
            <v>0.87</v>
          </cell>
          <cell r="I27">
            <v>0.875</v>
          </cell>
          <cell r="J27">
            <v>0.88000000000000012</v>
          </cell>
          <cell r="K27">
            <v>0.8849999999999999</v>
          </cell>
          <cell r="L27">
            <v>0.8899999999999999</v>
          </cell>
          <cell r="M27">
            <v>0.8899999999999999</v>
          </cell>
          <cell r="N27">
            <v>0.8899999999999999</v>
          </cell>
          <cell r="O27">
            <v>0.89</v>
          </cell>
        </row>
        <row r="28">
          <cell r="E28">
            <v>0.86</v>
          </cell>
          <cell r="F28">
            <v>0.86</v>
          </cell>
          <cell r="G28">
            <v>0.86</v>
          </cell>
          <cell r="H28">
            <v>0.87</v>
          </cell>
          <cell r="I28">
            <v>0.875</v>
          </cell>
          <cell r="J28">
            <v>0.88</v>
          </cell>
          <cell r="K28">
            <v>0.88500000000000001</v>
          </cell>
          <cell r="L28">
            <v>0.89</v>
          </cell>
          <cell r="M28">
            <v>0.89</v>
          </cell>
          <cell r="N28">
            <v>0.89</v>
          </cell>
          <cell r="O28">
            <v>0.89</v>
          </cell>
          <cell r="AB28">
            <v>2016</v>
          </cell>
        </row>
        <row r="29">
          <cell r="B29" t="str">
            <v>SG&amp;A % of Sales</v>
          </cell>
          <cell r="E29">
            <v>0.17499999999999999</v>
          </cell>
          <cell r="F29">
            <v>0.17</v>
          </cell>
          <cell r="G29">
            <v>0.17</v>
          </cell>
          <cell r="H29">
            <v>0.17</v>
          </cell>
          <cell r="I29">
            <v>0.16500000000000001</v>
          </cell>
          <cell r="J29">
            <v>0.16</v>
          </cell>
          <cell r="K29">
            <v>0.155</v>
          </cell>
          <cell r="L29">
            <v>0.15</v>
          </cell>
          <cell r="M29">
            <v>0.14499999999999999</v>
          </cell>
          <cell r="N29">
            <v>0.13999999999999999</v>
          </cell>
          <cell r="O29">
            <v>0.13499999999999998</v>
          </cell>
          <cell r="AB29">
            <v>2017</v>
          </cell>
        </row>
        <row r="30">
          <cell r="B30" t="str">
            <v>R&amp;D % of Sales</v>
          </cell>
          <cell r="E30">
            <v>0.1</v>
          </cell>
          <cell r="F30">
            <v>0.1</v>
          </cell>
          <cell r="G30">
            <v>0.1</v>
          </cell>
          <cell r="H30">
            <v>0.09</v>
          </cell>
          <cell r="I30">
            <v>0.09</v>
          </cell>
          <cell r="J30">
            <v>0.09</v>
          </cell>
          <cell r="K30">
            <v>0.09</v>
          </cell>
          <cell r="L30">
            <v>0.09</v>
          </cell>
          <cell r="M30">
            <v>0.09</v>
          </cell>
          <cell r="N30">
            <v>0.09</v>
          </cell>
          <cell r="O30">
            <v>0.09</v>
          </cell>
        </row>
        <row r="31">
          <cell r="B31" t="str">
            <v>SG&amp;A</v>
          </cell>
          <cell r="E31">
            <v>9.5008182918523314</v>
          </cell>
          <cell r="F31">
            <v>29.412233900074067</v>
          </cell>
          <cell r="G31">
            <v>57.980181159902706</v>
          </cell>
          <cell r="H31">
            <v>95.755757684012266</v>
          </cell>
          <cell r="I31">
            <v>179.74264906788758</v>
          </cell>
          <cell r="J31">
            <v>194.62462568740662</v>
          </cell>
          <cell r="K31">
            <v>208.43142199039505</v>
          </cell>
          <cell r="L31">
            <v>213.1014251068392</v>
          </cell>
          <cell r="M31">
            <v>212.41408449167116</v>
          </cell>
          <cell r="N31">
            <v>211.59485639178905</v>
          </cell>
          <cell r="O31">
            <v>210.62553944141087</v>
          </cell>
        </row>
        <row r="32">
          <cell r="B32" t="str">
            <v>R&amp;D</v>
          </cell>
          <cell r="E32">
            <v>5.4290390239156183</v>
          </cell>
          <cell r="F32">
            <v>17.301314058867099</v>
          </cell>
          <cell r="G32">
            <v>34.105988917589826</v>
          </cell>
          <cell r="H32">
            <v>50.694224656241779</v>
          </cell>
          <cell r="I32">
            <v>98.041444946120492</v>
          </cell>
          <cell r="J32">
            <v>109.47635194916622</v>
          </cell>
          <cell r="K32">
            <v>121.02469663958422</v>
          </cell>
          <cell r="L32">
            <v>127.86085506410352</v>
          </cell>
          <cell r="M32">
            <v>131.84322485689935</v>
          </cell>
          <cell r="N32">
            <v>136.02526482329296</v>
          </cell>
          <cell r="O32">
            <v>140.41702629427391</v>
          </cell>
        </row>
        <row r="33">
          <cell r="B33" t="str">
            <v>Operating Profit</v>
          </cell>
          <cell r="E33">
            <v>31.759878289906364</v>
          </cell>
          <cell r="F33">
            <v>102.07775294731587</v>
          </cell>
          <cell r="G33">
            <v>201.22533461377995</v>
          </cell>
          <cell r="H33">
            <v>343.59418933674988</v>
          </cell>
          <cell r="I33">
            <v>675.39662073994134</v>
          </cell>
          <cell r="J33">
            <v>766.33446364416375</v>
          </cell>
          <cell r="K33">
            <v>860.62006499259883</v>
          </cell>
          <cell r="L33">
            <v>923.43950879630336</v>
          </cell>
          <cell r="M33">
            <v>959.52569201410063</v>
          </cell>
          <cell r="N33">
            <v>997.51860870414839</v>
          </cell>
          <cell r="O33">
            <v>1037.5258053965797</v>
          </cell>
        </row>
        <row r="34">
          <cell r="B34" t="str">
            <v>Taxes</v>
          </cell>
          <cell r="E34">
            <v>9.3056443389425638</v>
          </cell>
          <cell r="F34">
            <v>29.704626107668918</v>
          </cell>
          <cell r="G34">
            <v>58.355347037996182</v>
          </cell>
          <cell r="H34">
            <v>97.237155582300204</v>
          </cell>
          <cell r="I34">
            <v>195.86502001458297</v>
          </cell>
          <cell r="J34">
            <v>218.02215490676457</v>
          </cell>
          <cell r="K34">
            <v>251.30105897783884</v>
          </cell>
          <cell r="L34">
            <v>260.8716612349557</v>
          </cell>
          <cell r="M34">
            <v>280.18150206811737</v>
          </cell>
          <cell r="N34">
            <v>284.99106650677521</v>
          </cell>
          <cell r="O34">
            <v>297.76990614881834</v>
          </cell>
        </row>
        <row r="35">
          <cell r="B35" t="str">
            <v>Net Income</v>
          </cell>
          <cell r="E35">
            <v>22.4542339509638</v>
          </cell>
          <cell r="F35">
            <v>72.373126839646957</v>
          </cell>
          <cell r="G35">
            <v>142.86998757578377</v>
          </cell>
          <cell r="H35">
            <v>246.35703375444967</v>
          </cell>
          <cell r="I35">
            <v>479.53160072535837</v>
          </cell>
          <cell r="J35">
            <v>548.31230873739923</v>
          </cell>
          <cell r="K35">
            <v>609.31900601476002</v>
          </cell>
          <cell r="L35">
            <v>662.56784756134766</v>
          </cell>
          <cell r="M35">
            <v>679.34418994598332</v>
          </cell>
          <cell r="N35">
            <v>712.52754219737312</v>
          </cell>
          <cell r="O35">
            <v>739.75589924776136</v>
          </cell>
        </row>
        <row r="36">
          <cell r="B36" t="str">
            <v>Shares Outstanding</v>
          </cell>
          <cell r="E36">
            <v>550.50532914025143</v>
          </cell>
          <cell r="F36">
            <v>546.02247259711453</v>
          </cell>
          <cell r="G36">
            <v>540.01981986685632</v>
          </cell>
          <cell r="H36">
            <v>532.90985748061826</v>
          </cell>
          <cell r="I36">
            <v>526.28758665809255</v>
          </cell>
          <cell r="J36">
            <v>520.0788934550003</v>
          </cell>
          <cell r="K36">
            <v>514.39027052012125</v>
          </cell>
          <cell r="L36">
            <v>509.05321088398051</v>
          </cell>
          <cell r="M36">
            <v>504.26395292909609</v>
          </cell>
          <cell r="N36">
            <v>499.87697018558663</v>
          </cell>
          <cell r="O36">
            <v>495.90200028742942</v>
          </cell>
        </row>
        <row r="37">
          <cell r="B37" t="str">
            <v>Accretive EPS</v>
          </cell>
          <cell r="E37">
            <v>4.0788404330311522E-2</v>
          </cell>
          <cell r="F37">
            <v>0.1325460589477383</v>
          </cell>
          <cell r="G37">
            <v>0.26456434064032841</v>
          </cell>
          <cell r="H37">
            <v>0.46228650173431929</v>
          </cell>
          <cell r="I37">
            <v>0.91115886614458641</v>
          </cell>
          <cell r="J37">
            <v>1.0542867930956361</v>
          </cell>
          <cell r="K37">
            <v>1.1845461334224934</v>
          </cell>
          <cell r="L37">
            <v>1.3015689389539182</v>
          </cell>
          <cell r="M37">
            <v>1.3471995886279522</v>
          </cell>
          <cell r="N37">
            <v>1.4254058192215513</v>
          </cell>
          <cell r="O37">
            <v>1.491738082965973</v>
          </cell>
        </row>
        <row r="38">
          <cell r="B38" t="str">
            <v>Model EPS</v>
          </cell>
          <cell r="E38">
            <v>4.3992851339707242</v>
          </cell>
          <cell r="F38">
            <v>5.1512469838065913</v>
          </cell>
          <cell r="G38">
            <v>5.9197160312166224</v>
          </cell>
          <cell r="H38">
            <v>6.7278990297263608</v>
          </cell>
          <cell r="I38">
            <v>7.2979105974996905</v>
          </cell>
          <cell r="J38">
            <v>8.086358481731498</v>
          </cell>
          <cell r="K38">
            <v>8.6334305752194442</v>
          </cell>
          <cell r="L38">
            <v>9.4063913392402032</v>
          </cell>
          <cell r="M38">
            <v>9.7914627309818378</v>
          </cell>
          <cell r="N38">
            <v>10.414111102199115</v>
          </cell>
          <cell r="O38">
            <v>10.950239758709918</v>
          </cell>
        </row>
        <row r="39">
          <cell r="B39" t="str">
            <v>MON EPS</v>
          </cell>
          <cell r="E39">
            <v>4.4400735383010357</v>
          </cell>
          <cell r="F39">
            <v>5.2837930427543292</v>
          </cell>
          <cell r="G39">
            <v>6.1842803718569508</v>
          </cell>
          <cell r="H39">
            <v>7.1901855314606804</v>
          </cell>
          <cell r="I39">
            <v>8.2090694636442763</v>
          </cell>
          <cell r="J39">
            <v>9.1406452748271345</v>
          </cell>
          <cell r="K39">
            <v>9.8179767086419378</v>
          </cell>
          <cell r="L39">
            <v>10.707960278194122</v>
          </cell>
          <cell r="M39">
            <v>11.138662319609789</v>
          </cell>
          <cell r="N39">
            <v>11.839516921420666</v>
          </cell>
          <cell r="O39">
            <v>12.441977841675891</v>
          </cell>
        </row>
        <row r="43">
          <cell r="B43" t="str">
            <v>Base Case</v>
          </cell>
          <cell r="C43" t="str">
            <v>at least 40M acre opportunity</v>
          </cell>
          <cell r="R43" t="str">
            <v>Incremental SmartStax Revenue</v>
          </cell>
        </row>
        <row r="45">
          <cell r="B45" t="str">
            <v>Incremental SmartStax Value</v>
          </cell>
          <cell r="E45">
            <v>10.480349344978167</v>
          </cell>
          <cell r="F45">
            <v>11.004366812227076</v>
          </cell>
          <cell r="G45">
            <v>11.554585152838429</v>
          </cell>
          <cell r="H45">
            <v>13.637554585152838</v>
          </cell>
          <cell r="I45">
            <v>15.720524017467246</v>
          </cell>
          <cell r="J45">
            <v>18.340611353711786</v>
          </cell>
          <cell r="K45">
            <v>20.960698689956327</v>
          </cell>
          <cell r="L45">
            <v>22.218340611353707</v>
          </cell>
          <cell r="M45">
            <v>23.329257641921394</v>
          </cell>
          <cell r="N45">
            <v>24.495720524017464</v>
          </cell>
          <cell r="O45">
            <v>25.720506550218339</v>
          </cell>
          <cell r="S45" t="str">
            <v>Base Case</v>
          </cell>
          <cell r="T45" t="str">
            <v>Calculations</v>
          </cell>
          <cell r="U45" t="str">
            <v>Bull</v>
          </cell>
          <cell r="V45" t="str">
            <v>Bear</v>
          </cell>
        </row>
        <row r="46">
          <cell r="B46" t="str">
            <v>Increase</v>
          </cell>
          <cell r="F46">
            <v>0.05</v>
          </cell>
          <cell r="G46">
            <v>0.05</v>
          </cell>
          <cell r="H46">
            <v>0.18027210884353728</v>
          </cell>
          <cell r="I46">
            <v>0.15273775216138308</v>
          </cell>
          <cell r="J46">
            <v>0.16666666666666652</v>
          </cell>
          <cell r="K46">
            <v>0.14285714285714279</v>
          </cell>
          <cell r="L46">
            <v>0.06</v>
          </cell>
          <cell r="M46">
            <v>0.05</v>
          </cell>
          <cell r="N46">
            <v>0.05</v>
          </cell>
          <cell r="O46">
            <v>0.05</v>
          </cell>
          <cell r="Q46" t="str">
            <v>A</v>
          </cell>
          <cell r="R46" t="str">
            <v>Corn Price (bushel)</v>
          </cell>
          <cell r="S46">
            <v>3</v>
          </cell>
          <cell r="T46" t="str">
            <v>Assumption</v>
          </cell>
          <cell r="U46">
            <v>3</v>
          </cell>
          <cell r="V46">
            <v>3</v>
          </cell>
        </row>
        <row r="47">
          <cell r="Q47" t="str">
            <v>B</v>
          </cell>
          <cell r="R47" t="str">
            <v>Average Yield Improvement (normal)</v>
          </cell>
          <cell r="S47">
            <v>5</v>
          </cell>
          <cell r="T47" t="str">
            <v>Assumption</v>
          </cell>
          <cell r="U47">
            <v>6</v>
          </cell>
          <cell r="V47">
            <v>3</v>
          </cell>
        </row>
        <row r="48">
          <cell r="B48" t="str">
            <v>SmartStax Acres</v>
          </cell>
          <cell r="Q48" t="str">
            <v>C</v>
          </cell>
          <cell r="R48" t="str">
            <v>Average Yield Improvement (refuge)</v>
          </cell>
          <cell r="S48">
            <v>3</v>
          </cell>
          <cell r="T48" t="str">
            <v>T</v>
          </cell>
          <cell r="U48">
            <v>3</v>
          </cell>
          <cell r="V48">
            <v>3</v>
          </cell>
        </row>
        <row r="49">
          <cell r="B49" t="str">
            <v>Brazil</v>
          </cell>
          <cell r="E49">
            <v>0</v>
          </cell>
          <cell r="F49">
            <v>0</v>
          </cell>
          <cell r="G49">
            <v>0</v>
          </cell>
          <cell r="H49">
            <v>0</v>
          </cell>
          <cell r="I49">
            <v>0</v>
          </cell>
          <cell r="J49">
            <v>0</v>
          </cell>
          <cell r="K49">
            <v>0</v>
          </cell>
          <cell r="L49">
            <v>0</v>
          </cell>
          <cell r="M49">
            <v>0</v>
          </cell>
          <cell r="N49">
            <v>0</v>
          </cell>
          <cell r="O49">
            <v>0</v>
          </cell>
          <cell r="Q49" t="str">
            <v>D</v>
          </cell>
          <cell r="R49" t="str">
            <v>Farmer Productivity Revenue (yield)</v>
          </cell>
          <cell r="S49">
            <v>15</v>
          </cell>
          <cell r="T49" t="str">
            <v>A * B</v>
          </cell>
          <cell r="U49">
            <v>18</v>
          </cell>
          <cell r="V49">
            <v>9</v>
          </cell>
        </row>
        <row r="50">
          <cell r="B50" t="str">
            <v>Argentina</v>
          </cell>
          <cell r="E50">
            <v>0</v>
          </cell>
          <cell r="F50">
            <v>0</v>
          </cell>
          <cell r="G50">
            <v>0</v>
          </cell>
          <cell r="H50">
            <v>0</v>
          </cell>
          <cell r="I50">
            <v>0</v>
          </cell>
          <cell r="J50">
            <v>0</v>
          </cell>
          <cell r="K50">
            <v>0</v>
          </cell>
          <cell r="L50">
            <v>0</v>
          </cell>
          <cell r="M50">
            <v>0</v>
          </cell>
          <cell r="N50">
            <v>0</v>
          </cell>
          <cell r="O50">
            <v>0</v>
          </cell>
          <cell r="Q50" t="str">
            <v>E</v>
          </cell>
          <cell r="R50" t="str">
            <v>Farmer Productivity Revenue (refuge)</v>
          </cell>
          <cell r="S50">
            <v>9</v>
          </cell>
          <cell r="T50" t="str">
            <v>U</v>
          </cell>
          <cell r="U50">
            <v>9</v>
          </cell>
          <cell r="V50">
            <v>9</v>
          </cell>
        </row>
        <row r="51">
          <cell r="B51" t="str">
            <v>US</v>
          </cell>
          <cell r="E51">
            <v>4</v>
          </cell>
          <cell r="F51">
            <v>12</v>
          </cell>
          <cell r="G51">
            <v>25</v>
          </cell>
          <cell r="H51">
            <v>35</v>
          </cell>
          <cell r="I51">
            <v>50</v>
          </cell>
          <cell r="J51">
            <v>50</v>
          </cell>
          <cell r="K51">
            <v>50</v>
          </cell>
          <cell r="L51">
            <v>50</v>
          </cell>
          <cell r="M51">
            <v>50</v>
          </cell>
          <cell r="N51">
            <v>50</v>
          </cell>
          <cell r="O51">
            <v>50</v>
          </cell>
          <cell r="Q51" t="str">
            <v>F</v>
          </cell>
          <cell r="R51" t="str">
            <v>Trait Retail Price</v>
          </cell>
          <cell r="S51">
            <v>10.480349344978166</v>
          </cell>
          <cell r="T51" t="str">
            <v>M / L</v>
          </cell>
          <cell r="U51">
            <v>11.790393013100436</v>
          </cell>
          <cell r="V51">
            <v>7.860262008733625</v>
          </cell>
        </row>
        <row r="52">
          <cell r="Q52" t="str">
            <v>G</v>
          </cell>
          <cell r="R52" t="str">
            <v>Trait Gross Profit</v>
          </cell>
          <cell r="S52">
            <v>13.519650655021834</v>
          </cell>
          <cell r="T52" t="str">
            <v>D + E - F</v>
          </cell>
          <cell r="U52">
            <v>15.209606986899564</v>
          </cell>
          <cell r="V52">
            <v>10.139737991266376</v>
          </cell>
        </row>
        <row r="53">
          <cell r="B53" t="str">
            <v>Total SmartStax Acres</v>
          </cell>
          <cell r="E53">
            <v>4</v>
          </cell>
          <cell r="F53">
            <v>12</v>
          </cell>
          <cell r="G53">
            <v>25</v>
          </cell>
          <cell r="H53">
            <v>35</v>
          </cell>
          <cell r="I53">
            <v>50</v>
          </cell>
          <cell r="J53">
            <v>50</v>
          </cell>
          <cell r="K53">
            <v>50</v>
          </cell>
          <cell r="L53">
            <v>50</v>
          </cell>
          <cell r="M53">
            <v>50</v>
          </cell>
          <cell r="N53">
            <v>50</v>
          </cell>
          <cell r="O53">
            <v>50</v>
          </cell>
          <cell r="Q53" t="str">
            <v>H</v>
          </cell>
          <cell r="R53" t="str">
            <v>Average Input Cost Savings</v>
          </cell>
          <cell r="S53">
            <v>0</v>
          </cell>
          <cell r="T53" t="str">
            <v>Assumption</v>
          </cell>
          <cell r="U53">
            <v>0</v>
          </cell>
          <cell r="V53">
            <v>0</v>
          </cell>
        </row>
        <row r="54">
          <cell r="B54" t="str">
            <v>Refuge Benefit</v>
          </cell>
          <cell r="E54">
            <v>0.8</v>
          </cell>
          <cell r="F54">
            <v>0.8</v>
          </cell>
          <cell r="G54">
            <v>0.8</v>
          </cell>
          <cell r="H54">
            <v>0.8</v>
          </cell>
          <cell r="I54">
            <v>0.8</v>
          </cell>
          <cell r="J54">
            <v>0.8</v>
          </cell>
          <cell r="K54">
            <v>0.8</v>
          </cell>
          <cell r="L54">
            <v>0.8</v>
          </cell>
          <cell r="M54">
            <v>0.8</v>
          </cell>
          <cell r="N54">
            <v>0.8</v>
          </cell>
          <cell r="O54">
            <v>0.8</v>
          </cell>
          <cell r="Q54" t="str">
            <v>J</v>
          </cell>
          <cell r="R54" t="str">
            <v>Total Farmer Gross Profit</v>
          </cell>
          <cell r="S54">
            <v>13.519650655021834</v>
          </cell>
          <cell r="T54" t="str">
            <v>G + H</v>
          </cell>
          <cell r="U54">
            <v>15.209606986899564</v>
          </cell>
          <cell r="V54">
            <v>10.139737991266376</v>
          </cell>
        </row>
        <row r="55">
          <cell r="B55" t="str">
            <v>Refuge Acres Sold</v>
          </cell>
          <cell r="E55">
            <v>1.8</v>
          </cell>
          <cell r="F55">
            <v>5.4</v>
          </cell>
          <cell r="G55">
            <v>8.1999999999999993</v>
          </cell>
          <cell r="H55">
            <v>12</v>
          </cell>
          <cell r="I55">
            <v>12</v>
          </cell>
          <cell r="J55">
            <v>12</v>
          </cell>
          <cell r="K55">
            <v>12</v>
          </cell>
          <cell r="L55">
            <v>12</v>
          </cell>
          <cell r="M55">
            <v>12</v>
          </cell>
          <cell r="N55">
            <v>12</v>
          </cell>
          <cell r="O55">
            <v>12</v>
          </cell>
        </row>
        <row r="56">
          <cell r="Q56" t="str">
            <v>K</v>
          </cell>
          <cell r="R56" t="str">
            <v>Trait Retail Price</v>
          </cell>
          <cell r="S56">
            <v>10.480349344978166</v>
          </cell>
          <cell r="T56" t="str">
            <v>M / L</v>
          </cell>
          <cell r="U56">
            <v>11.79039301310044</v>
          </cell>
          <cell r="V56">
            <v>7.860262008733625</v>
          </cell>
        </row>
        <row r="57">
          <cell r="B57" t="str">
            <v>Bull Case</v>
          </cell>
          <cell r="Q57" t="str">
            <v>L</v>
          </cell>
          <cell r="R57" t="str">
            <v>Retail Capture</v>
          </cell>
          <cell r="S57">
            <v>0.75</v>
          </cell>
          <cell r="T57" t="str">
            <v>Assumption</v>
          </cell>
          <cell r="U57">
            <v>0.75</v>
          </cell>
          <cell r="V57">
            <v>0.75</v>
          </cell>
        </row>
        <row r="58">
          <cell r="Q58" t="str">
            <v>M</v>
          </cell>
          <cell r="R58" t="str">
            <v>Monsanto Revenue</v>
          </cell>
          <cell r="S58">
            <v>7.8602620087336241</v>
          </cell>
          <cell r="T58" t="str">
            <v>N + P</v>
          </cell>
          <cell r="U58">
            <v>8.8427947598253294</v>
          </cell>
          <cell r="V58">
            <v>5.895196506550219</v>
          </cell>
        </row>
        <row r="59">
          <cell r="B59" t="str">
            <v>Incremental SmartStax Value</v>
          </cell>
          <cell r="E59">
            <v>11.790393013100436</v>
          </cell>
          <cell r="F59">
            <v>11.790393013100436</v>
          </cell>
          <cell r="G59">
            <v>11.790393013100436</v>
          </cell>
          <cell r="H59">
            <v>14.737991266375548</v>
          </cell>
          <cell r="I59">
            <v>17.685589519650655</v>
          </cell>
          <cell r="J59">
            <v>20.633187772925766</v>
          </cell>
          <cell r="K59">
            <v>23.580786026200872</v>
          </cell>
          <cell r="L59">
            <v>24.759825327510917</v>
          </cell>
          <cell r="M59">
            <v>25.997816593886466</v>
          </cell>
          <cell r="N59">
            <v>27.297707423580789</v>
          </cell>
          <cell r="O59">
            <v>28.662592794759831</v>
          </cell>
          <cell r="Q59" t="str">
            <v>N</v>
          </cell>
          <cell r="R59" t="str">
            <v>Monsanto COGS</v>
          </cell>
          <cell r="S59">
            <v>1.1004366812227075</v>
          </cell>
          <cell r="T59" t="str">
            <v>M * (1 - Q)</v>
          </cell>
          <cell r="U59">
            <v>1.2379912663755461</v>
          </cell>
          <cell r="V59">
            <v>0.82532751091703072</v>
          </cell>
        </row>
        <row r="60">
          <cell r="B60" t="str">
            <v>Increase</v>
          </cell>
          <cell r="E60">
            <v>0</v>
          </cell>
          <cell r="F60">
            <v>0</v>
          </cell>
          <cell r="G60">
            <v>0</v>
          </cell>
          <cell r="H60">
            <v>0.25000000000000022</v>
          </cell>
          <cell r="I60">
            <v>0.19999999999999973</v>
          </cell>
          <cell r="J60">
            <v>0.16666666666666674</v>
          </cell>
          <cell r="K60">
            <v>0.14285714285714279</v>
          </cell>
          <cell r="L60">
            <v>0.05</v>
          </cell>
          <cell r="M60">
            <v>0.05</v>
          </cell>
          <cell r="N60">
            <v>0.05</v>
          </cell>
          <cell r="O60">
            <v>0.05</v>
          </cell>
          <cell r="Q60" t="str">
            <v>P</v>
          </cell>
          <cell r="R60" t="str">
            <v>Monsanto Gross Profit</v>
          </cell>
          <cell r="S60">
            <v>6.7598253275109172</v>
          </cell>
          <cell r="T60" t="str">
            <v>J * (3/2) * (1/3)</v>
          </cell>
          <cell r="U60">
            <v>7.6048034934497819</v>
          </cell>
          <cell r="V60">
            <v>5.0698689956331879</v>
          </cell>
        </row>
        <row r="61">
          <cell r="Q61" t="str">
            <v>Q</v>
          </cell>
          <cell r="R61" t="str">
            <v>Monsanto Gross Profit Margin</v>
          </cell>
          <cell r="S61">
            <v>0.86</v>
          </cell>
          <cell r="T61" t="str">
            <v>Assumption</v>
          </cell>
          <cell r="U61">
            <v>0.86</v>
          </cell>
          <cell r="V61">
            <v>0.86</v>
          </cell>
        </row>
        <row r="62">
          <cell r="B62" t="str">
            <v>SmartStax Acres</v>
          </cell>
        </row>
        <row r="63">
          <cell r="B63" t="str">
            <v>Brazil</v>
          </cell>
          <cell r="E63">
            <v>5</v>
          </cell>
          <cell r="F63">
            <v>12</v>
          </cell>
          <cell r="G63">
            <v>22</v>
          </cell>
          <cell r="H63">
            <v>30</v>
          </cell>
          <cell r="I63">
            <v>30</v>
          </cell>
          <cell r="J63">
            <v>30</v>
          </cell>
          <cell r="K63">
            <v>30</v>
          </cell>
          <cell r="L63">
            <v>30</v>
          </cell>
          <cell r="M63">
            <v>30</v>
          </cell>
          <cell r="N63">
            <v>30</v>
          </cell>
          <cell r="O63">
            <v>30</v>
          </cell>
          <cell r="S63" t="str">
            <v>Refuge Acres</v>
          </cell>
        </row>
        <row r="64">
          <cell r="B64" t="str">
            <v>Argentina</v>
          </cell>
          <cell r="E64">
            <v>3</v>
          </cell>
          <cell r="F64">
            <v>5</v>
          </cell>
          <cell r="G64">
            <v>7</v>
          </cell>
          <cell r="H64">
            <v>8</v>
          </cell>
          <cell r="I64">
            <v>8</v>
          </cell>
          <cell r="J64">
            <v>8</v>
          </cell>
          <cell r="K64">
            <v>8</v>
          </cell>
          <cell r="L64">
            <v>8</v>
          </cell>
          <cell r="M64">
            <v>8</v>
          </cell>
          <cell r="N64">
            <v>8</v>
          </cell>
          <cell r="O64">
            <v>8</v>
          </cell>
          <cell r="Q64" t="str">
            <v>R</v>
          </cell>
          <cell r="R64" t="str">
            <v>Net yield benefit of a refuge acre</v>
          </cell>
          <cell r="S64">
            <v>20</v>
          </cell>
          <cell r="T64" t="str">
            <v>Assumption</v>
          </cell>
        </row>
        <row r="65">
          <cell r="B65" t="str">
            <v>US</v>
          </cell>
          <cell r="E65">
            <v>16</v>
          </cell>
          <cell r="F65">
            <v>35</v>
          </cell>
          <cell r="G65">
            <v>45</v>
          </cell>
          <cell r="H65">
            <v>65</v>
          </cell>
          <cell r="I65">
            <v>65</v>
          </cell>
          <cell r="J65">
            <v>65</v>
          </cell>
          <cell r="K65">
            <v>65</v>
          </cell>
          <cell r="L65">
            <v>65</v>
          </cell>
          <cell r="M65">
            <v>65</v>
          </cell>
          <cell r="N65">
            <v>65</v>
          </cell>
          <cell r="O65">
            <v>65</v>
          </cell>
          <cell r="Q65" t="str">
            <v>S</v>
          </cell>
          <cell r="R65" t="str">
            <v>Refuge give back per acre of SS</v>
          </cell>
          <cell r="S65">
            <v>0.15</v>
          </cell>
          <cell r="T65" t="str">
            <v>Assumption</v>
          </cell>
        </row>
        <row r="66">
          <cell r="Q66" t="str">
            <v>T</v>
          </cell>
          <cell r="R66" t="str">
            <v>Yield Benefit/acre</v>
          </cell>
          <cell r="S66">
            <v>3</v>
          </cell>
          <cell r="T66" t="str">
            <v>R * S</v>
          </cell>
        </row>
        <row r="67">
          <cell r="B67" t="str">
            <v>Bear Case</v>
          </cell>
          <cell r="Q67" t="str">
            <v>U</v>
          </cell>
          <cell r="R67" t="str">
            <v>Farmer Productivity Revenue</v>
          </cell>
          <cell r="S67">
            <v>9</v>
          </cell>
          <cell r="T67" t="str">
            <v>A * T</v>
          </cell>
        </row>
        <row r="69">
          <cell r="B69" t="str">
            <v>Incremental SmartStax Value</v>
          </cell>
          <cell r="E69">
            <v>7.860262008733625</v>
          </cell>
          <cell r="F69">
            <v>7.860262008733625</v>
          </cell>
          <cell r="G69">
            <v>7.860262008733625</v>
          </cell>
          <cell r="H69">
            <v>7.860262008733625</v>
          </cell>
          <cell r="I69">
            <v>7.860262008733625</v>
          </cell>
          <cell r="J69">
            <v>7.860262008733625</v>
          </cell>
          <cell r="K69">
            <v>7.860262008733625</v>
          </cell>
          <cell r="L69">
            <v>7.860262008733625</v>
          </cell>
          <cell r="M69">
            <v>7.860262008733625</v>
          </cell>
          <cell r="N69">
            <v>7.860262008733625</v>
          </cell>
          <cell r="O69">
            <v>7.860262008733625</v>
          </cell>
        </row>
        <row r="70">
          <cell r="B70" t="str">
            <v>Increase</v>
          </cell>
          <cell r="F70">
            <v>0</v>
          </cell>
          <cell r="G70">
            <v>0</v>
          </cell>
          <cell r="H70">
            <v>0</v>
          </cell>
          <cell r="I70">
            <v>0</v>
          </cell>
          <cell r="J70">
            <v>0</v>
          </cell>
          <cell r="K70">
            <v>0</v>
          </cell>
          <cell r="L70">
            <v>0</v>
          </cell>
          <cell r="M70">
            <v>0</v>
          </cell>
          <cell r="N70">
            <v>0</v>
          </cell>
          <cell r="O70">
            <v>0</v>
          </cell>
          <cell r="R70" t="str">
            <v>RoundupReady Single</v>
          </cell>
          <cell r="S70">
            <v>6.5</v>
          </cell>
        </row>
        <row r="71">
          <cell r="R71" t="str">
            <v>SmartStax</v>
          </cell>
          <cell r="S71">
            <v>23.5</v>
          </cell>
        </row>
        <row r="72">
          <cell r="B72" t="str">
            <v>SmartStax Acres</v>
          </cell>
          <cell r="S72">
            <v>17</v>
          </cell>
        </row>
        <row r="73">
          <cell r="B73" t="str">
            <v>Brazil</v>
          </cell>
          <cell r="E73">
            <v>0</v>
          </cell>
          <cell r="F73">
            <v>0</v>
          </cell>
          <cell r="G73">
            <v>0</v>
          </cell>
          <cell r="H73">
            <v>0</v>
          </cell>
          <cell r="I73">
            <v>0</v>
          </cell>
          <cell r="J73">
            <v>0</v>
          </cell>
          <cell r="K73">
            <v>0</v>
          </cell>
          <cell r="L73">
            <v>0</v>
          </cell>
          <cell r="M73">
            <v>0</v>
          </cell>
          <cell r="N73">
            <v>0</v>
          </cell>
          <cell r="O73">
            <v>0</v>
          </cell>
        </row>
        <row r="74">
          <cell r="B74" t="str">
            <v>Argentina</v>
          </cell>
          <cell r="E74">
            <v>0</v>
          </cell>
          <cell r="F74">
            <v>0</v>
          </cell>
          <cell r="G74">
            <v>0</v>
          </cell>
          <cell r="H74">
            <v>0</v>
          </cell>
          <cell r="I74">
            <v>0</v>
          </cell>
          <cell r="J74">
            <v>0</v>
          </cell>
          <cell r="K74">
            <v>0</v>
          </cell>
          <cell r="L74">
            <v>0</v>
          </cell>
          <cell r="M74">
            <v>0</v>
          </cell>
          <cell r="N74">
            <v>0</v>
          </cell>
          <cell r="O74">
            <v>0</v>
          </cell>
          <cell r="S74">
            <v>10</v>
          </cell>
        </row>
        <row r="75">
          <cell r="B75" t="str">
            <v>US</v>
          </cell>
          <cell r="E75">
            <v>0</v>
          </cell>
          <cell r="F75">
            <v>12</v>
          </cell>
          <cell r="G75">
            <v>30</v>
          </cell>
          <cell r="H75">
            <v>35</v>
          </cell>
          <cell r="I75">
            <v>40</v>
          </cell>
          <cell r="J75">
            <v>40</v>
          </cell>
          <cell r="K75">
            <v>40</v>
          </cell>
          <cell r="L75">
            <v>40</v>
          </cell>
          <cell r="M75">
            <v>40</v>
          </cell>
          <cell r="N75">
            <v>40</v>
          </cell>
          <cell r="O75">
            <v>40</v>
          </cell>
          <cell r="R75">
            <v>0.2</v>
          </cell>
          <cell r="S75">
            <v>2</v>
          </cell>
        </row>
        <row r="76">
          <cell r="R76">
            <v>0.05</v>
          </cell>
          <cell r="S76">
            <v>0.5</v>
          </cell>
        </row>
        <row r="77">
          <cell r="R77" t="str">
            <v>Acres gained per ten</v>
          </cell>
          <cell r="S77">
            <v>1.5</v>
          </cell>
        </row>
        <row r="78">
          <cell r="R78">
            <v>55</v>
          </cell>
          <cell r="S78">
            <v>8.25</v>
          </cell>
        </row>
        <row r="80">
          <cell r="T80" t="str">
            <v>W/O SS</v>
          </cell>
          <cell r="U80" t="str">
            <v>W/ SS</v>
          </cell>
          <cell r="V80" t="str">
            <v>Delta</v>
          </cell>
        </row>
        <row r="81">
          <cell r="S81">
            <v>1</v>
          </cell>
          <cell r="T81">
            <v>12</v>
          </cell>
          <cell r="U81">
            <v>12</v>
          </cell>
        </row>
        <row r="82">
          <cell r="R82" t="str">
            <v>Single</v>
          </cell>
          <cell r="S82">
            <v>6.5</v>
          </cell>
        </row>
        <row r="83">
          <cell r="R83" t="str">
            <v>Double</v>
          </cell>
          <cell r="S83">
            <v>16.5</v>
          </cell>
          <cell r="T83">
            <v>178</v>
          </cell>
          <cell r="U83">
            <v>193</v>
          </cell>
          <cell r="V83">
            <v>15</v>
          </cell>
        </row>
        <row r="84">
          <cell r="R84" t="str">
            <v>Triple</v>
          </cell>
          <cell r="S84">
            <v>22.5</v>
          </cell>
          <cell r="T84">
            <v>238</v>
          </cell>
          <cell r="U84">
            <v>319.5</v>
          </cell>
          <cell r="V84">
            <v>81.5</v>
          </cell>
        </row>
        <row r="85">
          <cell r="R85" t="str">
            <v>SmartStax</v>
          </cell>
          <cell r="S85">
            <v>27.5</v>
          </cell>
        </row>
        <row r="86">
          <cell r="R86" t="str">
            <v>Refuge vs. Triple</v>
          </cell>
        </row>
        <row r="87">
          <cell r="R87" t="str">
            <v>Refuge vs. Double</v>
          </cell>
        </row>
        <row r="88">
          <cell r="S88">
            <v>2010</v>
          </cell>
          <cell r="T88">
            <v>2011</v>
          </cell>
          <cell r="U88">
            <v>2012</v>
          </cell>
          <cell r="V88">
            <v>2013</v>
          </cell>
        </row>
        <row r="89">
          <cell r="R89" t="str">
            <v>Single</v>
          </cell>
          <cell r="S89">
            <v>1313.3923961882858</v>
          </cell>
          <cell r="T89">
            <v>1379.0620159977</v>
          </cell>
          <cell r="U89">
            <v>1448.0151167975848</v>
          </cell>
          <cell r="V89">
            <v>1520.4158726374642</v>
          </cell>
        </row>
        <row r="90">
          <cell r="R90" t="str">
            <v>Double</v>
          </cell>
          <cell r="S90">
            <v>0</v>
          </cell>
          <cell r="T90">
            <v>0</v>
          </cell>
          <cell r="U90">
            <v>0</v>
          </cell>
          <cell r="V90">
            <v>0</v>
          </cell>
        </row>
        <row r="91">
          <cell r="R91" t="str">
            <v>Triple</v>
          </cell>
          <cell r="S91">
            <v>0</v>
          </cell>
          <cell r="T91">
            <v>0</v>
          </cell>
          <cell r="U91">
            <v>0</v>
          </cell>
          <cell r="V91">
            <v>0</v>
          </cell>
        </row>
        <row r="92">
          <cell r="R92" t="str">
            <v>SmartStax</v>
          </cell>
          <cell r="S92">
            <v>10.480349344978167</v>
          </cell>
          <cell r="T92">
            <v>11.004366812227076</v>
          </cell>
          <cell r="U92">
            <v>11.554585152838429</v>
          </cell>
          <cell r="V92">
            <v>13.637554585152838</v>
          </cell>
        </row>
        <row r="94">
          <cell r="R94" t="str">
            <v>SmartStax/Double</v>
          </cell>
          <cell r="S94">
            <v>10.480349344978167</v>
          </cell>
          <cell r="T94">
            <v>11.004366812227076</v>
          </cell>
          <cell r="U94">
            <v>11.554585152838429</v>
          </cell>
          <cell r="V94">
            <v>13.637554585152838</v>
          </cell>
        </row>
        <row r="95">
          <cell r="S95">
            <v>1.5</v>
          </cell>
        </row>
        <row r="96">
          <cell r="S96">
            <v>15</v>
          </cell>
        </row>
        <row r="98">
          <cell r="R98" t="str">
            <v>Double/NO SS</v>
          </cell>
          <cell r="S98">
            <v>2626.7847923765717</v>
          </cell>
          <cell r="T98">
            <v>4</v>
          </cell>
          <cell r="U98">
            <v>5</v>
          </cell>
          <cell r="V98">
            <v>6</v>
          </cell>
        </row>
        <row r="99">
          <cell r="R99" t="str">
            <v>Yield</v>
          </cell>
          <cell r="S99">
            <v>178</v>
          </cell>
          <cell r="T99">
            <v>712</v>
          </cell>
          <cell r="U99">
            <v>890</v>
          </cell>
          <cell r="V99">
            <v>1068</v>
          </cell>
        </row>
        <row r="100">
          <cell r="S100">
            <v>14.75721793469984</v>
          </cell>
        </row>
        <row r="102">
          <cell r="R102" t="str">
            <v>Double/SS</v>
          </cell>
          <cell r="S102">
            <v>777.2202155613918</v>
          </cell>
          <cell r="T102">
            <v>4</v>
          </cell>
          <cell r="U102">
            <v>5</v>
          </cell>
          <cell r="V102">
            <v>6</v>
          </cell>
        </row>
        <row r="103">
          <cell r="S103">
            <v>193</v>
          </cell>
          <cell r="T103">
            <v>772</v>
          </cell>
          <cell r="U103">
            <v>965</v>
          </cell>
          <cell r="V103">
            <v>1158</v>
          </cell>
        </row>
        <row r="104">
          <cell r="S104">
            <v>4.0270477490227554</v>
          </cell>
        </row>
        <row r="106">
          <cell r="R106" t="str">
            <v>Incremntal Bushels Per Acre</v>
          </cell>
          <cell r="S106">
            <v>1.25</v>
          </cell>
          <cell r="T106">
            <v>4</v>
          </cell>
          <cell r="U106">
            <v>5</v>
          </cell>
          <cell r="V106">
            <v>6</v>
          </cell>
        </row>
        <row r="107">
          <cell r="R107" t="str">
            <v>Incremntal Profit Per Acre</v>
          </cell>
          <cell r="T107">
            <v>5</v>
          </cell>
          <cell r="U107">
            <v>6.25</v>
          </cell>
          <cell r="V107">
            <v>7.5</v>
          </cell>
        </row>
        <row r="109">
          <cell r="R109" t="str">
            <v>Gross Profit</v>
          </cell>
          <cell r="T109">
            <v>60</v>
          </cell>
          <cell r="U109">
            <v>75</v>
          </cell>
          <cell r="V109">
            <v>90</v>
          </cell>
        </row>
        <row r="110">
          <cell r="R110" t="str">
            <v>GPA</v>
          </cell>
          <cell r="T110">
            <v>5</v>
          </cell>
          <cell r="U110">
            <v>6.25</v>
          </cell>
          <cell r="V110">
            <v>7.5</v>
          </cell>
        </row>
        <row r="111">
          <cell r="R111" t="str">
            <v>Incremental CPA</v>
          </cell>
          <cell r="T111">
            <v>-154.130381401265</v>
          </cell>
          <cell r="U111">
            <v>-154.130381401265</v>
          </cell>
          <cell r="V111">
            <v>-154.130381401265</v>
          </cell>
        </row>
      </sheetData>
      <sheetData sheetId="8">
        <row r="1">
          <cell r="A1" t="str">
            <v>Drought Tolerant Corn</v>
          </cell>
          <cell r="F1" t="str">
            <v>value is specific to the variable costs of water used by farmers, not fixed costs of irrigations</v>
          </cell>
        </row>
        <row r="2">
          <cell r="A2" t="str">
            <v>PHASE 2, 3</v>
          </cell>
          <cell r="D2" t="str">
            <v>Base</v>
          </cell>
          <cell r="E2" t="str">
            <v>Acres</v>
          </cell>
          <cell r="F2" t="str">
            <v>value of trait is in better yields under moisture stressed conditions; varies by region</v>
          </cell>
        </row>
        <row r="3">
          <cell r="A3" t="str">
            <v>Assume Launch is</v>
          </cell>
          <cell r="D3" t="str">
            <v>Base</v>
          </cell>
          <cell r="E3" t="str">
            <v>Pricing</v>
          </cell>
          <cell r="F3" t="str">
            <v>medium value trait: $10-$30</v>
          </cell>
        </row>
        <row r="4">
          <cell r="B4">
            <v>2012</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Drought Tolerant Acres</v>
          </cell>
        </row>
        <row r="7">
          <cell r="B7" t="str">
            <v>Brazil</v>
          </cell>
          <cell r="G7">
            <v>0</v>
          </cell>
          <cell r="H7">
            <v>0</v>
          </cell>
          <cell r="I7">
            <v>0</v>
          </cell>
          <cell r="J7">
            <v>0</v>
          </cell>
          <cell r="K7">
            <v>0</v>
          </cell>
          <cell r="L7">
            <v>0</v>
          </cell>
          <cell r="M7">
            <v>0</v>
          </cell>
          <cell r="N7">
            <v>0</v>
          </cell>
          <cell r="O7">
            <v>0</v>
          </cell>
        </row>
        <row r="8">
          <cell r="B8" t="str">
            <v>Argentina</v>
          </cell>
          <cell r="G8">
            <v>0</v>
          </cell>
          <cell r="H8">
            <v>0</v>
          </cell>
          <cell r="I8">
            <v>0</v>
          </cell>
          <cell r="J8">
            <v>0</v>
          </cell>
          <cell r="K8">
            <v>0</v>
          </cell>
          <cell r="L8">
            <v>0</v>
          </cell>
          <cell r="M8">
            <v>0</v>
          </cell>
          <cell r="N8">
            <v>0</v>
          </cell>
          <cell r="O8">
            <v>0</v>
          </cell>
        </row>
        <row r="9">
          <cell r="B9" t="str">
            <v>US</v>
          </cell>
          <cell r="G9">
            <v>6</v>
          </cell>
          <cell r="H9">
            <v>10</v>
          </cell>
          <cell r="I9">
            <v>20</v>
          </cell>
          <cell r="J9">
            <v>40</v>
          </cell>
          <cell r="K9">
            <v>60</v>
          </cell>
          <cell r="L9">
            <v>60</v>
          </cell>
          <cell r="M9">
            <v>60</v>
          </cell>
          <cell r="N9">
            <v>60</v>
          </cell>
          <cell r="O9">
            <v>60</v>
          </cell>
        </row>
        <row r="11">
          <cell r="B11" t="str">
            <v>MON TAKE</v>
          </cell>
          <cell r="G11">
            <v>0.75083314285714287</v>
          </cell>
          <cell r="H11">
            <v>0.77009227799227808</v>
          </cell>
          <cell r="I11">
            <v>0.78719151343705795</v>
          </cell>
          <cell r="J11">
            <v>0.78744992927864221</v>
          </cell>
          <cell r="K11">
            <v>0.78770834512022636</v>
          </cell>
          <cell r="L11">
            <v>0.78796676096181051</v>
          </cell>
          <cell r="M11">
            <v>0.78822517680339454</v>
          </cell>
          <cell r="N11">
            <v>0.7884835926449788</v>
          </cell>
          <cell r="O11">
            <v>0.78874200848656306</v>
          </cell>
        </row>
        <row r="13">
          <cell r="C13">
            <v>2008</v>
          </cell>
          <cell r="D13">
            <v>2009</v>
          </cell>
          <cell r="E13">
            <v>2010</v>
          </cell>
          <cell r="F13">
            <v>2011</v>
          </cell>
          <cell r="G13">
            <v>2012</v>
          </cell>
          <cell r="H13">
            <v>2013</v>
          </cell>
          <cell r="I13">
            <v>2014</v>
          </cell>
          <cell r="J13">
            <v>2015</v>
          </cell>
          <cell r="K13">
            <v>2016</v>
          </cell>
          <cell r="L13">
            <v>2017</v>
          </cell>
          <cell r="M13">
            <v>2018</v>
          </cell>
          <cell r="N13">
            <v>2019</v>
          </cell>
          <cell r="O13">
            <v>2020</v>
          </cell>
        </row>
        <row r="14">
          <cell r="B14" t="str">
            <v>Incremental Drought Pricing</v>
          </cell>
          <cell r="G14">
            <v>19.650655021834066</v>
          </cell>
          <cell r="H14">
            <v>20.633187772925769</v>
          </cell>
          <cell r="I14">
            <v>17.480895196506552</v>
          </cell>
          <cell r="J14">
            <v>21.97598253275109</v>
          </cell>
          <cell r="K14">
            <v>25.931659388646285</v>
          </cell>
          <cell r="L14">
            <v>30.340041484716153</v>
          </cell>
          <cell r="M14">
            <v>34.58764729257642</v>
          </cell>
          <cell r="N14">
            <v>36.317029657205246</v>
          </cell>
          <cell r="O14">
            <v>38.132881140065507</v>
          </cell>
        </row>
        <row r="15">
          <cell r="B15" t="str">
            <v>Increase</v>
          </cell>
          <cell r="G15">
            <v>0</v>
          </cell>
          <cell r="H15">
            <v>0.05</v>
          </cell>
          <cell r="I15">
            <v>0.05</v>
          </cell>
          <cell r="J15">
            <v>0.22</v>
          </cell>
          <cell r="K15">
            <v>0.18</v>
          </cell>
          <cell r="L15">
            <v>0.17</v>
          </cell>
          <cell r="M15">
            <v>0.14000000000000001</v>
          </cell>
          <cell r="N15">
            <v>0.05</v>
          </cell>
          <cell r="O15">
            <v>0.05</v>
          </cell>
        </row>
        <row r="17">
          <cell r="B17" t="str">
            <v>Total US Acreage</v>
          </cell>
          <cell r="G17">
            <v>6</v>
          </cell>
          <cell r="H17">
            <v>10</v>
          </cell>
          <cell r="I17">
            <v>20</v>
          </cell>
          <cell r="J17">
            <v>40</v>
          </cell>
          <cell r="K17">
            <v>60</v>
          </cell>
          <cell r="L17">
            <v>60</v>
          </cell>
          <cell r="M17">
            <v>60</v>
          </cell>
          <cell r="N17">
            <v>60</v>
          </cell>
          <cell r="O17">
            <v>60</v>
          </cell>
        </row>
        <row r="18">
          <cell r="B18" t="str">
            <v>Total WorldWide Acreage</v>
          </cell>
          <cell r="G18">
            <v>6</v>
          </cell>
          <cell r="H18">
            <v>10</v>
          </cell>
          <cell r="I18">
            <v>20</v>
          </cell>
          <cell r="J18">
            <v>40</v>
          </cell>
          <cell r="K18">
            <v>60</v>
          </cell>
          <cell r="L18">
            <v>60</v>
          </cell>
          <cell r="M18">
            <v>60</v>
          </cell>
          <cell r="N18">
            <v>60</v>
          </cell>
          <cell r="O18">
            <v>60</v>
          </cell>
        </row>
        <row r="20">
          <cell r="B20" t="str">
            <v>Gross Revenue</v>
          </cell>
          <cell r="G20">
            <v>88.526178415471009</v>
          </cell>
          <cell r="H20">
            <v>158.89458574294824</v>
          </cell>
          <cell r="I20">
            <v>275.21624691945181</v>
          </cell>
          <cell r="J20">
            <v>692.19943564974085</v>
          </cell>
          <cell r="K20">
            <v>1225.5950701951167</v>
          </cell>
          <cell r="L20">
            <v>1434.4166529695249</v>
          </cell>
          <cell r="M20">
            <v>1635.7712641442699</v>
          </cell>
          <cell r="N20">
            <v>1718.1229210984461</v>
          </cell>
          <cell r="O20">
            <v>1804.620315587679</v>
          </cell>
        </row>
        <row r="21">
          <cell r="B21" t="str">
            <v>Monsanto Revenue (60%)</v>
          </cell>
          <cell r="G21">
            <v>53.115707049282605</v>
          </cell>
          <cell r="H21">
            <v>95.33675144576894</v>
          </cell>
          <cell r="I21">
            <v>165.12974815167107</v>
          </cell>
          <cell r="J21">
            <v>415.3196613898445</v>
          </cell>
          <cell r="K21">
            <v>735.35704211707002</v>
          </cell>
          <cell r="L21">
            <v>860.6499917817149</v>
          </cell>
          <cell r="M21">
            <v>981.46275848656194</v>
          </cell>
          <cell r="N21">
            <v>1030.8737526590676</v>
          </cell>
          <cell r="O21">
            <v>1082.7721893526073</v>
          </cell>
        </row>
        <row r="22">
          <cell r="B22" t="str">
            <v>COGS</v>
          </cell>
          <cell r="G22">
            <v>7.4361989868995622</v>
          </cell>
          <cell r="H22">
            <v>13.34714520240766</v>
          </cell>
          <cell r="I22">
            <v>23.118164741233954</v>
          </cell>
          <cell r="J22">
            <v>53.991555980679721</v>
          </cell>
          <cell r="K22">
            <v>91.919630264633611</v>
          </cell>
          <cell r="L22">
            <v>103.2779990138057</v>
          </cell>
          <cell r="M22">
            <v>117.77553101838748</v>
          </cell>
          <cell r="N22">
            <v>123.70485031908811</v>
          </cell>
          <cell r="O22">
            <v>129.9326627223129</v>
          </cell>
        </row>
        <row r="23">
          <cell r="B23" t="str">
            <v>Gross Profit</v>
          </cell>
          <cell r="G23">
            <v>45.679508062383043</v>
          </cell>
          <cell r="H23">
            <v>81.98960624336128</v>
          </cell>
          <cell r="I23">
            <v>142.01158341043711</v>
          </cell>
          <cell r="J23">
            <v>361.32810540916472</v>
          </cell>
          <cell r="K23">
            <v>643.4374118524363</v>
          </cell>
          <cell r="L23">
            <v>757.37199276790909</v>
          </cell>
          <cell r="M23">
            <v>863.68722746817446</v>
          </cell>
          <cell r="N23">
            <v>907.16890233997947</v>
          </cell>
          <cell r="O23">
            <v>952.83952663029436</v>
          </cell>
        </row>
        <row r="24">
          <cell r="B24" t="str">
            <v>Gross Margin</v>
          </cell>
          <cell r="G24">
            <v>0.8600000000000001</v>
          </cell>
          <cell r="H24">
            <v>0.85999999999999988</v>
          </cell>
          <cell r="I24">
            <v>0.86</v>
          </cell>
          <cell r="J24">
            <v>0.87</v>
          </cell>
          <cell r="K24">
            <v>0.875</v>
          </cell>
          <cell r="L24">
            <v>0.88</v>
          </cell>
          <cell r="M24">
            <v>0.88</v>
          </cell>
          <cell r="N24">
            <v>0.88</v>
          </cell>
          <cell r="O24">
            <v>0.88</v>
          </cell>
        </row>
        <row r="25">
          <cell r="G25">
            <v>0.86</v>
          </cell>
          <cell r="H25">
            <v>0.86</v>
          </cell>
          <cell r="I25">
            <v>0.86</v>
          </cell>
          <cell r="J25">
            <v>0.87</v>
          </cell>
          <cell r="K25">
            <v>0.875</v>
          </cell>
          <cell r="L25">
            <v>0.88</v>
          </cell>
          <cell r="M25">
            <v>0.88</v>
          </cell>
          <cell r="N25">
            <v>0.88</v>
          </cell>
          <cell r="O25">
            <v>0.88</v>
          </cell>
        </row>
        <row r="26">
          <cell r="B26" t="str">
            <v>SG&amp;A % of Sales</v>
          </cell>
          <cell r="G26">
            <v>0.17</v>
          </cell>
          <cell r="H26">
            <v>0.17</v>
          </cell>
          <cell r="I26">
            <v>0.16500000000000001</v>
          </cell>
          <cell r="J26">
            <v>0.16</v>
          </cell>
          <cell r="K26">
            <v>0.155</v>
          </cell>
          <cell r="L26">
            <v>0.15</v>
          </cell>
          <cell r="M26">
            <v>0.14499999999999999</v>
          </cell>
          <cell r="N26">
            <v>0.13999999999999999</v>
          </cell>
          <cell r="O26">
            <v>0.13499999999999998</v>
          </cell>
        </row>
        <row r="27">
          <cell r="B27" t="str">
            <v>R&amp;D % of Sales</v>
          </cell>
          <cell r="G27">
            <v>0.1</v>
          </cell>
          <cell r="H27">
            <v>0.09</v>
          </cell>
          <cell r="I27">
            <v>0.09</v>
          </cell>
          <cell r="J27">
            <v>0.09</v>
          </cell>
          <cell r="K27">
            <v>0.09</v>
          </cell>
          <cell r="L27">
            <v>0.09</v>
          </cell>
          <cell r="M27">
            <v>0.09</v>
          </cell>
          <cell r="N27">
            <v>0.09</v>
          </cell>
          <cell r="O27">
            <v>0.09</v>
          </cell>
        </row>
        <row r="28">
          <cell r="B28" t="str">
            <v>SG&amp;A</v>
          </cell>
          <cell r="G28">
            <v>9.0296701983780441</v>
          </cell>
          <cell r="H28">
            <v>16.20724774578072</v>
          </cell>
          <cell r="I28">
            <v>27.246408445025729</v>
          </cell>
          <cell r="J28">
            <v>66.451145822375125</v>
          </cell>
          <cell r="K28">
            <v>113.98034152814586</v>
          </cell>
          <cell r="L28">
            <v>129.09749876725724</v>
          </cell>
          <cell r="M28">
            <v>142.31209998055147</v>
          </cell>
          <cell r="N28">
            <v>144.32232537226943</v>
          </cell>
          <cell r="O28">
            <v>146.17424556260195</v>
          </cell>
        </row>
        <row r="29">
          <cell r="B29" t="str">
            <v>R&amp;D</v>
          </cell>
          <cell r="G29">
            <v>5.3115707049282612</v>
          </cell>
          <cell r="H29">
            <v>8.5803076301192043</v>
          </cell>
          <cell r="I29">
            <v>14.861677333650395</v>
          </cell>
          <cell r="J29">
            <v>37.378769525086007</v>
          </cell>
          <cell r="K29">
            <v>66.182133790536298</v>
          </cell>
          <cell r="L29">
            <v>77.458499260354344</v>
          </cell>
          <cell r="M29">
            <v>88.331648263790569</v>
          </cell>
          <cell r="N29">
            <v>92.778637739316082</v>
          </cell>
          <cell r="O29">
            <v>97.449497041734645</v>
          </cell>
        </row>
        <row r="30">
          <cell r="B30" t="str">
            <v>Operating Profit</v>
          </cell>
          <cell r="G30">
            <v>31.338267159076739</v>
          </cell>
          <cell r="H30">
            <v>57.202050867461352</v>
          </cell>
          <cell r="I30">
            <v>99.903497631760985</v>
          </cell>
          <cell r="J30">
            <v>257.49819006170361</v>
          </cell>
          <cell r="K30">
            <v>463.27493653375421</v>
          </cell>
          <cell r="L30">
            <v>550.81599474029758</v>
          </cell>
          <cell r="M30">
            <v>633.04347922383238</v>
          </cell>
          <cell r="N30">
            <v>670.06793922839393</v>
          </cell>
          <cell r="O30">
            <v>709.21578402595776</v>
          </cell>
        </row>
        <row r="31">
          <cell r="B31" t="str">
            <v>Taxes</v>
          </cell>
          <cell r="G31">
            <v>9.088097476132253</v>
          </cell>
          <cell r="H31">
            <v>16.18818039549156</v>
          </cell>
          <cell r="I31">
            <v>28.972014313210682</v>
          </cell>
          <cell r="J31">
            <v>73.258235072554669</v>
          </cell>
          <cell r="K31">
            <v>135.27628146785622</v>
          </cell>
          <cell r="L31">
            <v>155.60551851413405</v>
          </cell>
          <cell r="M31">
            <v>184.84869593335904</v>
          </cell>
          <cell r="N31">
            <v>191.43841023755215</v>
          </cell>
          <cell r="O31">
            <v>203.54493001544986</v>
          </cell>
        </row>
        <row r="32">
          <cell r="B32" t="str">
            <v>Net Income</v>
          </cell>
          <cell r="G32">
            <v>22.250169682944488</v>
          </cell>
          <cell r="H32">
            <v>41.013870471969796</v>
          </cell>
          <cell r="I32">
            <v>70.931483318550306</v>
          </cell>
          <cell r="J32">
            <v>184.23995498914894</v>
          </cell>
          <cell r="K32">
            <v>327.99865506589799</v>
          </cell>
          <cell r="L32">
            <v>395.21047622616356</v>
          </cell>
          <cell r="M32">
            <v>448.19478329047331</v>
          </cell>
          <cell r="N32">
            <v>478.62952899084178</v>
          </cell>
          <cell r="O32">
            <v>505.67085401050792</v>
          </cell>
        </row>
        <row r="33">
          <cell r="B33" t="str">
            <v>Shares Outstanding</v>
          </cell>
          <cell r="G33">
            <v>540.01981986685632</v>
          </cell>
          <cell r="H33">
            <v>532.90985748061826</v>
          </cell>
          <cell r="I33">
            <v>526.28758665809255</v>
          </cell>
          <cell r="J33">
            <v>520.0788934550003</v>
          </cell>
          <cell r="K33">
            <v>514.39027052012125</v>
          </cell>
          <cell r="L33">
            <v>509.05321088398051</v>
          </cell>
          <cell r="M33">
            <v>504.26395292909609</v>
          </cell>
          <cell r="N33">
            <v>499.87697018558663</v>
          </cell>
          <cell r="O33">
            <v>495.90200028742942</v>
          </cell>
        </row>
        <row r="34">
          <cell r="B34" t="str">
            <v>Accretive EPS</v>
          </cell>
          <cell r="G34">
            <v>4.1202505656978188E-2</v>
          </cell>
          <cell r="H34">
            <v>7.696211638093306E-2</v>
          </cell>
          <cell r="I34">
            <v>0.13477704038007565</v>
          </cell>
          <cell r="J34">
            <v>0.35425385899666445</v>
          </cell>
          <cell r="K34">
            <v>0.63764552687640264</v>
          </cell>
          <cell r="L34">
            <v>0.77636378236348436</v>
          </cell>
          <cell r="M34">
            <v>0.88880987960187074</v>
          </cell>
          <cell r="N34">
            <v>0.95749465876202211</v>
          </cell>
          <cell r="O34">
            <v>1.0196991617646558</v>
          </cell>
        </row>
        <row r="35">
          <cell r="B35" t="str">
            <v>Model EPS</v>
          </cell>
          <cell r="G35">
            <v>5.9197160312166224</v>
          </cell>
          <cell r="H35">
            <v>6.7278990297263608</v>
          </cell>
          <cell r="I35">
            <v>7.2979105974996905</v>
          </cell>
          <cell r="J35">
            <v>8.086358481731498</v>
          </cell>
          <cell r="K35">
            <v>8.6334305752194442</v>
          </cell>
          <cell r="L35">
            <v>9.4063913392402032</v>
          </cell>
          <cell r="M35">
            <v>9.7914627309818378</v>
          </cell>
          <cell r="N35">
            <v>10.414111102199115</v>
          </cell>
          <cell r="O35">
            <v>10.950239758709918</v>
          </cell>
        </row>
        <row r="36">
          <cell r="B36" t="str">
            <v>MON EPS</v>
          </cell>
          <cell r="G36">
            <v>5.9609185368736002</v>
          </cell>
          <cell r="H36">
            <v>6.8048611461072941</v>
          </cell>
          <cell r="I36">
            <v>7.4326876378797664</v>
          </cell>
          <cell r="J36">
            <v>8.4406123407281619</v>
          </cell>
          <cell r="K36">
            <v>9.2710761020958472</v>
          </cell>
          <cell r="L36">
            <v>10.182755121603687</v>
          </cell>
          <cell r="M36">
            <v>10.680272610583708</v>
          </cell>
          <cell r="N36">
            <v>11.371605760961137</v>
          </cell>
          <cell r="O36">
            <v>11.969938920474574</v>
          </cell>
        </row>
        <row r="39">
          <cell r="A39" t="str">
            <v>Bear to Bull:</v>
          </cell>
        </row>
        <row r="40">
          <cell r="B40" t="str">
            <v>Base Case</v>
          </cell>
          <cell r="C40" t="str">
            <v>90M acre opportunity</v>
          </cell>
          <cell r="R40" t="str">
            <v>Irrigated Land: 10M Acres</v>
          </cell>
        </row>
        <row r="41">
          <cell r="AJ41" t="str">
            <v>Year</v>
          </cell>
          <cell r="AK41" t="str">
            <v>Acres</v>
          </cell>
          <cell r="AL41">
            <v>1</v>
          </cell>
        </row>
        <row r="42">
          <cell r="B42" t="str">
            <v>Incremental Drought Tol. Value</v>
          </cell>
          <cell r="G42">
            <v>19.650655021834059</v>
          </cell>
          <cell r="H42">
            <v>20.633187772925762</v>
          </cell>
          <cell r="I42">
            <v>17.480895196506552</v>
          </cell>
          <cell r="J42">
            <v>21.97598253275109</v>
          </cell>
          <cell r="K42">
            <v>25.931659388646285</v>
          </cell>
          <cell r="L42">
            <v>30.340041484716153</v>
          </cell>
          <cell r="M42">
            <v>34.58764729257642</v>
          </cell>
          <cell r="N42">
            <v>36.317029657205246</v>
          </cell>
          <cell r="O42">
            <v>38.132881140065507</v>
          </cell>
          <cell r="S42" t="str">
            <v>Base Case</v>
          </cell>
          <cell r="T42" t="str">
            <v>Calculations</v>
          </cell>
          <cell r="U42" t="str">
            <v>Bull</v>
          </cell>
          <cell r="V42" t="str">
            <v>Bear</v>
          </cell>
          <cell r="AJ42">
            <v>2008</v>
          </cell>
          <cell r="AK42" t="str">
            <v>Pricing</v>
          </cell>
          <cell r="AL42">
            <v>1</v>
          </cell>
        </row>
        <row r="43">
          <cell r="B43" t="str">
            <v>Increase</v>
          </cell>
          <cell r="H43">
            <v>0.05</v>
          </cell>
          <cell r="I43">
            <v>0.05</v>
          </cell>
          <cell r="J43">
            <v>0.22</v>
          </cell>
          <cell r="K43">
            <v>0.18</v>
          </cell>
          <cell r="L43">
            <v>0.17</v>
          </cell>
          <cell r="M43">
            <v>0.14000000000000001</v>
          </cell>
          <cell r="N43">
            <v>0.05</v>
          </cell>
          <cell r="O43">
            <v>0.05</v>
          </cell>
          <cell r="Q43" t="str">
            <v>A</v>
          </cell>
          <cell r="R43" t="str">
            <v>Corn Price (bushel)</v>
          </cell>
          <cell r="S43">
            <v>3</v>
          </cell>
          <cell r="T43" t="str">
            <v>Assumption</v>
          </cell>
          <cell r="U43">
            <v>3</v>
          </cell>
          <cell r="V43">
            <v>3</v>
          </cell>
          <cell r="AJ43">
            <v>2009</v>
          </cell>
          <cell r="AK43" t="str">
            <v>Base</v>
          </cell>
          <cell r="AL43">
            <v>1</v>
          </cell>
        </row>
        <row r="44">
          <cell r="Q44" t="str">
            <v>B</v>
          </cell>
          <cell r="R44" t="str">
            <v>Average Yield Improvement</v>
          </cell>
          <cell r="S44">
            <v>0</v>
          </cell>
          <cell r="T44" t="str">
            <v>Assumption</v>
          </cell>
          <cell r="U44">
            <v>0</v>
          </cell>
          <cell r="V44">
            <v>0</v>
          </cell>
          <cell r="AJ44">
            <v>2010</v>
          </cell>
          <cell r="AK44" t="str">
            <v>Bull</v>
          </cell>
          <cell r="AL44">
            <v>2</v>
          </cell>
        </row>
        <row r="45">
          <cell r="B45" t="str">
            <v>Drought Tolerant</v>
          </cell>
          <cell r="Q45" t="str">
            <v>C</v>
          </cell>
          <cell r="R45" t="str">
            <v>Farmer Productivity Revenue</v>
          </cell>
          <cell r="S45">
            <v>0</v>
          </cell>
          <cell r="T45" t="str">
            <v>A * B</v>
          </cell>
          <cell r="U45">
            <v>0</v>
          </cell>
          <cell r="V45">
            <v>0</v>
          </cell>
          <cell r="AJ45">
            <v>2012</v>
          </cell>
          <cell r="AK45" t="str">
            <v>Bear</v>
          </cell>
          <cell r="AL45">
            <v>3</v>
          </cell>
        </row>
        <row r="46">
          <cell r="B46" t="str">
            <v>Brazil</v>
          </cell>
          <cell r="G46">
            <v>0</v>
          </cell>
          <cell r="H46">
            <v>0</v>
          </cell>
          <cell r="I46">
            <v>0</v>
          </cell>
          <cell r="J46">
            <v>0</v>
          </cell>
          <cell r="K46">
            <v>0</v>
          </cell>
          <cell r="L46">
            <v>0</v>
          </cell>
          <cell r="M46">
            <v>0</v>
          </cell>
          <cell r="N46">
            <v>0</v>
          </cell>
          <cell r="O46">
            <v>0</v>
          </cell>
          <cell r="Q46" t="str">
            <v>D</v>
          </cell>
          <cell r="R46" t="str">
            <v>Trait Retail Price</v>
          </cell>
          <cell r="S46">
            <v>10.917030567685588</v>
          </cell>
          <cell r="T46" t="str">
            <v>K / J</v>
          </cell>
          <cell r="U46">
            <v>32.751091703056765</v>
          </cell>
          <cell r="V46">
            <v>10.917030567685588</v>
          </cell>
          <cell r="AJ46">
            <v>2013</v>
          </cell>
        </row>
        <row r="47">
          <cell r="B47" t="str">
            <v>Argentina</v>
          </cell>
          <cell r="G47">
            <v>0</v>
          </cell>
          <cell r="H47">
            <v>0</v>
          </cell>
          <cell r="I47">
            <v>0</v>
          </cell>
          <cell r="J47">
            <v>0</v>
          </cell>
          <cell r="K47">
            <v>0</v>
          </cell>
          <cell r="L47">
            <v>0</v>
          </cell>
          <cell r="M47">
            <v>0</v>
          </cell>
          <cell r="N47">
            <v>0</v>
          </cell>
          <cell r="O47">
            <v>0</v>
          </cell>
          <cell r="Q47" t="str">
            <v>E</v>
          </cell>
          <cell r="R47" t="str">
            <v>Trait Gross Profit</v>
          </cell>
          <cell r="S47">
            <v>-10.917030567685588</v>
          </cell>
          <cell r="T47" t="str">
            <v>C - D</v>
          </cell>
          <cell r="U47">
            <v>-32.751091703056765</v>
          </cell>
          <cell r="V47">
            <v>-10.917030567685588</v>
          </cell>
        </row>
        <row r="48">
          <cell r="B48" t="str">
            <v>US</v>
          </cell>
          <cell r="G48">
            <v>6</v>
          </cell>
          <cell r="H48">
            <v>10</v>
          </cell>
          <cell r="I48">
            <v>20</v>
          </cell>
          <cell r="J48">
            <v>40</v>
          </cell>
          <cell r="K48">
            <v>60</v>
          </cell>
          <cell r="L48">
            <v>60</v>
          </cell>
          <cell r="M48">
            <v>60</v>
          </cell>
          <cell r="N48">
            <v>60</v>
          </cell>
          <cell r="O48">
            <v>60</v>
          </cell>
          <cell r="Q48" t="str">
            <v>F</v>
          </cell>
          <cell r="R48" t="str">
            <v>Average Input Cost Savings</v>
          </cell>
          <cell r="S48">
            <v>25</v>
          </cell>
          <cell r="T48" t="str">
            <v>Assumption</v>
          </cell>
          <cell r="U48">
            <v>75</v>
          </cell>
          <cell r="V48">
            <v>25</v>
          </cell>
        </row>
        <row r="49">
          <cell r="Q49" t="str">
            <v>G</v>
          </cell>
          <cell r="R49" t="str">
            <v>Total Farmer Gross Profit</v>
          </cell>
          <cell r="S49">
            <v>14.082969432314412</v>
          </cell>
          <cell r="T49" t="str">
            <v>E + F</v>
          </cell>
          <cell r="U49">
            <v>42.248908296943235</v>
          </cell>
          <cell r="V49">
            <v>14.082969432314412</v>
          </cell>
        </row>
        <row r="50">
          <cell r="B50" t="str">
            <v>Bull Case</v>
          </cell>
        </row>
        <row r="51">
          <cell r="Q51" t="str">
            <v>H</v>
          </cell>
          <cell r="R51" t="str">
            <v>Trait Retail Price</v>
          </cell>
          <cell r="S51">
            <v>10.917030567685591</v>
          </cell>
          <cell r="T51" t="str">
            <v>K / J</v>
          </cell>
          <cell r="U51">
            <v>32.751091703056773</v>
          </cell>
          <cell r="V51">
            <v>10.917030567685588</v>
          </cell>
        </row>
        <row r="52">
          <cell r="B52" t="str">
            <v>Incremental Drought Tol. Value</v>
          </cell>
          <cell r="G52">
            <v>26.200873362445421</v>
          </cell>
          <cell r="H52">
            <v>26.200873362445421</v>
          </cell>
          <cell r="I52">
            <v>26.200873362445421</v>
          </cell>
          <cell r="J52">
            <v>32.751091703056773</v>
          </cell>
          <cell r="K52">
            <v>39.301310043668117</v>
          </cell>
          <cell r="L52">
            <v>49.126637554585166</v>
          </cell>
          <cell r="M52">
            <v>58.951965065502208</v>
          </cell>
          <cell r="N52">
            <v>73.689956331877781</v>
          </cell>
          <cell r="O52">
            <v>88.427947598253354</v>
          </cell>
          <cell r="Q52" t="str">
            <v>J</v>
          </cell>
          <cell r="R52" t="str">
            <v>Retail Capture</v>
          </cell>
          <cell r="S52">
            <v>0.75</v>
          </cell>
          <cell r="T52" t="str">
            <v>Assumption</v>
          </cell>
          <cell r="U52">
            <v>0.75</v>
          </cell>
          <cell r="V52">
            <v>0.75</v>
          </cell>
        </row>
        <row r="53">
          <cell r="B53" t="str">
            <v>Increase</v>
          </cell>
          <cell r="G53">
            <v>0</v>
          </cell>
          <cell r="H53">
            <v>0</v>
          </cell>
          <cell r="I53">
            <v>0</v>
          </cell>
          <cell r="J53">
            <v>0.24999999999999978</v>
          </cell>
          <cell r="K53">
            <v>0.19999999999999973</v>
          </cell>
          <cell r="L53">
            <v>0.24999999999999978</v>
          </cell>
          <cell r="M53">
            <v>0.19999999999999973</v>
          </cell>
          <cell r="N53">
            <v>0.24999999999999978</v>
          </cell>
          <cell r="O53">
            <v>0.19999999999999973</v>
          </cell>
          <cell r="Q53" t="str">
            <v>K</v>
          </cell>
          <cell r="R53" t="str">
            <v>Monsanto Revenue</v>
          </cell>
          <cell r="S53">
            <v>8.1877729257641931</v>
          </cell>
          <cell r="T53" t="str">
            <v>L + M</v>
          </cell>
          <cell r="U53">
            <v>24.563318777292579</v>
          </cell>
          <cell r="V53">
            <v>8.1877729257641931</v>
          </cell>
        </row>
        <row r="54">
          <cell r="Q54" t="str">
            <v>L</v>
          </cell>
          <cell r="R54" t="str">
            <v>Monsanto COGS</v>
          </cell>
          <cell r="S54">
            <v>1.1462882096069871</v>
          </cell>
          <cell r="T54" t="str">
            <v>K * (1 - N)</v>
          </cell>
          <cell r="U54">
            <v>3.4388646288209612</v>
          </cell>
          <cell r="V54">
            <v>1.1462882096069871</v>
          </cell>
        </row>
        <row r="55">
          <cell r="B55" t="str">
            <v>Drought Tolerant</v>
          </cell>
          <cell r="Q55" t="str">
            <v>M</v>
          </cell>
          <cell r="R55" t="str">
            <v>Monsanto Gross Profit</v>
          </cell>
          <cell r="S55">
            <v>7.0414847161572061</v>
          </cell>
          <cell r="T55" t="str">
            <v>G * (3/2) * (1/3)</v>
          </cell>
          <cell r="U55">
            <v>21.124454148471617</v>
          </cell>
          <cell r="V55">
            <v>7.0414847161572061</v>
          </cell>
        </row>
        <row r="56">
          <cell r="B56" t="str">
            <v>Brazil</v>
          </cell>
          <cell r="G56">
            <v>5</v>
          </cell>
          <cell r="H56">
            <v>12</v>
          </cell>
          <cell r="I56">
            <v>22</v>
          </cell>
          <cell r="J56">
            <v>30</v>
          </cell>
          <cell r="K56">
            <v>30</v>
          </cell>
          <cell r="L56">
            <v>30</v>
          </cell>
          <cell r="M56">
            <v>30</v>
          </cell>
          <cell r="N56">
            <v>30</v>
          </cell>
          <cell r="O56">
            <v>30</v>
          </cell>
          <cell r="Q56" t="str">
            <v>N</v>
          </cell>
          <cell r="R56" t="str">
            <v>Monsanto Gross Profit Margin</v>
          </cell>
          <cell r="S56">
            <v>0.86</v>
          </cell>
          <cell r="T56" t="str">
            <v>Assumption</v>
          </cell>
          <cell r="U56">
            <v>0.86</v>
          </cell>
          <cell r="V56">
            <v>0.86</v>
          </cell>
        </row>
        <row r="57">
          <cell r="B57" t="str">
            <v>Argentina</v>
          </cell>
          <cell r="G57">
            <v>3</v>
          </cell>
          <cell r="H57">
            <v>5</v>
          </cell>
          <cell r="I57">
            <v>7</v>
          </cell>
          <cell r="J57">
            <v>8</v>
          </cell>
          <cell r="K57">
            <v>8</v>
          </cell>
          <cell r="L57">
            <v>8</v>
          </cell>
          <cell r="M57">
            <v>8</v>
          </cell>
          <cell r="N57">
            <v>8</v>
          </cell>
          <cell r="O57">
            <v>8</v>
          </cell>
        </row>
        <row r="58">
          <cell r="B58" t="str">
            <v>US</v>
          </cell>
          <cell r="G58">
            <v>6</v>
          </cell>
          <cell r="H58">
            <v>10</v>
          </cell>
          <cell r="I58">
            <v>30</v>
          </cell>
          <cell r="J58">
            <v>50</v>
          </cell>
          <cell r="K58">
            <v>65</v>
          </cell>
          <cell r="L58">
            <v>65</v>
          </cell>
          <cell r="M58">
            <v>65</v>
          </cell>
          <cell r="N58">
            <v>65</v>
          </cell>
          <cell r="O58">
            <v>65</v>
          </cell>
          <cell r="R58" t="str">
            <v>Dryland: 10M Acres - Initial Launch</v>
          </cell>
        </row>
        <row r="60">
          <cell r="B60" t="str">
            <v>Bear Case</v>
          </cell>
          <cell r="S60" t="str">
            <v>Base Case</v>
          </cell>
          <cell r="T60" t="str">
            <v>Calculations</v>
          </cell>
          <cell r="U60" t="str">
            <v>Bull</v>
          </cell>
          <cell r="V60" t="str">
            <v>Bear</v>
          </cell>
        </row>
        <row r="61">
          <cell r="Q61" t="str">
            <v>A</v>
          </cell>
          <cell r="R61" t="str">
            <v>Corn Price (bushel)</v>
          </cell>
          <cell r="S61">
            <v>3</v>
          </cell>
          <cell r="T61" t="str">
            <v>Assumption</v>
          </cell>
          <cell r="U61">
            <v>3</v>
          </cell>
          <cell r="V61">
            <v>3</v>
          </cell>
        </row>
        <row r="62">
          <cell r="B62" t="str">
            <v>Incremental Drought Tol. Value</v>
          </cell>
          <cell r="G62">
            <v>13.10043668122271</v>
          </cell>
          <cell r="H62">
            <v>13.10043668122271</v>
          </cell>
          <cell r="I62">
            <v>13.10043668122271</v>
          </cell>
          <cell r="J62">
            <v>13.10043668122271</v>
          </cell>
          <cell r="K62">
            <v>13.10043668122271</v>
          </cell>
          <cell r="L62">
            <v>13.10043668122271</v>
          </cell>
          <cell r="M62">
            <v>13.10043668122271</v>
          </cell>
          <cell r="N62">
            <v>13.10043668122271</v>
          </cell>
          <cell r="O62">
            <v>13.10043668122271</v>
          </cell>
          <cell r="Q62" t="str">
            <v>B</v>
          </cell>
          <cell r="R62" t="str">
            <v>Average Yield Improvement</v>
          </cell>
          <cell r="S62">
            <v>15</v>
          </cell>
          <cell r="T62" t="str">
            <v>Assumption</v>
          </cell>
          <cell r="U62">
            <v>20</v>
          </cell>
          <cell r="V62">
            <v>10</v>
          </cell>
        </row>
        <row r="63">
          <cell r="B63" t="str">
            <v>Increase</v>
          </cell>
          <cell r="G63">
            <v>0</v>
          </cell>
          <cell r="H63">
            <v>0</v>
          </cell>
          <cell r="I63">
            <v>0</v>
          </cell>
          <cell r="J63">
            <v>0</v>
          </cell>
          <cell r="K63">
            <v>0</v>
          </cell>
          <cell r="L63">
            <v>0</v>
          </cell>
          <cell r="M63">
            <v>0</v>
          </cell>
          <cell r="N63">
            <v>0</v>
          </cell>
          <cell r="O63">
            <v>0</v>
          </cell>
          <cell r="Q63" t="str">
            <v>C</v>
          </cell>
          <cell r="R63" t="str">
            <v>Farmer Productivity Revenue</v>
          </cell>
          <cell r="S63">
            <v>45</v>
          </cell>
          <cell r="T63" t="str">
            <v>A * B</v>
          </cell>
          <cell r="U63">
            <v>60</v>
          </cell>
          <cell r="V63">
            <v>30</v>
          </cell>
        </row>
        <row r="64">
          <cell r="Q64" t="str">
            <v>D</v>
          </cell>
          <cell r="R64" t="str">
            <v>Trait Retail Price</v>
          </cell>
          <cell r="S64">
            <v>19.650655021834059</v>
          </cell>
          <cell r="T64" t="str">
            <v>K / J</v>
          </cell>
          <cell r="U64">
            <v>26.200873362445421</v>
          </cell>
          <cell r="V64">
            <v>13.10043668122271</v>
          </cell>
        </row>
        <row r="65">
          <cell r="B65" t="str">
            <v>Drought Tolerant</v>
          </cell>
          <cell r="Q65" t="str">
            <v>E</v>
          </cell>
          <cell r="R65" t="str">
            <v>Trait Gross Profit</v>
          </cell>
          <cell r="S65">
            <v>25.349344978165941</v>
          </cell>
          <cell r="T65" t="str">
            <v>C - D</v>
          </cell>
          <cell r="U65">
            <v>33.799126637554579</v>
          </cell>
          <cell r="V65">
            <v>16.89956331877729</v>
          </cell>
        </row>
        <row r="66">
          <cell r="B66" t="str">
            <v>Brazil</v>
          </cell>
          <cell r="G66">
            <v>0</v>
          </cell>
          <cell r="H66">
            <v>0</v>
          </cell>
          <cell r="I66">
            <v>0</v>
          </cell>
          <cell r="J66">
            <v>0</v>
          </cell>
          <cell r="K66">
            <v>0</v>
          </cell>
          <cell r="L66">
            <v>0</v>
          </cell>
          <cell r="M66">
            <v>0</v>
          </cell>
          <cell r="N66">
            <v>0</v>
          </cell>
          <cell r="O66">
            <v>0</v>
          </cell>
          <cell r="Q66" t="str">
            <v>F</v>
          </cell>
          <cell r="R66" t="str">
            <v>Average Input Cost Savings</v>
          </cell>
          <cell r="S66">
            <v>0</v>
          </cell>
          <cell r="T66" t="str">
            <v>Assumption</v>
          </cell>
          <cell r="U66">
            <v>0</v>
          </cell>
          <cell r="V66">
            <v>0</v>
          </cell>
        </row>
        <row r="67">
          <cell r="B67" t="str">
            <v>Argentina</v>
          </cell>
          <cell r="G67">
            <v>0</v>
          </cell>
          <cell r="H67">
            <v>0</v>
          </cell>
          <cell r="I67">
            <v>0</v>
          </cell>
          <cell r="J67">
            <v>0</v>
          </cell>
          <cell r="K67">
            <v>0</v>
          </cell>
          <cell r="L67">
            <v>0</v>
          </cell>
          <cell r="M67">
            <v>0</v>
          </cell>
          <cell r="N67">
            <v>0</v>
          </cell>
          <cell r="O67">
            <v>0</v>
          </cell>
          <cell r="Q67" t="str">
            <v>G</v>
          </cell>
          <cell r="R67" t="str">
            <v>Total Farmer Gross Profit</v>
          </cell>
          <cell r="S67">
            <v>25.349344978165941</v>
          </cell>
          <cell r="T67" t="str">
            <v>E + F</v>
          </cell>
          <cell r="U67">
            <v>33.799126637554579</v>
          </cell>
          <cell r="V67">
            <v>16.89956331877729</v>
          </cell>
        </row>
        <row r="68">
          <cell r="B68" t="str">
            <v>US</v>
          </cell>
          <cell r="G68">
            <v>0</v>
          </cell>
          <cell r="H68">
            <v>4</v>
          </cell>
          <cell r="I68">
            <v>9</v>
          </cell>
          <cell r="J68">
            <v>25</v>
          </cell>
          <cell r="K68">
            <v>35</v>
          </cell>
          <cell r="L68">
            <v>45</v>
          </cell>
          <cell r="M68">
            <v>45</v>
          </cell>
          <cell r="N68">
            <v>45</v>
          </cell>
          <cell r="O68">
            <v>45</v>
          </cell>
        </row>
        <row r="69">
          <cell r="Q69" t="str">
            <v>H</v>
          </cell>
          <cell r="R69" t="str">
            <v>Trait Retail Price</v>
          </cell>
          <cell r="S69">
            <v>19.650655021834059</v>
          </cell>
          <cell r="T69" t="str">
            <v>K / J</v>
          </cell>
          <cell r="U69">
            <v>26.20087336244541</v>
          </cell>
          <cell r="V69">
            <v>13.10043668122271</v>
          </cell>
        </row>
        <row r="70">
          <cell r="Q70" t="str">
            <v>J</v>
          </cell>
          <cell r="R70" t="str">
            <v>Retail Capture</v>
          </cell>
          <cell r="S70">
            <v>0.75</v>
          </cell>
          <cell r="T70" t="str">
            <v>Assumption</v>
          </cell>
          <cell r="U70">
            <v>0.75</v>
          </cell>
          <cell r="V70">
            <v>0.75</v>
          </cell>
        </row>
        <row r="71">
          <cell r="Q71" t="str">
            <v>K</v>
          </cell>
          <cell r="R71" t="str">
            <v>Monsanto Revenue</v>
          </cell>
          <cell r="S71">
            <v>14.737991266375547</v>
          </cell>
          <cell r="T71" t="str">
            <v>L + M</v>
          </cell>
          <cell r="U71">
            <v>19.650655021834059</v>
          </cell>
          <cell r="V71">
            <v>9.8253275109170328</v>
          </cell>
        </row>
        <row r="72">
          <cell r="Q72" t="str">
            <v>L</v>
          </cell>
          <cell r="R72" t="str">
            <v>Monsanto COGS</v>
          </cell>
          <cell r="S72">
            <v>2.0633187772925767</v>
          </cell>
          <cell r="T72" t="str">
            <v>K * (1 - N)</v>
          </cell>
          <cell r="U72">
            <v>2.7510917030567685</v>
          </cell>
          <cell r="V72">
            <v>1.3755458515283847</v>
          </cell>
        </row>
        <row r="73">
          <cell r="Q73" t="str">
            <v>M</v>
          </cell>
          <cell r="R73" t="str">
            <v>Monsanto Gross Profit</v>
          </cell>
          <cell r="S73">
            <v>12.674672489082971</v>
          </cell>
          <cell r="T73" t="str">
            <v>G * (3/2) * (1/3)</v>
          </cell>
          <cell r="U73">
            <v>16.89956331877729</v>
          </cell>
          <cell r="V73">
            <v>8.4497816593886448</v>
          </cell>
        </row>
        <row r="74">
          <cell r="Q74" t="str">
            <v>N</v>
          </cell>
          <cell r="R74" t="str">
            <v>Monsanto Gross Profit Margin</v>
          </cell>
          <cell r="S74">
            <v>0.86</v>
          </cell>
          <cell r="T74" t="str">
            <v>Assumption</v>
          </cell>
          <cell r="U74">
            <v>0.86</v>
          </cell>
          <cell r="V74">
            <v>0.86</v>
          </cell>
        </row>
        <row r="76">
          <cell r="R76" t="str">
            <v>Stable Land: 70M Acres</v>
          </cell>
        </row>
        <row r="78">
          <cell r="S78" t="str">
            <v>Base Case</v>
          </cell>
          <cell r="T78" t="str">
            <v>Calculations</v>
          </cell>
          <cell r="U78" t="str">
            <v>Bull</v>
          </cell>
          <cell r="V78" t="str">
            <v>Bear</v>
          </cell>
        </row>
        <row r="79">
          <cell r="Q79" t="str">
            <v>A</v>
          </cell>
          <cell r="R79" t="str">
            <v>Corn Price (bushel)</v>
          </cell>
          <cell r="S79">
            <v>3</v>
          </cell>
          <cell r="T79" t="str">
            <v>Assumption</v>
          </cell>
          <cell r="U79">
            <v>3</v>
          </cell>
          <cell r="V79">
            <v>3</v>
          </cell>
        </row>
        <row r="80">
          <cell r="Q80" t="str">
            <v>B</v>
          </cell>
          <cell r="R80" t="str">
            <v>Average Yield Improvement</v>
          </cell>
          <cell r="S80">
            <v>7.5</v>
          </cell>
          <cell r="T80" t="str">
            <v>Assumption</v>
          </cell>
          <cell r="U80">
            <v>10</v>
          </cell>
          <cell r="V80">
            <v>3</v>
          </cell>
        </row>
        <row r="81">
          <cell r="Q81" t="str">
            <v>C</v>
          </cell>
          <cell r="R81" t="str">
            <v>Farmer Productivity Revenue</v>
          </cell>
          <cell r="S81">
            <v>22.5</v>
          </cell>
          <cell r="T81" t="str">
            <v>A * B</v>
          </cell>
          <cell r="U81">
            <v>30</v>
          </cell>
          <cell r="V81">
            <v>9</v>
          </cell>
        </row>
        <row r="82">
          <cell r="Q82" t="str">
            <v>D</v>
          </cell>
          <cell r="R82" t="str">
            <v>Trait Retail Price</v>
          </cell>
          <cell r="S82">
            <v>16.375545851528386</v>
          </cell>
          <cell r="T82" t="str">
            <v>K / J</v>
          </cell>
          <cell r="U82">
            <v>26.200873362445421</v>
          </cell>
          <cell r="V82">
            <v>8.2969432314410465</v>
          </cell>
        </row>
        <row r="83">
          <cell r="Q83" t="str">
            <v>E</v>
          </cell>
          <cell r="R83" t="str">
            <v>Trait Gross Profit</v>
          </cell>
          <cell r="S83">
            <v>6.1244541484716137</v>
          </cell>
          <cell r="T83" t="str">
            <v>C - D</v>
          </cell>
          <cell r="U83">
            <v>3.7991266375545791</v>
          </cell>
          <cell r="V83">
            <v>0.70305676855895349</v>
          </cell>
        </row>
        <row r="84">
          <cell r="Q84" t="str">
            <v>F</v>
          </cell>
          <cell r="R84" t="str">
            <v>Average Input Cost Savings</v>
          </cell>
          <cell r="S84">
            <v>15</v>
          </cell>
          <cell r="T84" t="str">
            <v>Assumption</v>
          </cell>
          <cell r="U84">
            <v>30</v>
          </cell>
          <cell r="V84">
            <v>10</v>
          </cell>
        </row>
        <row r="85">
          <cell r="Q85" t="str">
            <v>G</v>
          </cell>
          <cell r="R85" t="str">
            <v>Total Farmer Gross Profit</v>
          </cell>
          <cell r="S85">
            <v>21.124454148471614</v>
          </cell>
          <cell r="T85" t="str">
            <v>E + F</v>
          </cell>
          <cell r="U85">
            <v>33.799126637554579</v>
          </cell>
          <cell r="V85">
            <v>10.703056768558953</v>
          </cell>
        </row>
        <row r="87">
          <cell r="Q87" t="str">
            <v>H</v>
          </cell>
          <cell r="R87" t="str">
            <v>Trait Retail Price</v>
          </cell>
          <cell r="S87">
            <v>16.375545851528386</v>
          </cell>
          <cell r="T87" t="str">
            <v>K / J</v>
          </cell>
          <cell r="U87">
            <v>26.200873362445421</v>
          </cell>
          <cell r="V87">
            <v>8.2969432314410483</v>
          </cell>
        </row>
        <row r="88">
          <cell r="Q88" t="str">
            <v>J</v>
          </cell>
          <cell r="R88" t="str">
            <v>Retail Capture</v>
          </cell>
          <cell r="S88">
            <v>0.75</v>
          </cell>
          <cell r="T88" t="str">
            <v>Assumption</v>
          </cell>
          <cell r="U88">
            <v>0.75</v>
          </cell>
          <cell r="V88">
            <v>0.75</v>
          </cell>
        </row>
        <row r="89">
          <cell r="Q89" t="str">
            <v>K</v>
          </cell>
          <cell r="R89" t="str">
            <v>Monsanto Revenue</v>
          </cell>
          <cell r="S89">
            <v>12.28165938864629</v>
          </cell>
          <cell r="T89" t="str">
            <v>L + M</v>
          </cell>
          <cell r="U89">
            <v>19.650655021834059</v>
          </cell>
          <cell r="V89">
            <v>6.2227074235807889</v>
          </cell>
        </row>
        <row r="90">
          <cell r="Q90" t="str">
            <v>L</v>
          </cell>
          <cell r="R90" t="str">
            <v>Monsanto COGS</v>
          </cell>
          <cell r="S90">
            <v>1.7194323144104806</v>
          </cell>
          <cell r="T90" t="str">
            <v>K * (1 - N)</v>
          </cell>
          <cell r="U90">
            <v>2.7510917030567685</v>
          </cell>
          <cell r="V90">
            <v>0.87117903930131058</v>
          </cell>
        </row>
        <row r="91">
          <cell r="Q91" t="str">
            <v>M</v>
          </cell>
          <cell r="R91" t="str">
            <v>Monsanto Gross Profit</v>
          </cell>
          <cell r="S91">
            <v>10.562227074235807</v>
          </cell>
          <cell r="T91" t="str">
            <v>G * (3/2) * (1/3)</v>
          </cell>
          <cell r="U91">
            <v>16.89956331877729</v>
          </cell>
          <cell r="V91">
            <v>5.3515283842794767</v>
          </cell>
        </row>
        <row r="92">
          <cell r="Q92" t="str">
            <v>N</v>
          </cell>
          <cell r="R92" t="str">
            <v>Monsanto Gross Profit Margin</v>
          </cell>
          <cell r="S92">
            <v>0.86</v>
          </cell>
          <cell r="T92" t="str">
            <v>Assumption</v>
          </cell>
          <cell r="U92">
            <v>0.86</v>
          </cell>
          <cell r="V92">
            <v>0.86</v>
          </cell>
        </row>
        <row r="94">
          <cell r="R94" t="str">
            <v>Incremental Drought Tolerant Value</v>
          </cell>
        </row>
        <row r="96">
          <cell r="S96" t="str">
            <v>Base Case</v>
          </cell>
          <cell r="T96" t="str">
            <v>Calculations</v>
          </cell>
          <cell r="U96" t="str">
            <v>Bull</v>
          </cell>
          <cell r="V96" t="str">
            <v>Bear</v>
          </cell>
        </row>
        <row r="97">
          <cell r="Q97" t="str">
            <v>A</v>
          </cell>
          <cell r="R97" t="str">
            <v>Corn Price (bushel)</v>
          </cell>
          <cell r="S97">
            <v>3</v>
          </cell>
          <cell r="T97" t="str">
            <v>Assumption</v>
          </cell>
          <cell r="U97">
            <v>3</v>
          </cell>
          <cell r="V97">
            <v>3</v>
          </cell>
        </row>
        <row r="98">
          <cell r="Q98" t="str">
            <v>B</v>
          </cell>
          <cell r="R98" t="str">
            <v>Average Yield Improvement</v>
          </cell>
          <cell r="S98">
            <v>15</v>
          </cell>
          <cell r="T98" t="str">
            <v>Assumption</v>
          </cell>
          <cell r="U98">
            <v>20</v>
          </cell>
          <cell r="V98">
            <v>10</v>
          </cell>
        </row>
        <row r="99">
          <cell r="Q99" t="str">
            <v>C</v>
          </cell>
          <cell r="R99" t="str">
            <v>Farmer Productivity Revenue</v>
          </cell>
          <cell r="S99">
            <v>45</v>
          </cell>
          <cell r="T99" t="str">
            <v>A * B</v>
          </cell>
          <cell r="U99">
            <v>60</v>
          </cell>
          <cell r="V99">
            <v>30</v>
          </cell>
        </row>
        <row r="100">
          <cell r="Q100" t="str">
            <v>D</v>
          </cell>
          <cell r="R100" t="str">
            <v>Trait Retail Price</v>
          </cell>
          <cell r="S100">
            <v>19.650655021834059</v>
          </cell>
          <cell r="T100" t="str">
            <v>K / J</v>
          </cell>
          <cell r="U100">
            <v>26.200873362445421</v>
          </cell>
          <cell r="V100">
            <v>13.10043668122271</v>
          </cell>
        </row>
        <row r="101">
          <cell r="Q101" t="str">
            <v>E</v>
          </cell>
          <cell r="R101" t="str">
            <v>Trait Gross Profit</v>
          </cell>
          <cell r="S101">
            <v>25.349344978165941</v>
          </cell>
          <cell r="T101" t="str">
            <v>C - D</v>
          </cell>
          <cell r="U101">
            <v>33.799126637554579</v>
          </cell>
          <cell r="V101">
            <v>16.89956331877729</v>
          </cell>
        </row>
        <row r="102">
          <cell r="Q102" t="str">
            <v>F</v>
          </cell>
          <cell r="R102" t="str">
            <v>Average Input Cost Savings</v>
          </cell>
          <cell r="S102">
            <v>0</v>
          </cell>
          <cell r="T102" t="str">
            <v>Assumption</v>
          </cell>
          <cell r="U102">
            <v>0</v>
          </cell>
          <cell r="V102">
            <v>0</v>
          </cell>
        </row>
        <row r="103">
          <cell r="Q103" t="str">
            <v>G</v>
          </cell>
          <cell r="R103" t="str">
            <v>Total Farmer Gross Profit</v>
          </cell>
          <cell r="S103">
            <v>25.349344978165941</v>
          </cell>
          <cell r="T103" t="str">
            <v>E + F</v>
          </cell>
          <cell r="U103">
            <v>33.799126637554579</v>
          </cell>
          <cell r="V103">
            <v>16.89956331877729</v>
          </cell>
        </row>
        <row r="105">
          <cell r="Q105" t="str">
            <v>H</v>
          </cell>
          <cell r="R105" t="str">
            <v>Trait Retail Price</v>
          </cell>
          <cell r="S105">
            <v>19.650655021834059</v>
          </cell>
          <cell r="T105" t="str">
            <v>K / J</v>
          </cell>
          <cell r="U105">
            <v>26.200873362445421</v>
          </cell>
          <cell r="V105">
            <v>13.10043668122271</v>
          </cell>
        </row>
        <row r="106">
          <cell r="Q106" t="str">
            <v>J</v>
          </cell>
          <cell r="R106" t="str">
            <v>Retail Capture</v>
          </cell>
          <cell r="S106">
            <v>0.75</v>
          </cell>
          <cell r="T106" t="str">
            <v>Assumption</v>
          </cell>
          <cell r="U106">
            <v>0.75</v>
          </cell>
          <cell r="V106">
            <v>0.75</v>
          </cell>
        </row>
        <row r="107">
          <cell r="Q107" t="str">
            <v>K</v>
          </cell>
          <cell r="R107" t="str">
            <v>Monsanto Revenue</v>
          </cell>
          <cell r="S107">
            <v>14.737991266375547</v>
          </cell>
          <cell r="T107" t="str">
            <v>L + M</v>
          </cell>
          <cell r="U107">
            <v>19.650655021834059</v>
          </cell>
          <cell r="V107">
            <v>9.8253275109170293</v>
          </cell>
        </row>
        <row r="108">
          <cell r="Q108" t="str">
            <v>L</v>
          </cell>
          <cell r="R108" t="str">
            <v>Monsanto COGS</v>
          </cell>
          <cell r="S108">
            <v>2.0633187772925767</v>
          </cell>
          <cell r="T108" t="str">
            <v>K * (1 - N)</v>
          </cell>
          <cell r="U108">
            <v>2.7510917030567685</v>
          </cell>
          <cell r="V108">
            <v>1.3755458515283843</v>
          </cell>
        </row>
        <row r="109">
          <cell r="Q109" t="str">
            <v>M</v>
          </cell>
          <cell r="R109" t="str">
            <v>Monsanto Gross Profit</v>
          </cell>
          <cell r="S109">
            <v>12.674672489082971</v>
          </cell>
          <cell r="T109" t="str">
            <v>G * (3/2) * (1/3)</v>
          </cell>
          <cell r="U109">
            <v>16.89956331877729</v>
          </cell>
          <cell r="V109">
            <v>8.4497816593886448</v>
          </cell>
        </row>
        <row r="110">
          <cell r="Q110" t="str">
            <v>N</v>
          </cell>
          <cell r="R110" t="str">
            <v>Monsanto Gross Profit Margin</v>
          </cell>
          <cell r="S110">
            <v>0.86</v>
          </cell>
          <cell r="T110" t="str">
            <v>Assumption</v>
          </cell>
          <cell r="U110">
            <v>0.86</v>
          </cell>
          <cell r="V110">
            <v>0.86</v>
          </cell>
        </row>
      </sheetData>
      <sheetData sheetId="9">
        <row r="1">
          <cell r="A1" t="str">
            <v>Higher Yielding Corn</v>
          </cell>
          <cell r="G1" t="str">
            <v>7-10% increase</v>
          </cell>
        </row>
        <row r="2">
          <cell r="A2" t="str">
            <v>PHASE 2</v>
          </cell>
          <cell r="D2" t="str">
            <v>Base</v>
          </cell>
          <cell r="E2" t="str">
            <v>Acres</v>
          </cell>
        </row>
        <row r="3">
          <cell r="A3" t="str">
            <v>Assume Launch is</v>
          </cell>
          <cell r="D3" t="str">
            <v>Base</v>
          </cell>
          <cell r="E3" t="str">
            <v>Pricing</v>
          </cell>
        </row>
        <row r="4">
          <cell r="B4">
            <v>2013</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Higher Yielding Corn Acres</v>
          </cell>
        </row>
        <row r="7">
          <cell r="B7" t="str">
            <v>Brazil</v>
          </cell>
          <cell r="H7">
            <v>0</v>
          </cell>
          <cell r="I7">
            <v>0</v>
          </cell>
          <cell r="J7">
            <v>0</v>
          </cell>
          <cell r="K7">
            <v>0</v>
          </cell>
          <cell r="L7">
            <v>0</v>
          </cell>
          <cell r="M7">
            <v>0</v>
          </cell>
          <cell r="N7">
            <v>0</v>
          </cell>
          <cell r="O7">
            <v>0</v>
          </cell>
        </row>
        <row r="8">
          <cell r="B8" t="str">
            <v>Argentina</v>
          </cell>
          <cell r="H8">
            <v>0</v>
          </cell>
          <cell r="I8">
            <v>0</v>
          </cell>
          <cell r="J8">
            <v>0</v>
          </cell>
          <cell r="K8">
            <v>0</v>
          </cell>
          <cell r="L8">
            <v>0</v>
          </cell>
          <cell r="M8">
            <v>0</v>
          </cell>
          <cell r="N8">
            <v>0</v>
          </cell>
          <cell r="O8">
            <v>0</v>
          </cell>
          <cell r="W8" t="str">
            <v>Year</v>
          </cell>
          <cell r="X8" t="str">
            <v>Acres</v>
          </cell>
          <cell r="Y8">
            <v>1</v>
          </cell>
        </row>
        <row r="9">
          <cell r="B9" t="str">
            <v>US</v>
          </cell>
          <cell r="H9">
            <v>6</v>
          </cell>
          <cell r="I9">
            <v>16</v>
          </cell>
          <cell r="J9">
            <v>30</v>
          </cell>
          <cell r="K9">
            <v>50</v>
          </cell>
          <cell r="L9">
            <v>60</v>
          </cell>
          <cell r="M9">
            <v>60</v>
          </cell>
          <cell r="N9">
            <v>60</v>
          </cell>
          <cell r="O9">
            <v>60</v>
          </cell>
          <cell r="W9">
            <v>2008</v>
          </cell>
          <cell r="X9" t="str">
            <v>Pricing</v>
          </cell>
          <cell r="Y9">
            <v>1</v>
          </cell>
        </row>
        <row r="10">
          <cell r="W10">
            <v>2009</v>
          </cell>
          <cell r="X10" t="str">
            <v>Base</v>
          </cell>
          <cell r="Y10">
            <v>1</v>
          </cell>
        </row>
        <row r="11">
          <cell r="B11" t="str">
            <v>MON TAKE</v>
          </cell>
          <cell r="H11">
            <v>0.77009227799227808</v>
          </cell>
          <cell r="I11">
            <v>0.78719151343705795</v>
          </cell>
          <cell r="J11">
            <v>0.78744992927864221</v>
          </cell>
          <cell r="K11">
            <v>0.78770834512022636</v>
          </cell>
          <cell r="L11">
            <v>0.78796676096181051</v>
          </cell>
          <cell r="M11">
            <v>0.78822517680339454</v>
          </cell>
          <cell r="N11">
            <v>0.7884835926449788</v>
          </cell>
          <cell r="O11">
            <v>0.78874200848656306</v>
          </cell>
          <cell r="W11">
            <v>2010</v>
          </cell>
          <cell r="X11" t="str">
            <v>Bull</v>
          </cell>
          <cell r="Y11">
            <v>2</v>
          </cell>
        </row>
        <row r="12">
          <cell r="W12">
            <v>2012</v>
          </cell>
          <cell r="X12" t="str">
            <v>Bear</v>
          </cell>
          <cell r="Y12">
            <v>3</v>
          </cell>
        </row>
        <row r="13">
          <cell r="C13">
            <v>2008</v>
          </cell>
          <cell r="D13">
            <v>2009</v>
          </cell>
          <cell r="E13">
            <v>2010</v>
          </cell>
          <cell r="F13">
            <v>2011</v>
          </cell>
          <cell r="G13">
            <v>2012</v>
          </cell>
          <cell r="H13">
            <v>2013</v>
          </cell>
          <cell r="I13">
            <v>2014</v>
          </cell>
          <cell r="J13">
            <v>2015</v>
          </cell>
          <cell r="K13">
            <v>2016</v>
          </cell>
          <cell r="L13">
            <v>2017</v>
          </cell>
          <cell r="M13">
            <v>2018</v>
          </cell>
          <cell r="N13">
            <v>2019</v>
          </cell>
          <cell r="O13">
            <v>2020</v>
          </cell>
          <cell r="W13">
            <v>2013</v>
          </cell>
        </row>
        <row r="14">
          <cell r="B14" t="str">
            <v>Incremental Higher Yielding Pricing</v>
          </cell>
          <cell r="H14">
            <v>13.274336283185841</v>
          </cell>
          <cell r="I14">
            <v>13.274336283185841</v>
          </cell>
          <cell r="J14">
            <v>16.592920353982304</v>
          </cell>
          <cell r="K14">
            <v>19.911504424778766</v>
          </cell>
          <cell r="L14">
            <v>23.230088495575224</v>
          </cell>
          <cell r="M14">
            <v>26.548672566371682</v>
          </cell>
          <cell r="N14">
            <v>26.548672566371682</v>
          </cell>
          <cell r="O14">
            <v>26.548672566371682</v>
          </cell>
          <cell r="W14">
            <v>2010</v>
          </cell>
        </row>
        <row r="15">
          <cell r="B15" t="str">
            <v>Increase</v>
          </cell>
          <cell r="H15">
            <v>0</v>
          </cell>
          <cell r="I15">
            <v>0</v>
          </cell>
          <cell r="J15">
            <v>0.25000000000000022</v>
          </cell>
          <cell r="K15">
            <v>0.19999999999999996</v>
          </cell>
          <cell r="L15">
            <v>0.16666666666666652</v>
          </cell>
          <cell r="M15">
            <v>0.14285714285714279</v>
          </cell>
          <cell r="N15">
            <v>0</v>
          </cell>
          <cell r="O15">
            <v>0</v>
          </cell>
          <cell r="W15">
            <v>2011</v>
          </cell>
        </row>
        <row r="16">
          <cell r="W16">
            <v>2012</v>
          </cell>
        </row>
        <row r="17">
          <cell r="B17" t="str">
            <v>Total US Acreage</v>
          </cell>
          <cell r="H17">
            <v>6</v>
          </cell>
          <cell r="I17">
            <v>16</v>
          </cell>
          <cell r="J17">
            <v>30</v>
          </cell>
          <cell r="K17">
            <v>50</v>
          </cell>
          <cell r="L17">
            <v>60</v>
          </cell>
          <cell r="M17">
            <v>60</v>
          </cell>
          <cell r="N17">
            <v>60</v>
          </cell>
          <cell r="O17">
            <v>60</v>
          </cell>
          <cell r="W17">
            <v>2013</v>
          </cell>
        </row>
        <row r="18">
          <cell r="B18" t="str">
            <v>Total Worldwide Acreage</v>
          </cell>
          <cell r="H18">
            <v>6</v>
          </cell>
          <cell r="I18">
            <v>16</v>
          </cell>
          <cell r="J18">
            <v>30</v>
          </cell>
          <cell r="K18">
            <v>50</v>
          </cell>
          <cell r="L18">
            <v>60</v>
          </cell>
          <cell r="M18">
            <v>60</v>
          </cell>
          <cell r="N18">
            <v>60</v>
          </cell>
          <cell r="O18">
            <v>60</v>
          </cell>
          <cell r="W18">
            <v>2014</v>
          </cell>
        </row>
        <row r="19">
          <cell r="W19">
            <v>2015</v>
          </cell>
        </row>
        <row r="20">
          <cell r="B20" t="str">
            <v>Gross Revenue</v>
          </cell>
          <cell r="H20">
            <v>61.334783202924804</v>
          </cell>
          <cell r="I20">
            <v>167.19111789813621</v>
          </cell>
          <cell r="J20">
            <v>391.98281877808529</v>
          </cell>
          <cell r="K20">
            <v>784.22290996482729</v>
          </cell>
          <cell r="L20">
            <v>1098.2722553228775</v>
          </cell>
          <cell r="M20">
            <v>1255.5799276514249</v>
          </cell>
          <cell r="N20">
            <v>1255.991563505276</v>
          </cell>
          <cell r="O20">
            <v>1256.403199359127</v>
          </cell>
          <cell r="W20">
            <v>2016</v>
          </cell>
        </row>
        <row r="21">
          <cell r="B21" t="str">
            <v>Monsanto revenue (60%)</v>
          </cell>
          <cell r="H21">
            <v>36.800869921754881</v>
          </cell>
          <cell r="I21">
            <v>100.31467073888173</v>
          </cell>
          <cell r="J21">
            <v>235.18969126685116</v>
          </cell>
          <cell r="K21">
            <v>470.53374597889638</v>
          </cell>
          <cell r="L21">
            <v>658.96335319372645</v>
          </cell>
          <cell r="M21">
            <v>753.34795659085489</v>
          </cell>
          <cell r="N21">
            <v>753.59493810316553</v>
          </cell>
          <cell r="O21">
            <v>753.84191961547617</v>
          </cell>
        </row>
        <row r="22">
          <cell r="B22" t="str">
            <v>COGS</v>
          </cell>
          <cell r="H22">
            <v>5.1521217890456832</v>
          </cell>
          <cell r="I22">
            <v>14.044053903443441</v>
          </cell>
          <cell r="J22">
            <v>32.926556777359167</v>
          </cell>
          <cell r="K22">
            <v>65.874724437045472</v>
          </cell>
          <cell r="L22">
            <v>92.254869447121678</v>
          </cell>
          <cell r="M22">
            <v>105.46871392271964</v>
          </cell>
          <cell r="N22">
            <v>105.50329133444313</v>
          </cell>
          <cell r="O22">
            <v>105.53786874616662</v>
          </cell>
        </row>
        <row r="23">
          <cell r="B23" t="str">
            <v>Gross Profit</v>
          </cell>
          <cell r="H23">
            <v>31.648748132709198</v>
          </cell>
          <cell r="I23">
            <v>86.27061683543829</v>
          </cell>
          <cell r="J23">
            <v>202.26313448949199</v>
          </cell>
          <cell r="K23">
            <v>404.6590215418509</v>
          </cell>
          <cell r="L23">
            <v>566.70848374660477</v>
          </cell>
          <cell r="M23">
            <v>647.87924266813525</v>
          </cell>
          <cell r="N23">
            <v>648.0916467687224</v>
          </cell>
          <cell r="O23">
            <v>648.30405086930955</v>
          </cell>
        </row>
        <row r="24">
          <cell r="B24" t="str">
            <v>Gross Margin</v>
          </cell>
          <cell r="H24">
            <v>0.86</v>
          </cell>
          <cell r="I24">
            <v>0.86</v>
          </cell>
          <cell r="J24">
            <v>0.86</v>
          </cell>
          <cell r="K24">
            <v>0.8600000000000001</v>
          </cell>
          <cell r="L24">
            <v>0.86</v>
          </cell>
          <cell r="M24">
            <v>0.8600000000000001</v>
          </cell>
          <cell r="N24">
            <v>0.8600000000000001</v>
          </cell>
          <cell r="O24">
            <v>0.8600000000000001</v>
          </cell>
        </row>
        <row r="25">
          <cell r="H25">
            <v>0.86</v>
          </cell>
          <cell r="I25">
            <v>0.86</v>
          </cell>
          <cell r="J25">
            <v>0.86</v>
          </cell>
          <cell r="K25">
            <v>0.86</v>
          </cell>
          <cell r="L25">
            <v>0.86</v>
          </cell>
          <cell r="M25">
            <v>0.86</v>
          </cell>
          <cell r="N25">
            <v>0.86</v>
          </cell>
          <cell r="O25">
            <v>0.86</v>
          </cell>
        </row>
        <row r="26">
          <cell r="B26" t="str">
            <v>SG&amp;A % of Sales</v>
          </cell>
          <cell r="H26">
            <v>0.17</v>
          </cell>
          <cell r="I26">
            <v>0.16500000000000001</v>
          </cell>
          <cell r="J26">
            <v>0.16</v>
          </cell>
          <cell r="K26">
            <v>0.155</v>
          </cell>
          <cell r="L26">
            <v>0.15</v>
          </cell>
          <cell r="M26">
            <v>0.14499999999999999</v>
          </cell>
          <cell r="N26">
            <v>0.13999999999999999</v>
          </cell>
          <cell r="O26">
            <v>0.13499999999999998</v>
          </cell>
        </row>
        <row r="27">
          <cell r="B27" t="str">
            <v>R&amp;D % of Sales</v>
          </cell>
          <cell r="H27">
            <v>0.09</v>
          </cell>
          <cell r="I27">
            <v>0.09</v>
          </cell>
          <cell r="J27">
            <v>0.09</v>
          </cell>
          <cell r="K27">
            <v>0.09</v>
          </cell>
          <cell r="L27">
            <v>0.09</v>
          </cell>
          <cell r="M27">
            <v>0.09</v>
          </cell>
          <cell r="N27">
            <v>0.09</v>
          </cell>
          <cell r="O27">
            <v>0.09</v>
          </cell>
        </row>
        <row r="28">
          <cell r="B28" t="str">
            <v>SG&amp;A</v>
          </cell>
          <cell r="H28">
            <v>6.2561478866983302</v>
          </cell>
          <cell r="I28">
            <v>16.551920671915486</v>
          </cell>
          <cell r="J28">
            <v>37.630350602696183</v>
          </cell>
          <cell r="K28">
            <v>72.93273062672894</v>
          </cell>
          <cell r="L28">
            <v>98.844502979058959</v>
          </cell>
          <cell r="M28">
            <v>109.23545370567395</v>
          </cell>
          <cell r="N28">
            <v>105.50329133444316</v>
          </cell>
          <cell r="O28">
            <v>101.76865914808927</v>
          </cell>
        </row>
        <row r="29">
          <cell r="B29" t="str">
            <v>R&amp;D</v>
          </cell>
          <cell r="H29">
            <v>3.3120782929579393</v>
          </cell>
          <cell r="I29">
            <v>9.0283203664993561</v>
          </cell>
          <cell r="J29">
            <v>21.167072214016603</v>
          </cell>
          <cell r="K29">
            <v>42.348037138100672</v>
          </cell>
          <cell r="L29">
            <v>59.306701787435379</v>
          </cell>
          <cell r="M29">
            <v>67.801316093176936</v>
          </cell>
          <cell r="N29">
            <v>67.823544429284894</v>
          </cell>
          <cell r="O29">
            <v>67.845772765392852</v>
          </cell>
        </row>
        <row r="30">
          <cell r="B30" t="str">
            <v>Operating Profit</v>
          </cell>
          <cell r="H30">
            <v>22.08052195305293</v>
          </cell>
          <cell r="I30">
            <v>60.690375797023449</v>
          </cell>
          <cell r="J30">
            <v>143.46571167277921</v>
          </cell>
          <cell r="K30">
            <v>289.37825377702131</v>
          </cell>
          <cell r="L30">
            <v>408.55727898011042</v>
          </cell>
          <cell r="M30">
            <v>470.84247286928434</v>
          </cell>
          <cell r="N30">
            <v>474.76481100499439</v>
          </cell>
          <cell r="O30">
            <v>478.68961895582748</v>
          </cell>
        </row>
        <row r="31">
          <cell r="B31" t="str">
            <v>Taxes</v>
          </cell>
          <cell r="H31">
            <v>6.2487877127139786</v>
          </cell>
          <cell r="I31">
            <v>17.600208981136799</v>
          </cell>
          <cell r="J31">
            <v>40.815994970905678</v>
          </cell>
          <cell r="K31">
            <v>84.498450102890217</v>
          </cell>
          <cell r="L31">
            <v>115.41743131188119</v>
          </cell>
          <cell r="M31">
            <v>137.48600207783102</v>
          </cell>
          <cell r="N31">
            <v>135.6403065041269</v>
          </cell>
          <cell r="O31">
            <v>137.38392064032249</v>
          </cell>
        </row>
        <row r="32">
          <cell r="B32" t="str">
            <v>Net Income</v>
          </cell>
          <cell r="H32">
            <v>15.831734240338951</v>
          </cell>
          <cell r="I32">
            <v>43.090166815886647</v>
          </cell>
          <cell r="J32">
            <v>102.64971670187353</v>
          </cell>
          <cell r="K32">
            <v>204.8798036741311</v>
          </cell>
          <cell r="L32">
            <v>293.13984766822921</v>
          </cell>
          <cell r="M32">
            <v>333.35647079145332</v>
          </cell>
          <cell r="N32">
            <v>339.12450450086749</v>
          </cell>
          <cell r="O32">
            <v>341.30569831550497</v>
          </cell>
        </row>
        <row r="33">
          <cell r="B33" t="str">
            <v>Shares Outstanding</v>
          </cell>
          <cell r="H33">
            <v>532.90985748061826</v>
          </cell>
          <cell r="I33">
            <v>526.28758665809255</v>
          </cell>
          <cell r="J33">
            <v>520.0788934550003</v>
          </cell>
          <cell r="K33">
            <v>514.39027052012125</v>
          </cell>
          <cell r="L33">
            <v>509.05321088398051</v>
          </cell>
          <cell r="M33">
            <v>504.26395292909609</v>
          </cell>
          <cell r="N33">
            <v>499.87697018558663</v>
          </cell>
          <cell r="O33">
            <v>495.90200028742942</v>
          </cell>
        </row>
        <row r="34">
          <cell r="B34" t="str">
            <v>Accretive EPS</v>
          </cell>
          <cell r="H34">
            <v>2.970809043612924E-2</v>
          </cell>
          <cell r="I34">
            <v>8.1875704288424653E-2</v>
          </cell>
          <cell r="J34">
            <v>0.19737335622283866</v>
          </cell>
          <cell r="K34">
            <v>0.39829642086147676</v>
          </cell>
          <cell r="L34">
            <v>0.575853057009868</v>
          </cell>
          <cell r="M34">
            <v>0.66107535320559818</v>
          </cell>
          <cell r="N34">
            <v>0.6784159397760664</v>
          </cell>
          <cell r="O34">
            <v>0.68825231218603877</v>
          </cell>
        </row>
        <row r="35">
          <cell r="B35" t="str">
            <v>Model EPS</v>
          </cell>
          <cell r="H35">
            <v>6.7278990297263608</v>
          </cell>
          <cell r="I35">
            <v>7.2979105974996905</v>
          </cell>
          <cell r="J35">
            <v>8.086358481731498</v>
          </cell>
          <cell r="K35">
            <v>8.6334305752194442</v>
          </cell>
          <cell r="L35">
            <v>9.4063913392402032</v>
          </cell>
          <cell r="M35">
            <v>9.7914627309818378</v>
          </cell>
          <cell r="N35">
            <v>10.414111102199115</v>
          </cell>
          <cell r="O35">
            <v>10.950239758709918</v>
          </cell>
        </row>
        <row r="36">
          <cell r="B36" t="str">
            <v>MON EPS</v>
          </cell>
          <cell r="H36">
            <v>6.7576071201624899</v>
          </cell>
          <cell r="I36">
            <v>7.3797863017881156</v>
          </cell>
          <cell r="J36">
            <v>8.2837318379543365</v>
          </cell>
          <cell r="K36">
            <v>9.0317269960809217</v>
          </cell>
          <cell r="L36">
            <v>9.9822443962500707</v>
          </cell>
          <cell r="M36">
            <v>10.452538084187436</v>
          </cell>
          <cell r="N36">
            <v>11.092527041975181</v>
          </cell>
          <cell r="O36">
            <v>11.638492070895957</v>
          </cell>
        </row>
        <row r="39">
          <cell r="A39" t="str">
            <v>Bear to Bull:</v>
          </cell>
        </row>
        <row r="40">
          <cell r="B40" t="str">
            <v>Base Case</v>
          </cell>
        </row>
        <row r="41">
          <cell r="R41" t="str">
            <v>Incremental Higher Yielding Corn Value</v>
          </cell>
        </row>
        <row r="42">
          <cell r="B42" t="str">
            <v>Incremental Higher Yielding Value</v>
          </cell>
          <cell r="H42">
            <v>13.274336283185841</v>
          </cell>
          <cell r="I42">
            <v>13.274336283185841</v>
          </cell>
          <cell r="J42">
            <v>16.592920353982304</v>
          </cell>
          <cell r="K42">
            <v>19.911504424778766</v>
          </cell>
          <cell r="L42">
            <v>23.230088495575224</v>
          </cell>
          <cell r="M42">
            <v>26.548672566371682</v>
          </cell>
          <cell r="N42">
            <v>26.548672566371682</v>
          </cell>
          <cell r="O42">
            <v>26.548672566371682</v>
          </cell>
        </row>
        <row r="43">
          <cell r="B43" t="str">
            <v>Increase</v>
          </cell>
          <cell r="I43">
            <v>0</v>
          </cell>
          <cell r="J43">
            <v>0.25000000000000022</v>
          </cell>
          <cell r="K43">
            <v>0.19999999999999996</v>
          </cell>
          <cell r="L43">
            <v>0.16666666666666652</v>
          </cell>
          <cell r="M43">
            <v>0.14285714285714279</v>
          </cell>
          <cell r="N43">
            <v>0</v>
          </cell>
          <cell r="O43">
            <v>0</v>
          </cell>
          <cell r="S43" t="str">
            <v>Base Case</v>
          </cell>
          <cell r="T43" t="str">
            <v>Calculations</v>
          </cell>
          <cell r="U43" t="str">
            <v>Bull</v>
          </cell>
          <cell r="V43" t="str">
            <v>Bear</v>
          </cell>
        </row>
        <row r="44">
          <cell r="Q44" t="str">
            <v>A</v>
          </cell>
          <cell r="R44" t="str">
            <v>Corn Price (bushel)</v>
          </cell>
          <cell r="S44">
            <v>3</v>
          </cell>
          <cell r="T44" t="str">
            <v>Assumption</v>
          </cell>
          <cell r="U44">
            <v>3</v>
          </cell>
          <cell r="V44">
            <v>3</v>
          </cell>
        </row>
        <row r="45">
          <cell r="B45" t="str">
            <v>Higher Yielding Acres</v>
          </cell>
          <cell r="Q45" t="str">
            <v>B</v>
          </cell>
          <cell r="R45" t="str">
            <v>Average Yield Improvement</v>
          </cell>
          <cell r="S45">
            <v>10</v>
          </cell>
          <cell r="T45" t="str">
            <v>Assumption</v>
          </cell>
          <cell r="U45">
            <v>15</v>
          </cell>
          <cell r="V45">
            <v>8</v>
          </cell>
        </row>
        <row r="46">
          <cell r="B46" t="str">
            <v>Brazil</v>
          </cell>
          <cell r="H46">
            <v>0</v>
          </cell>
          <cell r="I46">
            <v>0</v>
          </cell>
          <cell r="J46">
            <v>0</v>
          </cell>
          <cell r="K46">
            <v>0</v>
          </cell>
          <cell r="L46">
            <v>0</v>
          </cell>
          <cell r="M46">
            <v>0</v>
          </cell>
          <cell r="N46">
            <v>0</v>
          </cell>
          <cell r="O46">
            <v>0</v>
          </cell>
          <cell r="Q46" t="str">
            <v>C</v>
          </cell>
          <cell r="R46" t="str">
            <v>Farmer Productivity Revenue</v>
          </cell>
          <cell r="S46">
            <v>30</v>
          </cell>
          <cell r="T46" t="str">
            <v>A * B</v>
          </cell>
          <cell r="U46">
            <v>45</v>
          </cell>
          <cell r="V46">
            <v>24</v>
          </cell>
        </row>
        <row r="47">
          <cell r="B47" t="str">
            <v>Argentina</v>
          </cell>
          <cell r="H47">
            <v>0</v>
          </cell>
          <cell r="I47">
            <v>0</v>
          </cell>
          <cell r="J47">
            <v>0</v>
          </cell>
          <cell r="K47">
            <v>0</v>
          </cell>
          <cell r="L47">
            <v>0</v>
          </cell>
          <cell r="M47">
            <v>0</v>
          </cell>
          <cell r="N47">
            <v>0</v>
          </cell>
          <cell r="O47">
            <v>0</v>
          </cell>
          <cell r="Q47" t="str">
            <v>D</v>
          </cell>
          <cell r="R47" t="str">
            <v>Trait Retail Price</v>
          </cell>
          <cell r="S47">
            <v>13.274336283185841</v>
          </cell>
          <cell r="T47" t="str">
            <v>K / J</v>
          </cell>
          <cell r="U47">
            <v>19.911504424778766</v>
          </cell>
          <cell r="V47">
            <v>10.619469026548673</v>
          </cell>
        </row>
        <row r="48">
          <cell r="B48" t="str">
            <v>US</v>
          </cell>
          <cell r="H48">
            <v>6</v>
          </cell>
          <cell r="I48">
            <v>16</v>
          </cell>
          <cell r="J48">
            <v>30</v>
          </cell>
          <cell r="K48">
            <v>50</v>
          </cell>
          <cell r="L48">
            <v>60</v>
          </cell>
          <cell r="M48">
            <v>60</v>
          </cell>
          <cell r="N48">
            <v>60</v>
          </cell>
          <cell r="O48">
            <v>60</v>
          </cell>
          <cell r="Q48" t="str">
            <v>E</v>
          </cell>
          <cell r="R48" t="str">
            <v>Trait Gross Profit</v>
          </cell>
          <cell r="S48">
            <v>16.725663716814161</v>
          </cell>
          <cell r="T48" t="str">
            <v>C - D</v>
          </cell>
          <cell r="U48">
            <v>25.088495575221234</v>
          </cell>
          <cell r="V48">
            <v>13.380530973451327</v>
          </cell>
        </row>
        <row r="49">
          <cell r="Q49" t="str">
            <v>F</v>
          </cell>
          <cell r="R49" t="str">
            <v>Average Input Cost Savings</v>
          </cell>
          <cell r="S49">
            <v>0</v>
          </cell>
          <cell r="T49" t="str">
            <v>Assumption</v>
          </cell>
          <cell r="U49">
            <v>0</v>
          </cell>
          <cell r="V49">
            <v>0</v>
          </cell>
        </row>
        <row r="50">
          <cell r="B50" t="str">
            <v>Bull Case</v>
          </cell>
          <cell r="Q50" t="str">
            <v>G</v>
          </cell>
          <cell r="R50" t="str">
            <v>Total Farmer Gross Profit</v>
          </cell>
          <cell r="S50">
            <v>16.725663716814161</v>
          </cell>
          <cell r="T50" t="str">
            <v>E + F</v>
          </cell>
          <cell r="U50">
            <v>25.088495575221234</v>
          </cell>
          <cell r="V50">
            <v>13.380530973451327</v>
          </cell>
        </row>
        <row r="52">
          <cell r="B52" t="str">
            <v>Incremental Higher Yielding Value</v>
          </cell>
          <cell r="H52">
            <v>19.911504424778766</v>
          </cell>
          <cell r="I52">
            <v>19.911504424778766</v>
          </cell>
          <cell r="J52">
            <v>24.889380530973455</v>
          </cell>
          <cell r="K52">
            <v>29.86725663716814</v>
          </cell>
          <cell r="L52">
            <v>37.334070796460182</v>
          </cell>
          <cell r="M52">
            <v>44.800884955752203</v>
          </cell>
          <cell r="N52">
            <v>47.040929203539818</v>
          </cell>
          <cell r="O52">
            <v>49.392975663716811</v>
          </cell>
          <cell r="Q52" t="str">
            <v>H</v>
          </cell>
          <cell r="R52" t="str">
            <v>Trait Retail Price</v>
          </cell>
          <cell r="S52">
            <v>13.274336283185841</v>
          </cell>
          <cell r="T52" t="str">
            <v>K / J</v>
          </cell>
          <cell r="U52">
            <v>19.911504424778766</v>
          </cell>
          <cell r="V52">
            <v>10.619469026548675</v>
          </cell>
        </row>
        <row r="53">
          <cell r="B53" t="str">
            <v>Increase</v>
          </cell>
          <cell r="I53">
            <v>0</v>
          </cell>
          <cell r="J53">
            <v>0.24999999999999978</v>
          </cell>
          <cell r="K53">
            <v>0.19999999999999973</v>
          </cell>
          <cell r="L53">
            <v>0.25000000000000022</v>
          </cell>
          <cell r="M53">
            <v>0.19999999999999951</v>
          </cell>
          <cell r="N53">
            <v>0.05</v>
          </cell>
          <cell r="O53">
            <v>0.05</v>
          </cell>
          <cell r="Q53" t="str">
            <v>J</v>
          </cell>
          <cell r="R53" t="str">
            <v>Retail Capture</v>
          </cell>
          <cell r="S53">
            <v>0.75</v>
          </cell>
          <cell r="T53" t="str">
            <v>Assumption</v>
          </cell>
          <cell r="U53">
            <v>0.75</v>
          </cell>
          <cell r="V53">
            <v>0.75</v>
          </cell>
        </row>
        <row r="54">
          <cell r="Q54" t="str">
            <v>K</v>
          </cell>
          <cell r="R54" t="str">
            <v>Monsanto Revenue</v>
          </cell>
          <cell r="S54">
            <v>9.9557522123893811</v>
          </cell>
          <cell r="T54" t="str">
            <v>L + M</v>
          </cell>
          <cell r="U54">
            <v>14.933628318584073</v>
          </cell>
          <cell r="V54">
            <v>7.9646017699115061</v>
          </cell>
        </row>
        <row r="55">
          <cell r="B55" t="str">
            <v>Higher Yielding Acres</v>
          </cell>
          <cell r="Q55" t="str">
            <v>L</v>
          </cell>
          <cell r="R55" t="str">
            <v>Monsanto COGS</v>
          </cell>
          <cell r="S55">
            <v>1.5929203539823014</v>
          </cell>
          <cell r="T55" t="str">
            <v>K * (1 - N)</v>
          </cell>
          <cell r="U55">
            <v>2.3893805309734524</v>
          </cell>
          <cell r="V55">
            <v>1.2743362831858411</v>
          </cell>
        </row>
        <row r="56">
          <cell r="B56" t="str">
            <v>Brazil</v>
          </cell>
          <cell r="H56">
            <v>0</v>
          </cell>
          <cell r="I56">
            <v>0</v>
          </cell>
          <cell r="J56">
            <v>0</v>
          </cell>
          <cell r="K56">
            <v>0</v>
          </cell>
          <cell r="L56">
            <v>0</v>
          </cell>
          <cell r="M56">
            <v>0</v>
          </cell>
          <cell r="N56">
            <v>0</v>
          </cell>
          <cell r="O56">
            <v>0</v>
          </cell>
          <cell r="Q56" t="str">
            <v>M</v>
          </cell>
          <cell r="R56" t="str">
            <v>Monsanto Gross Profit</v>
          </cell>
          <cell r="S56">
            <v>8.3628318584070804</v>
          </cell>
          <cell r="T56" t="str">
            <v>G * (3/2) * (1/3)</v>
          </cell>
          <cell r="U56">
            <v>12.544247787610617</v>
          </cell>
          <cell r="V56">
            <v>6.6902654867256635</v>
          </cell>
        </row>
        <row r="57">
          <cell r="B57" t="str">
            <v>Argentina</v>
          </cell>
          <cell r="H57">
            <v>0</v>
          </cell>
          <cell r="I57">
            <v>0</v>
          </cell>
          <cell r="J57">
            <v>0</v>
          </cell>
          <cell r="K57">
            <v>0</v>
          </cell>
          <cell r="L57">
            <v>0</v>
          </cell>
          <cell r="M57">
            <v>0</v>
          </cell>
          <cell r="N57">
            <v>0</v>
          </cell>
          <cell r="O57">
            <v>0</v>
          </cell>
          <cell r="Q57" t="str">
            <v>N</v>
          </cell>
          <cell r="R57" t="str">
            <v>Monsanto Gross Profit Margin</v>
          </cell>
          <cell r="S57">
            <v>0.84</v>
          </cell>
          <cell r="T57" t="str">
            <v>Assumption</v>
          </cell>
          <cell r="U57">
            <v>0.84</v>
          </cell>
          <cell r="V57">
            <v>0.84</v>
          </cell>
        </row>
        <row r="58">
          <cell r="B58" t="str">
            <v>US</v>
          </cell>
          <cell r="H58">
            <v>8</v>
          </cell>
          <cell r="I58">
            <v>20</v>
          </cell>
          <cell r="J58">
            <v>35</v>
          </cell>
          <cell r="K58">
            <v>55</v>
          </cell>
          <cell r="L58">
            <v>60</v>
          </cell>
          <cell r="M58">
            <v>60</v>
          </cell>
          <cell r="N58">
            <v>60</v>
          </cell>
          <cell r="O58">
            <v>60</v>
          </cell>
        </row>
        <row r="60">
          <cell r="B60" t="str">
            <v>Bear Case</v>
          </cell>
        </row>
        <row r="62">
          <cell r="B62" t="str">
            <v>Incremental Higher Yielding Value</v>
          </cell>
          <cell r="H62">
            <v>10.619469026548675</v>
          </cell>
          <cell r="I62">
            <v>10.619469026548675</v>
          </cell>
          <cell r="J62">
            <v>10.619469026548675</v>
          </cell>
          <cell r="K62">
            <v>10.619469026548675</v>
          </cell>
          <cell r="L62">
            <v>10.619469026548675</v>
          </cell>
          <cell r="M62">
            <v>10.619469026548675</v>
          </cell>
          <cell r="N62">
            <v>10.619469026548675</v>
          </cell>
          <cell r="O62">
            <v>10.619469026548675</v>
          </cell>
        </row>
        <row r="63">
          <cell r="B63" t="str">
            <v>Increase</v>
          </cell>
          <cell r="I63">
            <v>0</v>
          </cell>
          <cell r="J63">
            <v>0</v>
          </cell>
          <cell r="K63">
            <v>0</v>
          </cell>
          <cell r="L63">
            <v>0</v>
          </cell>
          <cell r="M63">
            <v>0</v>
          </cell>
          <cell r="N63">
            <v>0</v>
          </cell>
          <cell r="O63">
            <v>0</v>
          </cell>
        </row>
        <row r="65">
          <cell r="B65" t="str">
            <v>Higher Yielding Acres</v>
          </cell>
        </row>
        <row r="66">
          <cell r="B66" t="str">
            <v>Brazil</v>
          </cell>
          <cell r="H66">
            <v>0</v>
          </cell>
          <cell r="I66">
            <v>0</v>
          </cell>
          <cell r="J66">
            <v>0</v>
          </cell>
          <cell r="K66">
            <v>0</v>
          </cell>
          <cell r="L66">
            <v>0</v>
          </cell>
          <cell r="M66">
            <v>0</v>
          </cell>
          <cell r="N66">
            <v>0</v>
          </cell>
          <cell r="O66">
            <v>0</v>
          </cell>
        </row>
        <row r="67">
          <cell r="B67" t="str">
            <v>Argentina</v>
          </cell>
          <cell r="H67">
            <v>0</v>
          </cell>
          <cell r="I67">
            <v>0</v>
          </cell>
          <cell r="J67">
            <v>0</v>
          </cell>
          <cell r="K67">
            <v>0</v>
          </cell>
          <cell r="L67">
            <v>0</v>
          </cell>
          <cell r="M67">
            <v>0</v>
          </cell>
          <cell r="N67">
            <v>0</v>
          </cell>
          <cell r="O67">
            <v>0</v>
          </cell>
        </row>
        <row r="68">
          <cell r="B68" t="str">
            <v>US</v>
          </cell>
          <cell r="H68">
            <v>4</v>
          </cell>
          <cell r="I68">
            <v>10</v>
          </cell>
          <cell r="J68">
            <v>25</v>
          </cell>
          <cell r="K68">
            <v>45</v>
          </cell>
          <cell r="L68">
            <v>45</v>
          </cell>
          <cell r="M68">
            <v>45</v>
          </cell>
          <cell r="N68">
            <v>45</v>
          </cell>
          <cell r="O68">
            <v>45</v>
          </cell>
        </row>
      </sheetData>
      <sheetData sheetId="10">
        <row r="1">
          <cell r="A1" t="str">
            <v>Nitrogen Utilization Corn</v>
          </cell>
          <cell r="F1" t="str">
            <v>an average farmer in Iowa might use ~140lbs of nitrogen per acre, at a cost of roughly $.30/ lb</v>
          </cell>
        </row>
        <row r="2">
          <cell r="A2" t="str">
            <v>PHASE 1</v>
          </cell>
          <cell r="D2" t="str">
            <v>Base</v>
          </cell>
          <cell r="E2" t="str">
            <v>Acres</v>
          </cell>
          <cell r="F2" t="str">
            <v>currently investigation value propositions - if traits can replace N or if it helps gain more yield out of N already applied</v>
          </cell>
        </row>
        <row r="3">
          <cell r="A3" t="str">
            <v>Assume Launch is</v>
          </cell>
          <cell r="D3" t="str">
            <v>Base</v>
          </cell>
          <cell r="E3" t="str">
            <v>Pricing</v>
          </cell>
          <cell r="F3" t="str">
            <v>medium value trait: $10-$30</v>
          </cell>
          <cell r="J3" t="str">
            <v>5-15% yield increase across limited nitrogen environments</v>
          </cell>
        </row>
        <row r="4">
          <cell r="B4">
            <v>2015</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Nitrogen Acres</v>
          </cell>
        </row>
        <row r="7">
          <cell r="B7" t="str">
            <v>Brazil</v>
          </cell>
          <cell r="J7">
            <v>0</v>
          </cell>
          <cell r="K7">
            <v>0</v>
          </cell>
          <cell r="L7">
            <v>0</v>
          </cell>
          <cell r="M7">
            <v>0</v>
          </cell>
          <cell r="N7">
            <v>0</v>
          </cell>
          <cell r="O7">
            <v>0</v>
          </cell>
        </row>
        <row r="8">
          <cell r="B8" t="str">
            <v>Argentina</v>
          </cell>
          <cell r="J8">
            <v>0</v>
          </cell>
          <cell r="K8">
            <v>0</v>
          </cell>
          <cell r="L8">
            <v>0</v>
          </cell>
          <cell r="M8">
            <v>0</v>
          </cell>
          <cell r="N8">
            <v>0</v>
          </cell>
          <cell r="O8">
            <v>0</v>
          </cell>
        </row>
        <row r="9">
          <cell r="B9" t="str">
            <v>US</v>
          </cell>
          <cell r="J9">
            <v>16</v>
          </cell>
          <cell r="K9">
            <v>35</v>
          </cell>
          <cell r="L9">
            <v>55</v>
          </cell>
          <cell r="M9">
            <v>60</v>
          </cell>
          <cell r="N9">
            <v>60</v>
          </cell>
          <cell r="O9">
            <v>60</v>
          </cell>
        </row>
        <row r="11">
          <cell r="B11" t="str">
            <v>MON TAKE</v>
          </cell>
          <cell r="J11">
            <v>0.78744992927864221</v>
          </cell>
          <cell r="K11">
            <v>0.78770834512022636</v>
          </cell>
          <cell r="L11">
            <v>0.78796676096181051</v>
          </cell>
          <cell r="M11">
            <v>0.78822517680339454</v>
          </cell>
          <cell r="N11">
            <v>0.7884835926449788</v>
          </cell>
          <cell r="O11">
            <v>0.78874200848656306</v>
          </cell>
        </row>
        <row r="13">
          <cell r="C13">
            <v>2008</v>
          </cell>
          <cell r="D13">
            <v>2009</v>
          </cell>
          <cell r="E13">
            <v>2010</v>
          </cell>
          <cell r="F13">
            <v>2011</v>
          </cell>
          <cell r="G13">
            <v>2012</v>
          </cell>
          <cell r="H13">
            <v>2013</v>
          </cell>
          <cell r="I13">
            <v>2014</v>
          </cell>
          <cell r="J13">
            <v>2015</v>
          </cell>
          <cell r="K13">
            <v>2016</v>
          </cell>
          <cell r="L13">
            <v>2017</v>
          </cell>
          <cell r="M13">
            <v>2018</v>
          </cell>
          <cell r="N13">
            <v>2019</v>
          </cell>
          <cell r="O13">
            <v>2020</v>
          </cell>
        </row>
        <row r="14">
          <cell r="B14" t="str">
            <v>Incremental Nitrogen Pricing</v>
          </cell>
          <cell r="J14">
            <v>16.844335987670178</v>
          </cell>
          <cell r="K14">
            <v>17.686552787053689</v>
          </cell>
          <cell r="L14">
            <v>24.050057796044186</v>
          </cell>
          <cell r="M14">
            <v>30.413562805034676</v>
          </cell>
          <cell r="N14">
            <v>31.934240945286412</v>
          </cell>
          <cell r="O14">
            <v>33.530952992550731</v>
          </cell>
        </row>
        <row r="15">
          <cell r="B15" t="str">
            <v>Increase</v>
          </cell>
          <cell r="J15">
            <v>0</v>
          </cell>
          <cell r="K15">
            <v>0.05</v>
          </cell>
          <cell r="L15">
            <v>0.35979340268322346</v>
          </cell>
          <cell r="M15">
            <v>0.26459416700600102</v>
          </cell>
          <cell r="N15">
            <v>0.05</v>
          </cell>
          <cell r="O15">
            <v>0.05</v>
          </cell>
        </row>
        <row r="17">
          <cell r="B17" t="str">
            <v>Total US Acreage</v>
          </cell>
          <cell r="J17">
            <v>16</v>
          </cell>
          <cell r="K17">
            <v>35</v>
          </cell>
          <cell r="L17">
            <v>55</v>
          </cell>
          <cell r="M17">
            <v>60</v>
          </cell>
          <cell r="N17">
            <v>60</v>
          </cell>
          <cell r="O17">
            <v>60</v>
          </cell>
        </row>
        <row r="18">
          <cell r="B18" t="str">
            <v>Total WorldWide Acreage</v>
          </cell>
          <cell r="J18">
            <v>16</v>
          </cell>
          <cell r="K18">
            <v>35</v>
          </cell>
          <cell r="L18">
            <v>55</v>
          </cell>
          <cell r="M18">
            <v>60</v>
          </cell>
          <cell r="N18">
            <v>60</v>
          </cell>
          <cell r="O18">
            <v>60</v>
          </cell>
        </row>
        <row r="20">
          <cell r="B20" t="str">
            <v>Gross Revenue</v>
          </cell>
          <cell r="J20">
            <v>212.22513891578512</v>
          </cell>
          <cell r="K20">
            <v>487.61458293700559</v>
          </cell>
          <cell r="L20">
            <v>1042.2855378371303</v>
          </cell>
          <cell r="M20">
            <v>1438.3641551531759</v>
          </cell>
          <cell r="N20">
            <v>1510.7775017357887</v>
          </cell>
          <cell r="O20">
            <v>1586.8362725887796</v>
          </cell>
        </row>
        <row r="21">
          <cell r="B21" t="str">
            <v>Monsanto revenue (60%)</v>
          </cell>
          <cell r="J21">
            <v>127.33508334947106</v>
          </cell>
          <cell r="K21">
            <v>292.56874976220337</v>
          </cell>
          <cell r="L21">
            <v>625.37132270227812</v>
          </cell>
          <cell r="M21">
            <v>863.0184930919055</v>
          </cell>
          <cell r="N21">
            <v>906.46650104147318</v>
          </cell>
          <cell r="O21">
            <v>952.10176355326769</v>
          </cell>
        </row>
        <row r="22">
          <cell r="B22" t="str">
            <v>COGS</v>
          </cell>
          <cell r="J22">
            <v>17.826911668925945</v>
          </cell>
          <cell r="K22">
            <v>40.959624966708475</v>
          </cell>
          <cell r="L22">
            <v>87.551985178319001</v>
          </cell>
          <cell r="M22">
            <v>120.82258903286652</v>
          </cell>
          <cell r="N22">
            <v>126.90531014580597</v>
          </cell>
          <cell r="O22">
            <v>133.29424689745724</v>
          </cell>
        </row>
        <row r="23">
          <cell r="B23" t="str">
            <v>Gross Profit</v>
          </cell>
          <cell r="J23">
            <v>109.50817168054512</v>
          </cell>
          <cell r="K23">
            <v>251.60912479549489</v>
          </cell>
          <cell r="L23">
            <v>537.81933752395912</v>
          </cell>
          <cell r="M23">
            <v>742.19590405903875</v>
          </cell>
          <cell r="N23">
            <v>779.56119089566687</v>
          </cell>
          <cell r="O23">
            <v>818.80751665581022</v>
          </cell>
        </row>
        <row r="24">
          <cell r="B24" t="str">
            <v>Gross Margin</v>
          </cell>
          <cell r="J24">
            <v>0.86</v>
          </cell>
          <cell r="K24">
            <v>0.86</v>
          </cell>
          <cell r="L24">
            <v>0.85999999999999988</v>
          </cell>
          <cell r="M24">
            <v>0.86</v>
          </cell>
          <cell r="N24">
            <v>0.85999999999999988</v>
          </cell>
          <cell r="O24">
            <v>0.86</v>
          </cell>
        </row>
        <row r="25">
          <cell r="J25">
            <v>0.86</v>
          </cell>
          <cell r="K25">
            <v>0.86</v>
          </cell>
          <cell r="L25">
            <v>0.86</v>
          </cell>
          <cell r="M25">
            <v>0.86</v>
          </cell>
          <cell r="N25">
            <v>0.86</v>
          </cell>
          <cell r="O25">
            <v>0.86</v>
          </cell>
        </row>
        <row r="26">
          <cell r="B26" t="str">
            <v>SG&amp;A % of Sales</v>
          </cell>
          <cell r="J26">
            <v>0.16</v>
          </cell>
          <cell r="K26">
            <v>0.155</v>
          </cell>
          <cell r="L26">
            <v>0.15</v>
          </cell>
          <cell r="M26">
            <v>0.14499999999999999</v>
          </cell>
          <cell r="N26">
            <v>0.13999999999999999</v>
          </cell>
          <cell r="O26">
            <v>0.13499999999999998</v>
          </cell>
        </row>
        <row r="27">
          <cell r="B27" t="str">
            <v>R&amp;D % of Sales</v>
          </cell>
          <cell r="J27">
            <v>0.09</v>
          </cell>
          <cell r="K27">
            <v>0.09</v>
          </cell>
          <cell r="L27">
            <v>0.09</v>
          </cell>
          <cell r="M27">
            <v>0.09</v>
          </cell>
          <cell r="N27">
            <v>0.09</v>
          </cell>
          <cell r="O27">
            <v>0.09</v>
          </cell>
        </row>
        <row r="28">
          <cell r="B28" t="str">
            <v>SG&amp;A</v>
          </cell>
          <cell r="J28">
            <v>20.373613335915369</v>
          </cell>
          <cell r="K28">
            <v>45.348156213141522</v>
          </cell>
          <cell r="L28">
            <v>93.805698405341715</v>
          </cell>
          <cell r="M28">
            <v>125.13768149832629</v>
          </cell>
          <cell r="N28">
            <v>126.90531014580623</v>
          </cell>
          <cell r="O28">
            <v>128.53373807969112</v>
          </cell>
        </row>
        <row r="29">
          <cell r="B29" t="str">
            <v>R&amp;D</v>
          </cell>
          <cell r="J29">
            <v>11.460157501452395</v>
          </cell>
          <cell r="K29">
            <v>26.331187478598302</v>
          </cell>
          <cell r="L29">
            <v>56.283419043205029</v>
          </cell>
          <cell r="M29">
            <v>77.671664378271487</v>
          </cell>
          <cell r="N29">
            <v>81.581985093732584</v>
          </cell>
          <cell r="O29">
            <v>85.689158719794094</v>
          </cell>
        </row>
        <row r="30">
          <cell r="B30" t="str">
            <v>Operating Profit</v>
          </cell>
          <cell r="J30">
            <v>77.674400843177352</v>
          </cell>
          <cell r="K30">
            <v>179.92978110375506</v>
          </cell>
          <cell r="L30">
            <v>387.73022007541238</v>
          </cell>
          <cell r="M30">
            <v>539.38655818244092</v>
          </cell>
          <cell r="N30">
            <v>571.07389565612812</v>
          </cell>
          <cell r="O30">
            <v>604.58461985632493</v>
          </cell>
        </row>
        <row r="31">
          <cell r="B31" t="str">
            <v>Taxes</v>
          </cell>
          <cell r="J31">
            <v>22.098367039883954</v>
          </cell>
          <cell r="K31">
            <v>52.539496082296473</v>
          </cell>
          <cell r="L31">
            <v>109.53378717130398</v>
          </cell>
          <cell r="M31">
            <v>157.50087498927275</v>
          </cell>
          <cell r="N31">
            <v>163.1558119889558</v>
          </cell>
          <cell r="O31">
            <v>173.51578589876524</v>
          </cell>
        </row>
        <row r="32">
          <cell r="B32" t="str">
            <v>Net Income</v>
          </cell>
          <cell r="J32">
            <v>55.576033803293399</v>
          </cell>
          <cell r="K32">
            <v>127.3902850214586</v>
          </cell>
          <cell r="L32">
            <v>278.19643290410841</v>
          </cell>
          <cell r="M32">
            <v>381.88568319316818</v>
          </cell>
          <cell r="N32">
            <v>407.91808366717231</v>
          </cell>
          <cell r="O32">
            <v>431.06883395755972</v>
          </cell>
        </row>
        <row r="33">
          <cell r="B33" t="str">
            <v>Shares Outstanding</v>
          </cell>
          <cell r="J33">
            <v>520.0788934550003</v>
          </cell>
          <cell r="K33">
            <v>514.39027052012125</v>
          </cell>
          <cell r="L33">
            <v>509.05321088398051</v>
          </cell>
          <cell r="M33">
            <v>504.26395292909609</v>
          </cell>
          <cell r="N33">
            <v>499.87697018558663</v>
          </cell>
          <cell r="O33">
            <v>495.90200028742942</v>
          </cell>
        </row>
        <row r="34">
          <cell r="B34" t="str">
            <v>Accretive EPS</v>
          </cell>
          <cell r="J34">
            <v>0.10686077536061767</v>
          </cell>
          <cell r="K34">
            <v>0.24765298319629767</v>
          </cell>
          <cell r="L34">
            <v>0.54649774710391286</v>
          </cell>
          <cell r="M34">
            <v>0.75731307180480667</v>
          </cell>
          <cell r="N34">
            <v>0.81603696108609836</v>
          </cell>
          <cell r="O34">
            <v>0.8692621399141528</v>
          </cell>
        </row>
        <row r="35">
          <cell r="B35" t="str">
            <v>Model EPS</v>
          </cell>
          <cell r="J35">
            <v>8.086358481731498</v>
          </cell>
          <cell r="K35">
            <v>8.6334305752194442</v>
          </cell>
          <cell r="L35">
            <v>9.4063913392402032</v>
          </cell>
          <cell r="M35">
            <v>9.7914627309818378</v>
          </cell>
          <cell r="N35">
            <v>10.414111102199115</v>
          </cell>
          <cell r="O35">
            <v>10.950239758709918</v>
          </cell>
        </row>
        <row r="36">
          <cell r="B36" t="str">
            <v>MON EPS</v>
          </cell>
          <cell r="J36">
            <v>8.1932192570921156</v>
          </cell>
          <cell r="K36">
            <v>8.8810835584157424</v>
          </cell>
          <cell r="L36">
            <v>9.9528890863441166</v>
          </cell>
          <cell r="M36">
            <v>10.548775802786645</v>
          </cell>
          <cell r="N36">
            <v>11.230148063285213</v>
          </cell>
          <cell r="O36">
            <v>11.81950189862407</v>
          </cell>
        </row>
        <row r="39">
          <cell r="A39" t="str">
            <v>Bear to Bull:</v>
          </cell>
        </row>
        <row r="40">
          <cell r="B40" t="str">
            <v>Base Case</v>
          </cell>
          <cell r="C40" t="str">
            <v>90M acre opportunity</v>
          </cell>
          <cell r="S40" t="str">
            <v>Lower Nitrogen Use</v>
          </cell>
        </row>
        <row r="42">
          <cell r="B42" t="str">
            <v>Incremental Nitrogen Util. Value</v>
          </cell>
          <cell r="J42">
            <v>16.844335987670178</v>
          </cell>
          <cell r="K42">
            <v>17.686552787053689</v>
          </cell>
          <cell r="L42">
            <v>24.050057796044182</v>
          </cell>
          <cell r="M42">
            <v>30.413562805034676</v>
          </cell>
          <cell r="N42">
            <v>31.934240945286412</v>
          </cell>
          <cell r="O42">
            <v>33.530952992550731</v>
          </cell>
          <cell r="T42" t="str">
            <v>Base Case</v>
          </cell>
          <cell r="U42" t="str">
            <v>Calculations</v>
          </cell>
          <cell r="V42" t="str">
            <v>Bull</v>
          </cell>
          <cell r="W42" t="str">
            <v>Bear</v>
          </cell>
        </row>
        <row r="43">
          <cell r="B43" t="str">
            <v>Increase</v>
          </cell>
          <cell r="J43">
            <v>0</v>
          </cell>
          <cell r="K43">
            <v>0.05</v>
          </cell>
          <cell r="L43">
            <v>0.35979340268322324</v>
          </cell>
          <cell r="M43">
            <v>0.26459416700600102</v>
          </cell>
          <cell r="N43">
            <v>0.05</v>
          </cell>
          <cell r="O43">
            <v>0.05</v>
          </cell>
          <cell r="R43" t="str">
            <v>A</v>
          </cell>
          <cell r="S43" t="str">
            <v>Corn Price (bushel)</v>
          </cell>
          <cell r="T43">
            <v>3</v>
          </cell>
          <cell r="U43" t="str">
            <v>Assumption</v>
          </cell>
          <cell r="V43">
            <v>3</v>
          </cell>
          <cell r="W43">
            <v>3</v>
          </cell>
        </row>
        <row r="44">
          <cell r="R44" t="str">
            <v>B</v>
          </cell>
          <cell r="S44" t="str">
            <v>Average Yield Improvement</v>
          </cell>
          <cell r="T44">
            <v>0</v>
          </cell>
          <cell r="U44" t="str">
            <v>Assumption</v>
          </cell>
          <cell r="V44">
            <v>0</v>
          </cell>
          <cell r="W44">
            <v>0</v>
          </cell>
          <cell r="AI44" t="str">
            <v>Year</v>
          </cell>
          <cell r="AJ44" t="str">
            <v>Acres</v>
          </cell>
          <cell r="AK44">
            <v>1</v>
          </cell>
        </row>
        <row r="45">
          <cell r="B45" t="str">
            <v>Nitrogen Utilization</v>
          </cell>
          <cell r="R45" t="str">
            <v>C</v>
          </cell>
          <cell r="S45" t="str">
            <v>Farmer Productivity Revenue</v>
          </cell>
          <cell r="T45">
            <v>0</v>
          </cell>
          <cell r="U45" t="str">
            <v>A * B</v>
          </cell>
          <cell r="V45">
            <v>0</v>
          </cell>
          <cell r="W45">
            <v>0</v>
          </cell>
          <cell r="AI45">
            <v>2008</v>
          </cell>
          <cell r="AJ45" t="str">
            <v>Pricing</v>
          </cell>
          <cell r="AK45">
            <v>1</v>
          </cell>
        </row>
        <row r="46">
          <cell r="B46" t="str">
            <v>Brazil</v>
          </cell>
          <cell r="J46">
            <v>0</v>
          </cell>
          <cell r="K46">
            <v>0</v>
          </cell>
          <cell r="L46">
            <v>0</v>
          </cell>
          <cell r="M46">
            <v>0</v>
          </cell>
          <cell r="N46">
            <v>0</v>
          </cell>
          <cell r="O46">
            <v>0</v>
          </cell>
          <cell r="R46" t="str">
            <v>D</v>
          </cell>
          <cell r="S46" t="str">
            <v>Trait Retail Price</v>
          </cell>
          <cell r="T46">
            <v>20.588235294117645</v>
          </cell>
          <cell r="U46" t="str">
            <v>M / L</v>
          </cell>
          <cell r="V46">
            <v>19.852941176470594</v>
          </cell>
          <cell r="W46">
            <v>11.029411764705882</v>
          </cell>
          <cell r="AI46">
            <v>2009</v>
          </cell>
          <cell r="AJ46" t="str">
            <v>Base</v>
          </cell>
          <cell r="AK46">
            <v>1</v>
          </cell>
        </row>
        <row r="47">
          <cell r="B47" t="str">
            <v>Argentina</v>
          </cell>
          <cell r="J47">
            <v>0</v>
          </cell>
          <cell r="K47">
            <v>0</v>
          </cell>
          <cell r="L47">
            <v>0</v>
          </cell>
          <cell r="M47">
            <v>0</v>
          </cell>
          <cell r="N47">
            <v>0</v>
          </cell>
          <cell r="O47">
            <v>0</v>
          </cell>
          <cell r="R47" t="str">
            <v>E</v>
          </cell>
          <cell r="S47" t="str">
            <v>Trait Gross Profit</v>
          </cell>
          <cell r="T47">
            <v>-20.588235294117645</v>
          </cell>
          <cell r="U47" t="str">
            <v>C - D</v>
          </cell>
          <cell r="V47">
            <v>-19.852941176470594</v>
          </cell>
          <cell r="W47">
            <v>-11.029411764705882</v>
          </cell>
          <cell r="AI47">
            <v>2010</v>
          </cell>
          <cell r="AJ47" t="str">
            <v>Bull</v>
          </cell>
          <cell r="AK47">
            <v>2</v>
          </cell>
        </row>
        <row r="48">
          <cell r="B48" t="str">
            <v>US</v>
          </cell>
          <cell r="J48">
            <v>16</v>
          </cell>
          <cell r="K48">
            <v>35</v>
          </cell>
          <cell r="L48">
            <v>55</v>
          </cell>
          <cell r="M48">
            <v>60</v>
          </cell>
          <cell r="N48">
            <v>60</v>
          </cell>
          <cell r="O48">
            <v>60</v>
          </cell>
          <cell r="R48" t="str">
            <v>F</v>
          </cell>
          <cell r="S48" t="str">
            <v>Nitrogen Savings (lbs)</v>
          </cell>
          <cell r="T48">
            <v>140</v>
          </cell>
          <cell r="U48" t="str">
            <v>Assumption</v>
          </cell>
          <cell r="V48">
            <v>180</v>
          </cell>
          <cell r="W48">
            <v>100</v>
          </cell>
          <cell r="AI48">
            <v>2012</v>
          </cell>
          <cell r="AJ48" t="str">
            <v>Bear</v>
          </cell>
          <cell r="AK48">
            <v>3</v>
          </cell>
        </row>
        <row r="49">
          <cell r="R49" t="str">
            <v>G</v>
          </cell>
          <cell r="S49" t="str">
            <v>Nitrogen Cost</v>
          </cell>
          <cell r="T49">
            <v>0.4</v>
          </cell>
          <cell r="U49" t="str">
            <v>Assumption</v>
          </cell>
          <cell r="V49">
            <v>0.3</v>
          </cell>
          <cell r="W49">
            <v>0.3</v>
          </cell>
          <cell r="AI49">
            <v>2013</v>
          </cell>
        </row>
        <row r="50">
          <cell r="B50" t="str">
            <v>Bull Case</v>
          </cell>
          <cell r="R50" t="str">
            <v>H</v>
          </cell>
          <cell r="S50" t="str">
            <v>Nitrogen Savings ($)</v>
          </cell>
          <cell r="T50">
            <v>56</v>
          </cell>
          <cell r="U50" t="str">
            <v xml:space="preserve">F * G </v>
          </cell>
          <cell r="V50">
            <v>54</v>
          </cell>
          <cell r="W50">
            <v>30</v>
          </cell>
          <cell r="AI50">
            <v>2014</v>
          </cell>
        </row>
        <row r="51">
          <cell r="R51" t="str">
            <v>J</v>
          </cell>
          <cell r="S51" t="str">
            <v>Total Farmer Gross Profit</v>
          </cell>
          <cell r="T51">
            <v>35.411764705882355</v>
          </cell>
          <cell r="U51" t="str">
            <v>E + H</v>
          </cell>
          <cell r="V51">
            <v>34.147058823529406</v>
          </cell>
          <cell r="W51">
            <v>18.970588235294116</v>
          </cell>
          <cell r="AI51">
            <v>2015</v>
          </cell>
        </row>
        <row r="52">
          <cell r="B52" t="str">
            <v>Incremental Nitrogen Util. Value</v>
          </cell>
          <cell r="J52">
            <v>19.751798099152332</v>
          </cell>
          <cell r="K52">
            <v>20.739388004109948</v>
          </cell>
          <cell r="L52">
            <v>21.776357404315448</v>
          </cell>
          <cell r="M52">
            <v>22.865175274531222</v>
          </cell>
          <cell r="N52">
            <v>24.008434038257782</v>
          </cell>
          <cell r="O52">
            <v>25.208855740170673</v>
          </cell>
          <cell r="AI52">
            <v>2016</v>
          </cell>
        </row>
        <row r="53">
          <cell r="B53" t="str">
            <v>Increase</v>
          </cell>
          <cell r="J53">
            <v>0</v>
          </cell>
          <cell r="K53">
            <v>0.05</v>
          </cell>
          <cell r="L53">
            <v>0.05</v>
          </cell>
          <cell r="M53">
            <v>0.05</v>
          </cell>
          <cell r="N53">
            <v>0.05</v>
          </cell>
          <cell r="O53">
            <v>0.05</v>
          </cell>
          <cell r="R53" t="str">
            <v>K</v>
          </cell>
          <cell r="S53" t="str">
            <v>Trait Retail Price</v>
          </cell>
          <cell r="T53">
            <v>20.588235294117645</v>
          </cell>
          <cell r="U53" t="str">
            <v>M / L</v>
          </cell>
          <cell r="V53">
            <v>19.852941176470583</v>
          </cell>
          <cell r="W53">
            <v>11.029411764705882</v>
          </cell>
          <cell r="AI53">
            <v>2017</v>
          </cell>
        </row>
        <row r="54">
          <cell r="R54" t="str">
            <v>L</v>
          </cell>
          <cell r="S54" t="str">
            <v>Retail Capture</v>
          </cell>
          <cell r="T54">
            <v>0.75</v>
          </cell>
          <cell r="U54" t="str">
            <v>Assumption</v>
          </cell>
          <cell r="V54">
            <v>0.75</v>
          </cell>
          <cell r="W54">
            <v>0.75</v>
          </cell>
        </row>
        <row r="55">
          <cell r="B55" t="str">
            <v>Nitrogen Utilization</v>
          </cell>
          <cell r="R55" t="str">
            <v>M</v>
          </cell>
          <cell r="S55" t="str">
            <v>Monsanto Revenue</v>
          </cell>
          <cell r="T55">
            <v>15.441176470588234</v>
          </cell>
          <cell r="U55" t="str">
            <v>N + P</v>
          </cell>
          <cell r="V55">
            <v>14.889705882352938</v>
          </cell>
          <cell r="W55">
            <v>8.2720588235294112</v>
          </cell>
        </row>
        <row r="56">
          <cell r="B56" t="str">
            <v>Brazil</v>
          </cell>
          <cell r="J56">
            <v>5</v>
          </cell>
          <cell r="K56">
            <v>12</v>
          </cell>
          <cell r="L56">
            <v>22</v>
          </cell>
          <cell r="M56">
            <v>30</v>
          </cell>
          <cell r="N56">
            <v>30</v>
          </cell>
          <cell r="O56">
            <v>30</v>
          </cell>
          <cell r="R56" t="str">
            <v>N</v>
          </cell>
          <cell r="S56" t="str">
            <v>Monsanto COGS</v>
          </cell>
          <cell r="T56">
            <v>-2.2647058823529402</v>
          </cell>
          <cell r="U56" t="str">
            <v>M * (1 - Q)</v>
          </cell>
          <cell r="V56">
            <v>-2.1838235294117645</v>
          </cell>
          <cell r="W56">
            <v>-1.2132352941176467</v>
          </cell>
        </row>
        <row r="57">
          <cell r="B57" t="str">
            <v>Argentina</v>
          </cell>
          <cell r="J57">
            <v>3</v>
          </cell>
          <cell r="K57">
            <v>5</v>
          </cell>
          <cell r="L57">
            <v>7</v>
          </cell>
          <cell r="M57">
            <v>8</v>
          </cell>
          <cell r="N57">
            <v>8</v>
          </cell>
          <cell r="O57">
            <v>8</v>
          </cell>
          <cell r="R57" t="str">
            <v>P</v>
          </cell>
          <cell r="S57" t="str">
            <v>Monsanto Gross Profit</v>
          </cell>
          <cell r="T57">
            <v>17.705882352941178</v>
          </cell>
          <cell r="U57" t="str">
            <v>J * (3/2) * (1/3)</v>
          </cell>
          <cell r="V57">
            <v>17.073529411764703</v>
          </cell>
          <cell r="W57">
            <v>9.485294117647058</v>
          </cell>
        </row>
        <row r="58">
          <cell r="B58" t="str">
            <v>US</v>
          </cell>
          <cell r="J58">
            <v>16</v>
          </cell>
          <cell r="K58">
            <v>35</v>
          </cell>
          <cell r="L58">
            <v>55</v>
          </cell>
          <cell r="M58">
            <v>55</v>
          </cell>
          <cell r="N58">
            <v>55</v>
          </cell>
          <cell r="O58">
            <v>55</v>
          </cell>
          <cell r="R58" t="str">
            <v>Q</v>
          </cell>
          <cell r="S58" t="str">
            <v>Monsanto Gross Profit Margin</v>
          </cell>
          <cell r="T58">
            <v>0.86</v>
          </cell>
          <cell r="U58" t="str">
            <v>Assumption</v>
          </cell>
          <cell r="V58">
            <v>0.86</v>
          </cell>
          <cell r="W58">
            <v>0.86</v>
          </cell>
        </row>
        <row r="60">
          <cell r="B60" t="str">
            <v>Bear Case</v>
          </cell>
        </row>
        <row r="61">
          <cell r="S61" t="str">
            <v>Incremental Yield Value</v>
          </cell>
        </row>
        <row r="62">
          <cell r="B62" t="str">
            <v>Incremental Nitrogen Util. Value</v>
          </cell>
          <cell r="J62">
            <v>8.7898150526586178</v>
          </cell>
          <cell r="K62">
            <v>8.7898150526586178</v>
          </cell>
          <cell r="L62">
            <v>8.7898150526586178</v>
          </cell>
          <cell r="M62">
            <v>8.7898150526586178</v>
          </cell>
          <cell r="N62">
            <v>8.7898150526586178</v>
          </cell>
          <cell r="O62">
            <v>8.7898150526586178</v>
          </cell>
        </row>
        <row r="63">
          <cell r="B63" t="str">
            <v>Increase</v>
          </cell>
          <cell r="J63">
            <v>0</v>
          </cell>
          <cell r="K63">
            <v>0</v>
          </cell>
          <cell r="L63">
            <v>0</v>
          </cell>
          <cell r="M63">
            <v>0</v>
          </cell>
          <cell r="N63">
            <v>0</v>
          </cell>
          <cell r="O63">
            <v>0</v>
          </cell>
          <cell r="T63" t="str">
            <v>Base Case</v>
          </cell>
          <cell r="U63" t="str">
            <v>Calculations</v>
          </cell>
          <cell r="V63" t="str">
            <v>Bull</v>
          </cell>
          <cell r="W63" t="str">
            <v>Bear</v>
          </cell>
        </row>
        <row r="64">
          <cell r="R64" t="str">
            <v>A</v>
          </cell>
          <cell r="S64" t="str">
            <v>Corn Price (bushel)</v>
          </cell>
          <cell r="T64">
            <v>3</v>
          </cell>
          <cell r="U64" t="str">
            <v>Assumption</v>
          </cell>
          <cell r="V64">
            <v>3</v>
          </cell>
          <cell r="W64">
            <v>3</v>
          </cell>
        </row>
        <row r="65">
          <cell r="B65" t="str">
            <v>Nitrogen Utilization</v>
          </cell>
          <cell r="R65" t="str">
            <v>B</v>
          </cell>
          <cell r="S65" t="str">
            <v>Average Yield Improvement</v>
          </cell>
          <cell r="T65">
            <v>10</v>
          </cell>
          <cell r="U65" t="str">
            <v>Assumption</v>
          </cell>
          <cell r="V65">
            <v>15</v>
          </cell>
          <cell r="W65">
            <v>5</v>
          </cell>
        </row>
        <row r="66">
          <cell r="B66" t="str">
            <v>Brazil</v>
          </cell>
          <cell r="J66">
            <v>0</v>
          </cell>
          <cell r="K66">
            <v>0</v>
          </cell>
          <cell r="L66">
            <v>0</v>
          </cell>
          <cell r="M66">
            <v>0</v>
          </cell>
          <cell r="N66">
            <v>0</v>
          </cell>
          <cell r="O66">
            <v>0</v>
          </cell>
          <cell r="R66" t="str">
            <v>C</v>
          </cell>
          <cell r="S66" t="str">
            <v>Farmer Productivity Revenue</v>
          </cell>
          <cell r="T66">
            <v>30</v>
          </cell>
          <cell r="U66" t="str">
            <v>A * B</v>
          </cell>
          <cell r="V66">
            <v>45</v>
          </cell>
          <cell r="W66">
            <v>15</v>
          </cell>
        </row>
        <row r="67">
          <cell r="B67" t="str">
            <v>Argentina</v>
          </cell>
          <cell r="J67">
            <v>0</v>
          </cell>
          <cell r="K67">
            <v>0</v>
          </cell>
          <cell r="L67">
            <v>0</v>
          </cell>
          <cell r="M67">
            <v>0</v>
          </cell>
          <cell r="N67">
            <v>0</v>
          </cell>
          <cell r="O67">
            <v>0</v>
          </cell>
          <cell r="R67" t="str">
            <v>D</v>
          </cell>
          <cell r="S67" t="str">
            <v>Trait Retail Price</v>
          </cell>
          <cell r="T67">
            <v>13.10043668122271</v>
          </cell>
          <cell r="U67" t="str">
            <v>K / J</v>
          </cell>
          <cell r="V67">
            <v>19.650655021834066</v>
          </cell>
          <cell r="W67">
            <v>6.5502183406113552</v>
          </cell>
        </row>
        <row r="68">
          <cell r="B68" t="str">
            <v>US</v>
          </cell>
          <cell r="J68">
            <v>0</v>
          </cell>
          <cell r="K68">
            <v>5</v>
          </cell>
          <cell r="L68">
            <v>18</v>
          </cell>
          <cell r="M68">
            <v>35</v>
          </cell>
          <cell r="N68">
            <v>45</v>
          </cell>
          <cell r="O68">
            <v>45</v>
          </cell>
          <cell r="R68" t="str">
            <v>E</v>
          </cell>
          <cell r="S68" t="str">
            <v>Trait Gross Profit</v>
          </cell>
          <cell r="T68">
            <v>16.89956331877729</v>
          </cell>
          <cell r="U68" t="str">
            <v>C - D</v>
          </cell>
          <cell r="V68">
            <v>25.349344978165934</v>
          </cell>
          <cell r="W68">
            <v>8.4497816593886448</v>
          </cell>
        </row>
        <row r="69">
          <cell r="R69" t="str">
            <v>F</v>
          </cell>
          <cell r="S69" t="str">
            <v>Average Input Cost Savings</v>
          </cell>
          <cell r="T69">
            <v>0</v>
          </cell>
          <cell r="U69" t="str">
            <v>Assumption</v>
          </cell>
          <cell r="V69">
            <v>0</v>
          </cell>
          <cell r="W69">
            <v>0</v>
          </cell>
        </row>
        <row r="70">
          <cell r="R70" t="str">
            <v>G</v>
          </cell>
          <cell r="S70" t="str">
            <v>Total Farmer Gross Profit</v>
          </cell>
          <cell r="T70">
            <v>16.89956331877729</v>
          </cell>
          <cell r="U70" t="str">
            <v>E + F</v>
          </cell>
          <cell r="V70">
            <v>25.349344978165934</v>
          </cell>
          <cell r="W70">
            <v>8.4497816593886448</v>
          </cell>
        </row>
        <row r="72">
          <cell r="R72" t="str">
            <v>H</v>
          </cell>
          <cell r="S72" t="str">
            <v>Trait Retail Price</v>
          </cell>
          <cell r="T72">
            <v>13.10043668122271</v>
          </cell>
          <cell r="U72" t="str">
            <v>K / J</v>
          </cell>
          <cell r="V72">
            <v>19.650655021834059</v>
          </cell>
          <cell r="W72">
            <v>6.5502183406113552</v>
          </cell>
        </row>
        <row r="73">
          <cell r="R73" t="str">
            <v>J</v>
          </cell>
          <cell r="S73" t="str">
            <v>Retail Capture</v>
          </cell>
          <cell r="T73">
            <v>0.75</v>
          </cell>
          <cell r="U73" t="str">
            <v>Assumption</v>
          </cell>
          <cell r="V73">
            <v>0.75</v>
          </cell>
          <cell r="W73">
            <v>0.75</v>
          </cell>
        </row>
        <row r="74">
          <cell r="R74" t="str">
            <v>K</v>
          </cell>
          <cell r="S74" t="str">
            <v>Monsanto Revenue</v>
          </cell>
          <cell r="T74">
            <v>9.8253275109170328</v>
          </cell>
          <cell r="U74" t="str">
            <v>L + M</v>
          </cell>
          <cell r="V74">
            <v>14.737991266375543</v>
          </cell>
          <cell r="W74">
            <v>4.9126637554585164</v>
          </cell>
        </row>
        <row r="75">
          <cell r="R75" t="str">
            <v>L</v>
          </cell>
          <cell r="S75" t="str">
            <v>Monsanto COGS</v>
          </cell>
          <cell r="T75">
            <v>1.3755458515283847</v>
          </cell>
          <cell r="U75" t="str">
            <v>K * (1 - N)</v>
          </cell>
          <cell r="V75">
            <v>2.0633187772925763</v>
          </cell>
          <cell r="W75">
            <v>0.68777292576419236</v>
          </cell>
        </row>
        <row r="76">
          <cell r="R76" t="str">
            <v>M</v>
          </cell>
          <cell r="S76" t="str">
            <v>Monsanto Gross Profit</v>
          </cell>
          <cell r="T76">
            <v>8.4497816593886448</v>
          </cell>
          <cell r="U76" t="str">
            <v>G * (3/2) * (1/3)</v>
          </cell>
          <cell r="V76">
            <v>12.674672489082967</v>
          </cell>
          <cell r="W76">
            <v>4.2248908296943224</v>
          </cell>
        </row>
        <row r="77">
          <cell r="R77" t="str">
            <v>N</v>
          </cell>
          <cell r="S77" t="str">
            <v>Monsanto Gross Profit Margin</v>
          </cell>
          <cell r="T77">
            <v>0.86</v>
          </cell>
          <cell r="U77" t="str">
            <v>Assumption</v>
          </cell>
          <cell r="V77">
            <v>0.86</v>
          </cell>
          <cell r="W77">
            <v>0.86</v>
          </cell>
        </row>
      </sheetData>
      <sheetData sheetId="11">
        <row r="1">
          <cell r="A1" t="str">
            <v>Roundup Ready 2 Yield</v>
          </cell>
          <cell r="G1" t="str">
            <v>7-11% Yield Advantage over 1st Gen Roundup Ready</v>
          </cell>
        </row>
        <row r="2">
          <cell r="A2" t="str">
            <v>PHASE 4</v>
          </cell>
          <cell r="D2" t="str">
            <v>Base</v>
          </cell>
          <cell r="E2" t="str">
            <v>Acres</v>
          </cell>
          <cell r="G2" t="str">
            <v>RR1 potential for over $15/acre gross profit for farmer due to up to $10/acre savings in machinery wear/fuel &amp; also tillage</v>
          </cell>
        </row>
        <row r="3">
          <cell r="A3" t="str">
            <v>Assume Launch is</v>
          </cell>
          <cell r="D3" t="str">
            <v>Base</v>
          </cell>
          <cell r="E3" t="str">
            <v>Pricing</v>
          </cell>
          <cell r="G3" t="str">
            <v>medium value: $10-$30</v>
          </cell>
        </row>
        <row r="4">
          <cell r="B4">
            <v>2009</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Roundup Ready to Yield Acres</v>
          </cell>
        </row>
        <row r="7">
          <cell r="B7" t="str">
            <v>Brazil</v>
          </cell>
          <cell r="D7">
            <v>0</v>
          </cell>
          <cell r="E7">
            <v>0</v>
          </cell>
          <cell r="F7">
            <v>0</v>
          </cell>
          <cell r="G7">
            <v>8</v>
          </cell>
          <cell r="H7">
            <v>20</v>
          </cell>
          <cell r="I7">
            <v>35</v>
          </cell>
          <cell r="J7">
            <v>45</v>
          </cell>
          <cell r="K7">
            <v>45</v>
          </cell>
          <cell r="L7">
            <v>45</v>
          </cell>
          <cell r="M7">
            <v>45</v>
          </cell>
          <cell r="N7">
            <v>45</v>
          </cell>
          <cell r="O7">
            <v>45</v>
          </cell>
        </row>
        <row r="8">
          <cell r="B8" t="str">
            <v>Argentina</v>
          </cell>
          <cell r="D8">
            <v>0</v>
          </cell>
          <cell r="E8">
            <v>0</v>
          </cell>
          <cell r="F8">
            <v>0</v>
          </cell>
          <cell r="G8">
            <v>5</v>
          </cell>
          <cell r="H8">
            <v>12</v>
          </cell>
          <cell r="I8">
            <v>20</v>
          </cell>
          <cell r="J8">
            <v>25</v>
          </cell>
          <cell r="K8">
            <v>25</v>
          </cell>
          <cell r="L8">
            <v>25</v>
          </cell>
          <cell r="M8">
            <v>25</v>
          </cell>
          <cell r="N8">
            <v>25</v>
          </cell>
          <cell r="O8">
            <v>25</v>
          </cell>
        </row>
        <row r="9">
          <cell r="B9" t="str">
            <v>US</v>
          </cell>
          <cell r="D9">
            <v>2</v>
          </cell>
          <cell r="E9">
            <v>6</v>
          </cell>
          <cell r="F9">
            <v>18</v>
          </cell>
          <cell r="G9">
            <v>50</v>
          </cell>
          <cell r="H9">
            <v>50</v>
          </cell>
          <cell r="I9">
            <v>50</v>
          </cell>
          <cell r="J9">
            <v>50</v>
          </cell>
          <cell r="K9">
            <v>50</v>
          </cell>
          <cell r="L9">
            <v>50</v>
          </cell>
          <cell r="M9">
            <v>50</v>
          </cell>
          <cell r="N9">
            <v>50</v>
          </cell>
          <cell r="O9">
            <v>50</v>
          </cell>
        </row>
        <row r="11">
          <cell r="B11" t="str">
            <v>MON TAKE</v>
          </cell>
          <cell r="D11">
            <v>0.75</v>
          </cell>
          <cell r="E11">
            <v>0.75</v>
          </cell>
          <cell r="F11">
            <v>0.75</v>
          </cell>
          <cell r="G11">
            <v>0.75</v>
          </cell>
          <cell r="H11">
            <v>0.75</v>
          </cell>
          <cell r="I11">
            <v>0.75</v>
          </cell>
          <cell r="J11">
            <v>0.75</v>
          </cell>
          <cell r="K11">
            <v>0.75</v>
          </cell>
          <cell r="L11">
            <v>0.75</v>
          </cell>
          <cell r="M11">
            <v>0.75</v>
          </cell>
          <cell r="N11">
            <v>0.75</v>
          </cell>
          <cell r="O11">
            <v>0.75</v>
          </cell>
        </row>
        <row r="13">
          <cell r="C13">
            <v>2008</v>
          </cell>
          <cell r="D13">
            <v>2009</v>
          </cell>
          <cell r="E13">
            <v>2010</v>
          </cell>
          <cell r="F13">
            <v>2011</v>
          </cell>
          <cell r="G13">
            <v>2012</v>
          </cell>
          <cell r="H13">
            <v>2013</v>
          </cell>
          <cell r="I13">
            <v>2014</v>
          </cell>
          <cell r="J13">
            <v>2015</v>
          </cell>
          <cell r="K13">
            <v>2016</v>
          </cell>
          <cell r="L13">
            <v>2017</v>
          </cell>
          <cell r="M13">
            <v>2018</v>
          </cell>
          <cell r="N13">
            <v>2019</v>
          </cell>
          <cell r="O13">
            <v>2020</v>
          </cell>
        </row>
        <row r="14">
          <cell r="B14" t="str">
            <v>Incremental RR2Y Pricing</v>
          </cell>
          <cell r="D14">
            <v>20</v>
          </cell>
          <cell r="E14">
            <v>20</v>
          </cell>
          <cell r="F14">
            <v>20</v>
          </cell>
          <cell r="G14">
            <v>24</v>
          </cell>
          <cell r="H14">
            <v>26.400000000000002</v>
          </cell>
          <cell r="I14">
            <v>27.720000000000002</v>
          </cell>
          <cell r="J14">
            <v>29.106000000000005</v>
          </cell>
          <cell r="K14">
            <v>30.561300000000006</v>
          </cell>
          <cell r="L14">
            <v>32.089365000000008</v>
          </cell>
          <cell r="M14">
            <v>33.693833250000012</v>
          </cell>
          <cell r="N14">
            <v>35.378524912500012</v>
          </cell>
          <cell r="O14">
            <v>37.147451158125016</v>
          </cell>
        </row>
        <row r="15">
          <cell r="B15" t="str">
            <v>Increase</v>
          </cell>
          <cell r="D15">
            <v>0</v>
          </cell>
          <cell r="E15">
            <v>0</v>
          </cell>
          <cell r="F15">
            <v>0</v>
          </cell>
          <cell r="G15">
            <v>0.2</v>
          </cell>
          <cell r="H15">
            <v>0.1</v>
          </cell>
          <cell r="I15">
            <v>0.05</v>
          </cell>
          <cell r="J15">
            <v>0.05</v>
          </cell>
          <cell r="K15">
            <v>0.05</v>
          </cell>
          <cell r="L15">
            <v>0.05</v>
          </cell>
          <cell r="M15">
            <v>0.05</v>
          </cell>
          <cell r="N15">
            <v>0.05</v>
          </cell>
          <cell r="O15">
            <v>0.05</v>
          </cell>
        </row>
        <row r="17">
          <cell r="B17" t="str">
            <v>Total US Acreage</v>
          </cell>
          <cell r="D17">
            <v>2</v>
          </cell>
          <cell r="E17">
            <v>6</v>
          </cell>
          <cell r="F17">
            <v>18</v>
          </cell>
          <cell r="G17">
            <v>50</v>
          </cell>
          <cell r="H17">
            <v>50</v>
          </cell>
          <cell r="I17">
            <v>50</v>
          </cell>
          <cell r="J17">
            <v>50</v>
          </cell>
          <cell r="K17">
            <v>50</v>
          </cell>
          <cell r="L17">
            <v>50</v>
          </cell>
          <cell r="M17">
            <v>50</v>
          </cell>
          <cell r="N17">
            <v>50</v>
          </cell>
          <cell r="O17">
            <v>50</v>
          </cell>
        </row>
        <row r="18">
          <cell r="B18" t="str">
            <v>Total Worldwide Acreage</v>
          </cell>
          <cell r="D18">
            <v>2</v>
          </cell>
          <cell r="E18">
            <v>6</v>
          </cell>
          <cell r="F18">
            <v>18</v>
          </cell>
          <cell r="G18">
            <v>63</v>
          </cell>
          <cell r="H18">
            <v>82</v>
          </cell>
          <cell r="I18">
            <v>105</v>
          </cell>
          <cell r="J18">
            <v>120</v>
          </cell>
          <cell r="K18">
            <v>120</v>
          </cell>
          <cell r="L18">
            <v>120</v>
          </cell>
          <cell r="M18">
            <v>120</v>
          </cell>
          <cell r="N18">
            <v>120</v>
          </cell>
          <cell r="O18">
            <v>120</v>
          </cell>
        </row>
        <row r="20">
          <cell r="B20" t="str">
            <v>Revenue</v>
          </cell>
          <cell r="D20">
            <v>30</v>
          </cell>
          <cell r="E20">
            <v>90</v>
          </cell>
          <cell r="F20">
            <v>270</v>
          </cell>
          <cell r="G20">
            <v>1134</v>
          </cell>
          <cell r="H20">
            <v>1623.6000000000001</v>
          </cell>
          <cell r="I20">
            <v>2182.9500000000003</v>
          </cell>
          <cell r="J20">
            <v>2619.5400000000004</v>
          </cell>
          <cell r="K20">
            <v>2750.5170000000007</v>
          </cell>
          <cell r="L20">
            <v>2888.0428500000007</v>
          </cell>
          <cell r="M20">
            <v>3032.4449925000008</v>
          </cell>
          <cell r="N20">
            <v>3184.067242125001</v>
          </cell>
          <cell r="O20">
            <v>3343.2706042312511</v>
          </cell>
        </row>
        <row r="21">
          <cell r="B21" t="str">
            <v>COGS</v>
          </cell>
          <cell r="D21">
            <v>5.6999999999999993</v>
          </cell>
          <cell r="E21">
            <v>17.099999999999994</v>
          </cell>
          <cell r="F21">
            <v>51.299999999999955</v>
          </cell>
          <cell r="G21">
            <v>204.12000000000012</v>
          </cell>
          <cell r="H21">
            <v>284.12999999999988</v>
          </cell>
          <cell r="I21">
            <v>371.10149999999976</v>
          </cell>
          <cell r="J21">
            <v>432.22410000000036</v>
          </cell>
          <cell r="K21">
            <v>440.08272000000034</v>
          </cell>
          <cell r="L21">
            <v>447.64664174999962</v>
          </cell>
          <cell r="M21">
            <v>470.02897383749951</v>
          </cell>
          <cell r="N21">
            <v>493.53042252937485</v>
          </cell>
          <cell r="O21">
            <v>518.20694365584313</v>
          </cell>
        </row>
        <row r="22">
          <cell r="B22" t="str">
            <v>Gross Profit</v>
          </cell>
          <cell r="D22">
            <v>24.3</v>
          </cell>
          <cell r="E22">
            <v>72.900000000000006</v>
          </cell>
          <cell r="F22">
            <v>218.70000000000005</v>
          </cell>
          <cell r="G22">
            <v>929.87999999999988</v>
          </cell>
          <cell r="H22">
            <v>1339.4700000000003</v>
          </cell>
          <cell r="I22">
            <v>1811.8485000000005</v>
          </cell>
          <cell r="J22">
            <v>2187.3159000000001</v>
          </cell>
          <cell r="K22">
            <v>2310.4342800000004</v>
          </cell>
          <cell r="L22">
            <v>2440.3962082500011</v>
          </cell>
          <cell r="M22">
            <v>2562.4160186625013</v>
          </cell>
          <cell r="N22">
            <v>2690.5368195956262</v>
          </cell>
          <cell r="O22">
            <v>2825.063660575408</v>
          </cell>
        </row>
        <row r="23">
          <cell r="B23" t="str">
            <v>Gross Margin</v>
          </cell>
          <cell r="D23">
            <v>0.81</v>
          </cell>
          <cell r="E23">
            <v>0.81</v>
          </cell>
          <cell r="F23">
            <v>0.81000000000000016</v>
          </cell>
          <cell r="G23">
            <v>0.82</v>
          </cell>
          <cell r="H23">
            <v>0.82500000000000007</v>
          </cell>
          <cell r="I23">
            <v>0.83000000000000018</v>
          </cell>
          <cell r="J23">
            <v>0.83499999999999985</v>
          </cell>
          <cell r="K23">
            <v>0.84</v>
          </cell>
          <cell r="L23">
            <v>0.8450000000000002</v>
          </cell>
          <cell r="M23">
            <v>0.8450000000000002</v>
          </cell>
          <cell r="N23">
            <v>0.84500000000000008</v>
          </cell>
          <cell r="O23">
            <v>0.8450000000000002</v>
          </cell>
        </row>
        <row r="24">
          <cell r="B24" t="str">
            <v>Single</v>
          </cell>
        </row>
        <row r="25">
          <cell r="B25" t="str">
            <v>US</v>
          </cell>
          <cell r="D25">
            <v>0.81</v>
          </cell>
          <cell r="E25">
            <v>0.81</v>
          </cell>
          <cell r="F25">
            <v>0.81</v>
          </cell>
          <cell r="G25">
            <v>0.82</v>
          </cell>
          <cell r="H25">
            <v>0.82499999999999996</v>
          </cell>
          <cell r="I25">
            <v>0.83</v>
          </cell>
          <cell r="J25">
            <v>0.83499999999999996</v>
          </cell>
          <cell r="K25">
            <v>0.84</v>
          </cell>
          <cell r="L25">
            <v>0.84499999999999997</v>
          </cell>
          <cell r="M25">
            <v>0.84499999999999997</v>
          </cell>
          <cell r="N25">
            <v>0.84499999999999997</v>
          </cell>
          <cell r="O25">
            <v>0.84499999999999997</v>
          </cell>
        </row>
        <row r="26">
          <cell r="B26" t="str">
            <v>International</v>
          </cell>
          <cell r="D26">
            <v>0.81</v>
          </cell>
          <cell r="E26">
            <v>0.81</v>
          </cell>
          <cell r="F26">
            <v>0.81</v>
          </cell>
          <cell r="G26">
            <v>0.82</v>
          </cell>
          <cell r="H26">
            <v>0.82499999999999996</v>
          </cell>
          <cell r="I26">
            <v>0.83</v>
          </cell>
          <cell r="J26">
            <v>0.83499999999999996</v>
          </cell>
          <cell r="K26">
            <v>0.84</v>
          </cell>
          <cell r="L26">
            <v>0.84499999999999997</v>
          </cell>
          <cell r="M26">
            <v>0.84499999999999997</v>
          </cell>
          <cell r="N26">
            <v>0.84499999999999997</v>
          </cell>
          <cell r="O26">
            <v>0.84499999999999997</v>
          </cell>
        </row>
        <row r="27">
          <cell r="B27" t="str">
            <v>SG&amp;A % of Sales</v>
          </cell>
          <cell r="D27">
            <v>0.18</v>
          </cell>
          <cell r="E27">
            <v>0.17499999999999999</v>
          </cell>
          <cell r="F27">
            <v>0.17</v>
          </cell>
          <cell r="G27">
            <v>0.17</v>
          </cell>
          <cell r="H27">
            <v>0.17</v>
          </cell>
          <cell r="I27">
            <v>0.16500000000000001</v>
          </cell>
          <cell r="J27">
            <v>0.16</v>
          </cell>
          <cell r="K27">
            <v>0.155</v>
          </cell>
          <cell r="L27">
            <v>0.15</v>
          </cell>
          <cell r="M27">
            <v>0.14499999999999999</v>
          </cell>
          <cell r="N27">
            <v>0.13999999999999999</v>
          </cell>
          <cell r="O27">
            <v>0.13499999999999998</v>
          </cell>
        </row>
        <row r="28">
          <cell r="B28" t="str">
            <v>R&amp;D % of Sales</v>
          </cell>
          <cell r="D28">
            <v>0.1</v>
          </cell>
          <cell r="E28">
            <v>0.1</v>
          </cell>
          <cell r="F28">
            <v>0.1</v>
          </cell>
          <cell r="G28">
            <v>0.1</v>
          </cell>
          <cell r="H28">
            <v>0.09</v>
          </cell>
          <cell r="I28">
            <v>0.09</v>
          </cell>
          <cell r="J28">
            <v>0.09</v>
          </cell>
          <cell r="K28">
            <v>0.09</v>
          </cell>
          <cell r="L28">
            <v>0.09</v>
          </cell>
          <cell r="M28">
            <v>0.09</v>
          </cell>
          <cell r="N28">
            <v>0.09</v>
          </cell>
          <cell r="O28">
            <v>0.09</v>
          </cell>
        </row>
        <row r="29">
          <cell r="B29" t="str">
            <v>SG&amp;A</v>
          </cell>
          <cell r="D29">
            <v>5.3999999999999995</v>
          </cell>
          <cell r="E29">
            <v>15.749999999999998</v>
          </cell>
          <cell r="F29">
            <v>45.900000000000006</v>
          </cell>
          <cell r="G29">
            <v>192.78</v>
          </cell>
          <cell r="H29">
            <v>276.01200000000006</v>
          </cell>
          <cell r="I29">
            <v>360.18675000000007</v>
          </cell>
          <cell r="J29">
            <v>419.1264000000001</v>
          </cell>
          <cell r="K29">
            <v>426.3301350000001</v>
          </cell>
          <cell r="L29">
            <v>433.20642750000007</v>
          </cell>
          <cell r="M29">
            <v>439.70452391250006</v>
          </cell>
          <cell r="N29">
            <v>445.7694138975001</v>
          </cell>
          <cell r="O29">
            <v>451.34153157121887</v>
          </cell>
        </row>
        <row r="30">
          <cell r="B30" t="str">
            <v>R&amp;D</v>
          </cell>
          <cell r="D30">
            <v>3</v>
          </cell>
          <cell r="E30">
            <v>9</v>
          </cell>
          <cell r="F30">
            <v>27</v>
          </cell>
          <cell r="G30">
            <v>113.4</v>
          </cell>
          <cell r="H30">
            <v>146.124</v>
          </cell>
          <cell r="I30">
            <v>196.46550000000002</v>
          </cell>
          <cell r="J30">
            <v>235.75860000000003</v>
          </cell>
          <cell r="K30">
            <v>247.54653000000005</v>
          </cell>
          <cell r="L30">
            <v>259.92385650000006</v>
          </cell>
          <cell r="M30">
            <v>272.92004932500004</v>
          </cell>
          <cell r="N30">
            <v>286.56605179125006</v>
          </cell>
          <cell r="O30">
            <v>300.89435438081262</v>
          </cell>
        </row>
        <row r="31">
          <cell r="B31" t="str">
            <v>Operating Profit</v>
          </cell>
          <cell r="D31">
            <v>15.900000000000002</v>
          </cell>
          <cell r="E31">
            <v>48.150000000000006</v>
          </cell>
          <cell r="F31">
            <v>145.80000000000004</v>
          </cell>
          <cell r="G31">
            <v>623.69999999999993</v>
          </cell>
          <cell r="H31">
            <v>917.33400000000006</v>
          </cell>
          <cell r="I31">
            <v>1255.1962500000004</v>
          </cell>
          <cell r="J31">
            <v>1532.4308999999998</v>
          </cell>
          <cell r="K31">
            <v>1636.5576150000002</v>
          </cell>
          <cell r="L31">
            <v>1747.265924250001</v>
          </cell>
          <cell r="M31">
            <v>1849.7914454250013</v>
          </cell>
          <cell r="N31">
            <v>1958.2013539068757</v>
          </cell>
          <cell r="O31">
            <v>2072.8277746233762</v>
          </cell>
        </row>
        <row r="32">
          <cell r="B32" t="str">
            <v>Taxes</v>
          </cell>
          <cell r="D32">
            <v>4.5156000000000001</v>
          </cell>
          <cell r="E32">
            <v>14.107950000000001</v>
          </cell>
          <cell r="F32">
            <v>42.427800000000012</v>
          </cell>
          <cell r="G32">
            <v>180.87299999999996</v>
          </cell>
          <cell r="H32">
            <v>259.60552200000001</v>
          </cell>
          <cell r="I32">
            <v>364.00691250000011</v>
          </cell>
          <cell r="J32">
            <v>435.97659104999991</v>
          </cell>
          <cell r="K32">
            <v>477.87482358</v>
          </cell>
          <cell r="L32">
            <v>493.60262360062524</v>
          </cell>
          <cell r="M32">
            <v>540.13910206410037</v>
          </cell>
          <cell r="N32">
            <v>559.45812681119446</v>
          </cell>
          <cell r="O32">
            <v>594.90157131690887</v>
          </cell>
        </row>
        <row r="33">
          <cell r="B33" t="str">
            <v>Net Income</v>
          </cell>
          <cell r="D33">
            <v>11.384400000000003</v>
          </cell>
          <cell r="E33">
            <v>34.042050000000003</v>
          </cell>
          <cell r="F33">
            <v>103.37220000000002</v>
          </cell>
          <cell r="G33">
            <v>442.827</v>
          </cell>
          <cell r="H33">
            <v>657.728478</v>
          </cell>
          <cell r="I33">
            <v>891.18933750000031</v>
          </cell>
          <cell r="J33">
            <v>1096.4543089499998</v>
          </cell>
          <cell r="K33">
            <v>1158.6827914200003</v>
          </cell>
          <cell r="L33">
            <v>1253.6633006493757</v>
          </cell>
          <cell r="M33">
            <v>1309.6523433609009</v>
          </cell>
          <cell r="N33">
            <v>1398.7432270956813</v>
          </cell>
          <cell r="O33">
            <v>1477.9262033064674</v>
          </cell>
        </row>
        <row r="34">
          <cell r="B34" t="str">
            <v>Shares Outstanding</v>
          </cell>
          <cell r="D34">
            <v>555.35</v>
          </cell>
          <cell r="E34">
            <v>550.50532914025143</v>
          </cell>
          <cell r="F34">
            <v>546.02247259711453</v>
          </cell>
          <cell r="G34">
            <v>540.01981986685632</v>
          </cell>
          <cell r="H34">
            <v>532.90985748061826</v>
          </cell>
          <cell r="I34">
            <v>526.28758665809255</v>
          </cell>
          <cell r="J34">
            <v>520.0788934550003</v>
          </cell>
          <cell r="K34">
            <v>514.39027052012125</v>
          </cell>
          <cell r="L34">
            <v>509.05321088398051</v>
          </cell>
          <cell r="M34">
            <v>504.26395292909609</v>
          </cell>
          <cell r="N34">
            <v>499.87697018558663</v>
          </cell>
          <cell r="O34">
            <v>495.90200028742942</v>
          </cell>
        </row>
        <row r="35">
          <cell r="B35" t="str">
            <v>Accretive EPS</v>
          </cell>
          <cell r="D35">
            <v>2.0499504816782213E-2</v>
          </cell>
          <cell r="E35">
            <v>6.1837820994694058E-2</v>
          </cell>
          <cell r="F35">
            <v>0.18931858153807843</v>
          </cell>
          <cell r="G35">
            <v>0.82001990243465595</v>
          </cell>
          <cell r="H35">
            <v>1.2342208888938058</v>
          </cell>
          <cell r="I35">
            <v>1.693350480027509</v>
          </cell>
          <cell r="J35">
            <v>2.108246119480083</v>
          </cell>
          <cell r="K35">
            <v>2.2525363674713526</v>
          </cell>
          <cell r="L35">
            <v>2.462735277658628</v>
          </cell>
          <cell r="M35">
            <v>2.5971563816005094</v>
          </cell>
          <cell r="N35">
            <v>2.7981749720863864</v>
          </cell>
          <cell r="O35">
            <v>2.9802787696961248</v>
          </cell>
        </row>
        <row r="36">
          <cell r="B36" t="str">
            <v>Model EPS</v>
          </cell>
          <cell r="D36">
            <v>4.402203461316236</v>
          </cell>
          <cell r="E36">
            <v>4.3992851339707242</v>
          </cell>
          <cell r="F36">
            <v>5.1512469838065913</v>
          </cell>
          <cell r="G36">
            <v>5.9197160312166224</v>
          </cell>
          <cell r="H36">
            <v>6.7278990297263608</v>
          </cell>
          <cell r="I36">
            <v>7.2979105974996905</v>
          </cell>
          <cell r="J36">
            <v>8.086358481731498</v>
          </cell>
          <cell r="K36">
            <v>8.6334305752194442</v>
          </cell>
          <cell r="L36">
            <v>9.4063913392402032</v>
          </cell>
          <cell r="M36">
            <v>9.7914627309818378</v>
          </cell>
          <cell r="N36">
            <v>10.414111102199115</v>
          </cell>
          <cell r="O36">
            <v>10.950239758709918</v>
          </cell>
        </row>
        <row r="37">
          <cell r="B37" t="str">
            <v>MON EPS</v>
          </cell>
          <cell r="D37">
            <v>4.4227029661330182</v>
          </cell>
          <cell r="E37">
            <v>4.4611229549654183</v>
          </cell>
          <cell r="F37">
            <v>5.3405655653446695</v>
          </cell>
          <cell r="G37">
            <v>6.7397359336512785</v>
          </cell>
          <cell r="H37">
            <v>7.9621199186201661</v>
          </cell>
          <cell r="I37">
            <v>8.9912610775271986</v>
          </cell>
          <cell r="J37">
            <v>10.19460460121158</v>
          </cell>
          <cell r="K37">
            <v>10.885966942690796</v>
          </cell>
          <cell r="L37">
            <v>11.869126616898832</v>
          </cell>
          <cell r="M37">
            <v>12.388619112582347</v>
          </cell>
          <cell r="N37">
            <v>13.212286074285501</v>
          </cell>
          <cell r="O37">
            <v>13.930518528406044</v>
          </cell>
        </row>
        <row r="40">
          <cell r="B40" t="str">
            <v>Base Case</v>
          </cell>
        </row>
        <row r="42">
          <cell r="B42" t="str">
            <v>Incremental RR2Y Value</v>
          </cell>
          <cell r="D42">
            <v>20</v>
          </cell>
          <cell r="E42">
            <v>20</v>
          </cell>
          <cell r="F42">
            <v>20</v>
          </cell>
          <cell r="G42">
            <v>24</v>
          </cell>
          <cell r="H42">
            <v>26.400000000000002</v>
          </cell>
          <cell r="I42">
            <v>27.720000000000002</v>
          </cell>
          <cell r="J42">
            <v>29.106000000000005</v>
          </cell>
          <cell r="K42">
            <v>30.561300000000006</v>
          </cell>
          <cell r="L42">
            <v>32.089365000000008</v>
          </cell>
          <cell r="M42">
            <v>33.693833250000012</v>
          </cell>
          <cell r="N42">
            <v>35.378524912500012</v>
          </cell>
          <cell r="O42">
            <v>37.147451158125016</v>
          </cell>
        </row>
        <row r="43">
          <cell r="B43" t="str">
            <v>Increase</v>
          </cell>
          <cell r="D43">
            <v>0</v>
          </cell>
          <cell r="E43">
            <v>0</v>
          </cell>
          <cell r="F43">
            <v>0</v>
          </cell>
          <cell r="G43">
            <v>0.2</v>
          </cell>
          <cell r="H43">
            <v>0.1</v>
          </cell>
          <cell r="I43">
            <v>0.05</v>
          </cell>
          <cell r="J43">
            <v>0.05</v>
          </cell>
          <cell r="K43">
            <v>0.05</v>
          </cell>
          <cell r="L43">
            <v>0.05</v>
          </cell>
          <cell r="M43">
            <v>0.05</v>
          </cell>
          <cell r="N43">
            <v>0.05</v>
          </cell>
          <cell r="O43">
            <v>0.05</v>
          </cell>
          <cell r="R43" t="str">
            <v>Incremental RR2Y Value</v>
          </cell>
        </row>
        <row r="44">
          <cell r="S44" t="str">
            <v>Base Case</v>
          </cell>
          <cell r="T44" t="str">
            <v>Calculations</v>
          </cell>
          <cell r="U44" t="str">
            <v>Bull</v>
          </cell>
          <cell r="V44" t="str">
            <v>Bear</v>
          </cell>
        </row>
        <row r="45">
          <cell r="B45" t="str">
            <v>Roundup Ready to Yield Acres</v>
          </cell>
          <cell r="Q45" t="str">
            <v>A</v>
          </cell>
          <cell r="R45" t="str">
            <v>Soybean Price (bushel)</v>
          </cell>
          <cell r="S45">
            <v>8</v>
          </cell>
          <cell r="T45" t="str">
            <v>Assumption</v>
          </cell>
          <cell r="U45">
            <v>8</v>
          </cell>
          <cell r="V45">
            <v>8</v>
          </cell>
        </row>
        <row r="46">
          <cell r="B46" t="str">
            <v>Brazil</v>
          </cell>
          <cell r="D46">
            <v>0</v>
          </cell>
          <cell r="E46">
            <v>0</v>
          </cell>
          <cell r="F46">
            <v>0</v>
          </cell>
          <cell r="G46">
            <v>8</v>
          </cell>
          <cell r="H46">
            <v>20</v>
          </cell>
          <cell r="I46">
            <v>35</v>
          </cell>
          <cell r="J46">
            <v>45</v>
          </cell>
          <cell r="K46">
            <v>45</v>
          </cell>
          <cell r="L46">
            <v>45</v>
          </cell>
          <cell r="M46">
            <v>45</v>
          </cell>
          <cell r="N46">
            <v>45</v>
          </cell>
          <cell r="O46">
            <v>45</v>
          </cell>
          <cell r="Q46" t="str">
            <v>B</v>
          </cell>
          <cell r="R46" t="str">
            <v>Average Yield Improvement</v>
          </cell>
          <cell r="S46">
            <v>4</v>
          </cell>
          <cell r="T46" t="str">
            <v>Assumption</v>
          </cell>
          <cell r="U46">
            <v>5</v>
          </cell>
          <cell r="V46">
            <v>3</v>
          </cell>
        </row>
        <row r="47">
          <cell r="B47" t="str">
            <v>Argentina</v>
          </cell>
          <cell r="D47">
            <v>0</v>
          </cell>
          <cell r="E47">
            <v>0</v>
          </cell>
          <cell r="F47">
            <v>0</v>
          </cell>
          <cell r="G47">
            <v>5</v>
          </cell>
          <cell r="H47">
            <v>12</v>
          </cell>
          <cell r="I47">
            <v>20</v>
          </cell>
          <cell r="J47">
            <v>25</v>
          </cell>
          <cell r="K47">
            <v>25</v>
          </cell>
          <cell r="L47">
            <v>25</v>
          </cell>
          <cell r="M47">
            <v>25</v>
          </cell>
          <cell r="N47">
            <v>25</v>
          </cell>
          <cell r="O47">
            <v>25</v>
          </cell>
          <cell r="Q47" t="str">
            <v>C</v>
          </cell>
          <cell r="R47" t="str">
            <v>Farmer Productivity Revenue</v>
          </cell>
          <cell r="S47">
            <v>32</v>
          </cell>
          <cell r="T47" t="str">
            <v>A * B</v>
          </cell>
          <cell r="U47">
            <v>40</v>
          </cell>
          <cell r="V47">
            <v>24</v>
          </cell>
        </row>
        <row r="48">
          <cell r="B48" t="str">
            <v>US</v>
          </cell>
          <cell r="D48">
            <v>2</v>
          </cell>
          <cell r="E48">
            <v>6</v>
          </cell>
          <cell r="F48">
            <v>18</v>
          </cell>
          <cell r="G48">
            <v>50</v>
          </cell>
          <cell r="H48">
            <v>50</v>
          </cell>
          <cell r="I48">
            <v>50</v>
          </cell>
          <cell r="J48">
            <v>50</v>
          </cell>
          <cell r="K48">
            <v>50</v>
          </cell>
          <cell r="L48">
            <v>50</v>
          </cell>
          <cell r="M48">
            <v>50</v>
          </cell>
          <cell r="N48">
            <v>50</v>
          </cell>
          <cell r="O48">
            <v>50</v>
          </cell>
          <cell r="Q48" t="str">
            <v>D</v>
          </cell>
          <cell r="R48" t="str">
            <v>Trait Retail Price</v>
          </cell>
          <cell r="S48">
            <v>20</v>
          </cell>
          <cell r="T48" t="str">
            <v>K / J</v>
          </cell>
          <cell r="U48">
            <v>18.058690744920991</v>
          </cell>
          <cell r="V48">
            <v>10.835214446952596</v>
          </cell>
        </row>
        <row r="49">
          <cell r="Q49" t="str">
            <v>E</v>
          </cell>
          <cell r="R49" t="str">
            <v>Trait Gross Profit</v>
          </cell>
          <cell r="S49">
            <v>12</v>
          </cell>
          <cell r="T49" t="str">
            <v>C - D</v>
          </cell>
          <cell r="U49">
            <v>21.941309255079009</v>
          </cell>
          <cell r="V49">
            <v>13.164785553047404</v>
          </cell>
        </row>
        <row r="50">
          <cell r="B50" t="str">
            <v>Bull Case</v>
          </cell>
          <cell r="Q50" t="str">
            <v>F</v>
          </cell>
          <cell r="R50" t="str">
            <v>Average Fuel &amp; Herbicide Savings</v>
          </cell>
          <cell r="S50">
            <v>0</v>
          </cell>
          <cell r="T50" t="str">
            <v>Assumption</v>
          </cell>
          <cell r="U50">
            <v>0</v>
          </cell>
          <cell r="V50">
            <v>0</v>
          </cell>
        </row>
        <row r="51">
          <cell r="Q51" t="str">
            <v>G</v>
          </cell>
          <cell r="R51" t="str">
            <v>Total Farmer Gross Profit</v>
          </cell>
          <cell r="S51">
            <v>12</v>
          </cell>
          <cell r="T51" t="str">
            <v>E + F</v>
          </cell>
          <cell r="U51">
            <v>21.941309255079009</v>
          </cell>
          <cell r="V51">
            <v>13.164785553047404</v>
          </cell>
        </row>
        <row r="52">
          <cell r="B52" t="str">
            <v>Incremental RR2Y Value</v>
          </cell>
          <cell r="D52">
            <v>18.058690744920991</v>
          </cell>
          <cell r="E52">
            <v>18.058690744920991</v>
          </cell>
          <cell r="F52">
            <v>18.058690744920991</v>
          </cell>
          <cell r="G52">
            <v>22.573363431151243</v>
          </cell>
          <cell r="H52">
            <v>27.088036117381492</v>
          </cell>
          <cell r="I52">
            <v>33.860045146726861</v>
          </cell>
          <cell r="J52">
            <v>40.632054176072238</v>
          </cell>
          <cell r="K52">
            <v>42.663656884875849</v>
          </cell>
          <cell r="L52">
            <v>44.79683972911964</v>
          </cell>
          <cell r="M52">
            <v>47.036681715575625</v>
          </cell>
          <cell r="N52">
            <v>49.388515801354409</v>
          </cell>
          <cell r="O52">
            <v>51.857941591422133</v>
          </cell>
          <cell r="AH52" t="str">
            <v>Year</v>
          </cell>
          <cell r="AI52" t="str">
            <v>Acres</v>
          </cell>
          <cell r="AJ52">
            <v>1</v>
          </cell>
        </row>
        <row r="53">
          <cell r="B53" t="str">
            <v>Increase</v>
          </cell>
          <cell r="D53">
            <v>0</v>
          </cell>
          <cell r="E53">
            <v>0</v>
          </cell>
          <cell r="F53">
            <v>0</v>
          </cell>
          <cell r="G53">
            <v>0.25000000000000022</v>
          </cell>
          <cell r="H53">
            <v>0.19999999999999996</v>
          </cell>
          <cell r="I53">
            <v>0.24999999999999978</v>
          </cell>
          <cell r="J53">
            <v>0.20000000000000018</v>
          </cell>
          <cell r="K53">
            <v>0.05</v>
          </cell>
          <cell r="L53">
            <v>0.05</v>
          </cell>
          <cell r="M53">
            <v>0.05</v>
          </cell>
          <cell r="N53">
            <v>0.05</v>
          </cell>
          <cell r="O53">
            <v>0.05</v>
          </cell>
          <cell r="Q53" t="str">
            <v>H</v>
          </cell>
          <cell r="R53" t="str">
            <v>Trait Retail Price</v>
          </cell>
          <cell r="S53">
            <v>20</v>
          </cell>
          <cell r="T53" t="str">
            <v>K / J</v>
          </cell>
          <cell r="U53">
            <v>18.058690744920991</v>
          </cell>
          <cell r="V53">
            <v>10.835214446952598</v>
          </cell>
        </row>
        <row r="54">
          <cell r="Q54" t="str">
            <v>J</v>
          </cell>
          <cell r="R54" t="str">
            <v>Retail Capture</v>
          </cell>
          <cell r="S54">
            <v>0.75</v>
          </cell>
          <cell r="T54" t="str">
            <v>Assumption</v>
          </cell>
          <cell r="U54">
            <v>0.75</v>
          </cell>
          <cell r="V54">
            <v>0.75</v>
          </cell>
        </row>
        <row r="55">
          <cell r="B55" t="str">
            <v>Roundup Ready to Yield Acres</v>
          </cell>
          <cell r="Q55" t="str">
            <v>K</v>
          </cell>
          <cell r="R55" t="str">
            <v>Monsanto Revenue</v>
          </cell>
          <cell r="S55">
            <v>15</v>
          </cell>
          <cell r="T55" t="str">
            <v>L + M</v>
          </cell>
          <cell r="U55">
            <v>13.544018058690746</v>
          </cell>
          <cell r="V55">
            <v>8.1264108352144486</v>
          </cell>
        </row>
        <row r="56">
          <cell r="B56" t="str">
            <v>Brazil</v>
          </cell>
          <cell r="D56">
            <v>0</v>
          </cell>
          <cell r="E56">
            <v>0</v>
          </cell>
          <cell r="F56">
            <v>0</v>
          </cell>
          <cell r="G56">
            <v>10</v>
          </cell>
          <cell r="H56">
            <v>20</v>
          </cell>
          <cell r="I56">
            <v>45</v>
          </cell>
          <cell r="J56">
            <v>45</v>
          </cell>
          <cell r="K56">
            <v>45</v>
          </cell>
          <cell r="L56">
            <v>45</v>
          </cell>
          <cell r="M56">
            <v>45</v>
          </cell>
          <cell r="N56">
            <v>45</v>
          </cell>
          <cell r="O56">
            <v>45</v>
          </cell>
          <cell r="Q56" t="str">
            <v>L</v>
          </cell>
          <cell r="R56" t="str">
            <v>Monsanto COGS</v>
          </cell>
          <cell r="S56">
            <v>2.8499999999999996</v>
          </cell>
          <cell r="T56" t="str">
            <v>K * (1 - N)</v>
          </cell>
          <cell r="U56">
            <v>2.573363431151241</v>
          </cell>
          <cell r="V56">
            <v>1.5440180586907448</v>
          </cell>
          <cell r="AH56">
            <v>2008</v>
          </cell>
          <cell r="AI56" t="str">
            <v>Pricing</v>
          </cell>
          <cell r="AJ56">
            <v>1</v>
          </cell>
        </row>
        <row r="57">
          <cell r="B57" t="str">
            <v>Argentina</v>
          </cell>
          <cell r="D57">
            <v>0</v>
          </cell>
          <cell r="E57">
            <v>0</v>
          </cell>
          <cell r="F57">
            <v>0</v>
          </cell>
          <cell r="G57">
            <v>8</v>
          </cell>
          <cell r="H57">
            <v>18</v>
          </cell>
          <cell r="I57">
            <v>25</v>
          </cell>
          <cell r="J57">
            <v>25</v>
          </cell>
          <cell r="K57">
            <v>25</v>
          </cell>
          <cell r="L57">
            <v>25</v>
          </cell>
          <cell r="M57">
            <v>25</v>
          </cell>
          <cell r="N57">
            <v>25</v>
          </cell>
          <cell r="O57">
            <v>25</v>
          </cell>
          <cell r="Q57" t="str">
            <v>M</v>
          </cell>
          <cell r="R57" t="str">
            <v>Monsanto Gross Profit</v>
          </cell>
          <cell r="S57">
            <v>12.15</v>
          </cell>
          <cell r="T57" t="str">
            <v>G * (3/2) * (1/3)</v>
          </cell>
          <cell r="U57">
            <v>10.970654627539504</v>
          </cell>
          <cell r="V57">
            <v>6.5823927765237018</v>
          </cell>
          <cell r="AH57">
            <v>2009</v>
          </cell>
          <cell r="AI57" t="str">
            <v>Base</v>
          </cell>
          <cell r="AJ57">
            <v>1</v>
          </cell>
        </row>
        <row r="58">
          <cell r="B58" t="str">
            <v>US</v>
          </cell>
          <cell r="D58">
            <v>4</v>
          </cell>
          <cell r="E58">
            <v>7</v>
          </cell>
          <cell r="F58">
            <v>25</v>
          </cell>
          <cell r="G58">
            <v>55</v>
          </cell>
          <cell r="H58">
            <v>55</v>
          </cell>
          <cell r="I58">
            <v>55</v>
          </cell>
          <cell r="J58">
            <v>55</v>
          </cell>
          <cell r="K58">
            <v>55</v>
          </cell>
          <cell r="L58">
            <v>55</v>
          </cell>
          <cell r="M58">
            <v>55</v>
          </cell>
          <cell r="N58">
            <v>55</v>
          </cell>
          <cell r="O58">
            <v>55</v>
          </cell>
          <cell r="Q58" t="str">
            <v>N</v>
          </cell>
          <cell r="R58" t="str">
            <v>Monsanto Gross Profit Margin</v>
          </cell>
          <cell r="S58">
            <v>0.81</v>
          </cell>
          <cell r="T58" t="str">
            <v>Assumption</v>
          </cell>
          <cell r="U58">
            <v>0.81</v>
          </cell>
          <cell r="V58">
            <v>0.81</v>
          </cell>
          <cell r="AH58">
            <v>2010</v>
          </cell>
          <cell r="AI58" t="str">
            <v>Bull</v>
          </cell>
          <cell r="AJ58">
            <v>2</v>
          </cell>
        </row>
        <row r="59">
          <cell r="AI59" t="str">
            <v>Bear</v>
          </cell>
          <cell r="AJ59">
            <v>3</v>
          </cell>
        </row>
        <row r="60">
          <cell r="B60" t="str">
            <v>Bear Case</v>
          </cell>
          <cell r="R60" t="str">
            <v>Upgrade branded Asgrow</v>
          </cell>
          <cell r="S60">
            <v>85</v>
          </cell>
          <cell r="T60">
            <v>140</v>
          </cell>
        </row>
        <row r="61">
          <cell r="R61" t="str">
            <v>Upgrade licensed seed</v>
          </cell>
          <cell r="S61">
            <v>220</v>
          </cell>
          <cell r="T61">
            <v>350</v>
          </cell>
        </row>
        <row r="62">
          <cell r="B62" t="str">
            <v>Incremental RR2Y Value</v>
          </cell>
          <cell r="D62">
            <v>10.835214446952598</v>
          </cell>
          <cell r="E62">
            <v>10.835214446952598</v>
          </cell>
          <cell r="F62">
            <v>10.835214446952598</v>
          </cell>
          <cell r="G62">
            <v>10.835214446952598</v>
          </cell>
          <cell r="H62">
            <v>10.835214446952598</v>
          </cell>
          <cell r="I62">
            <v>10.835214446952598</v>
          </cell>
          <cell r="J62">
            <v>10.835214446952598</v>
          </cell>
          <cell r="K62">
            <v>10.835214446952598</v>
          </cell>
          <cell r="L62">
            <v>10.835214446952598</v>
          </cell>
          <cell r="M62">
            <v>10.835214446952598</v>
          </cell>
          <cell r="N62">
            <v>10.835214446952598</v>
          </cell>
          <cell r="O62">
            <v>10.835214446952598</v>
          </cell>
          <cell r="R62" t="str">
            <v>Total</v>
          </cell>
          <cell r="S62">
            <v>305</v>
          </cell>
          <cell r="T62">
            <v>490</v>
          </cell>
        </row>
        <row r="63">
          <cell r="B63" t="str">
            <v>Increase</v>
          </cell>
          <cell r="D63">
            <v>0</v>
          </cell>
          <cell r="E63">
            <v>0</v>
          </cell>
          <cell r="F63">
            <v>0</v>
          </cell>
          <cell r="G63">
            <v>0</v>
          </cell>
          <cell r="H63">
            <v>0</v>
          </cell>
          <cell r="I63">
            <v>0</v>
          </cell>
          <cell r="J63">
            <v>0</v>
          </cell>
          <cell r="K63">
            <v>0</v>
          </cell>
          <cell r="L63">
            <v>0</v>
          </cell>
          <cell r="M63">
            <v>0</v>
          </cell>
          <cell r="N63">
            <v>0</v>
          </cell>
          <cell r="O63">
            <v>0</v>
          </cell>
          <cell r="AH63">
            <v>2014</v>
          </cell>
        </row>
        <row r="64">
          <cell r="R64" t="str">
            <v>GAT loss</v>
          </cell>
          <cell r="S64">
            <v>150</v>
          </cell>
          <cell r="T64">
            <v>150</v>
          </cell>
          <cell r="AH64">
            <v>2015</v>
          </cell>
        </row>
        <row r="65">
          <cell r="B65" t="str">
            <v>Roundup Ready to Yield Acres</v>
          </cell>
          <cell r="AH65">
            <v>2016</v>
          </cell>
        </row>
        <row r="66">
          <cell r="B66" t="str">
            <v>Brazil</v>
          </cell>
          <cell r="D66">
            <v>0</v>
          </cell>
          <cell r="E66">
            <v>0</v>
          </cell>
          <cell r="F66">
            <v>0</v>
          </cell>
          <cell r="G66">
            <v>0</v>
          </cell>
          <cell r="H66">
            <v>5</v>
          </cell>
          <cell r="I66">
            <v>15</v>
          </cell>
          <cell r="J66">
            <v>30</v>
          </cell>
          <cell r="K66">
            <v>30</v>
          </cell>
          <cell r="L66">
            <v>30</v>
          </cell>
          <cell r="M66">
            <v>30</v>
          </cell>
          <cell r="N66">
            <v>30</v>
          </cell>
          <cell r="O66">
            <v>30</v>
          </cell>
          <cell r="R66" t="str">
            <v>Could also take pricing</v>
          </cell>
          <cell r="AH66">
            <v>2017</v>
          </cell>
        </row>
        <row r="67">
          <cell r="B67" t="str">
            <v>Argentina</v>
          </cell>
          <cell r="D67">
            <v>0</v>
          </cell>
          <cell r="E67">
            <v>0</v>
          </cell>
          <cell r="F67">
            <v>0</v>
          </cell>
          <cell r="G67">
            <v>0</v>
          </cell>
          <cell r="H67">
            <v>5</v>
          </cell>
          <cell r="I67">
            <v>10</v>
          </cell>
          <cell r="J67">
            <v>17</v>
          </cell>
          <cell r="K67">
            <v>17</v>
          </cell>
          <cell r="L67">
            <v>17</v>
          </cell>
          <cell r="M67">
            <v>17</v>
          </cell>
          <cell r="N67">
            <v>17</v>
          </cell>
          <cell r="O67">
            <v>17</v>
          </cell>
        </row>
        <row r="68">
          <cell r="B68" t="str">
            <v>US</v>
          </cell>
          <cell r="D68">
            <v>0</v>
          </cell>
          <cell r="E68">
            <v>5</v>
          </cell>
          <cell r="F68">
            <v>15</v>
          </cell>
          <cell r="G68">
            <v>35</v>
          </cell>
          <cell r="H68">
            <v>45</v>
          </cell>
          <cell r="I68">
            <v>45</v>
          </cell>
          <cell r="J68">
            <v>45</v>
          </cell>
          <cell r="K68">
            <v>45</v>
          </cell>
          <cell r="L68">
            <v>45</v>
          </cell>
          <cell r="M68">
            <v>45</v>
          </cell>
          <cell r="N68">
            <v>45</v>
          </cell>
          <cell r="O68">
            <v>45</v>
          </cell>
        </row>
      </sheetData>
      <sheetData sheetId="12">
        <row r="1">
          <cell r="A1" t="str">
            <v>Omega 3 Soybeans</v>
          </cell>
          <cell r="F1" t="str">
            <v>high value: &gt;$30 acre</v>
          </cell>
          <cell r="J1" t="str">
            <v>STACK</v>
          </cell>
        </row>
        <row r="2">
          <cell r="A2" t="str">
            <v>PHASE 3</v>
          </cell>
          <cell r="D2" t="str">
            <v>Base</v>
          </cell>
          <cell r="E2" t="str">
            <v>Acres</v>
          </cell>
          <cell r="F2" t="str">
            <v>value created through product with similar profile to soybean oil but with a superior nutritional profile like fish oil</v>
          </cell>
        </row>
        <row r="3">
          <cell r="A3" t="str">
            <v>Assume Launch is</v>
          </cell>
          <cell r="D3" t="str">
            <v>Base</v>
          </cell>
          <cell r="E3" t="str">
            <v>Pricing</v>
          </cell>
          <cell r="F3" t="str">
            <v>yield on par with commodity soybeans</v>
          </cell>
        </row>
        <row r="4">
          <cell r="B4">
            <v>2010</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Omega 3 Acres</v>
          </cell>
        </row>
        <row r="7">
          <cell r="B7" t="str">
            <v>US</v>
          </cell>
          <cell r="E7">
            <v>0</v>
          </cell>
          <cell r="F7">
            <v>0.7</v>
          </cell>
          <cell r="G7">
            <v>0.9</v>
          </cell>
          <cell r="H7">
            <v>1</v>
          </cell>
          <cell r="I7">
            <v>1</v>
          </cell>
          <cell r="J7">
            <v>1</v>
          </cell>
          <cell r="K7">
            <v>1</v>
          </cell>
          <cell r="L7">
            <v>1</v>
          </cell>
          <cell r="M7">
            <v>1</v>
          </cell>
          <cell r="N7">
            <v>1</v>
          </cell>
          <cell r="O7">
            <v>1</v>
          </cell>
        </row>
        <row r="9">
          <cell r="B9" t="str">
            <v>MON TAKE</v>
          </cell>
          <cell r="E9">
            <v>0.75</v>
          </cell>
          <cell r="F9">
            <v>0.75</v>
          </cell>
          <cell r="G9">
            <v>0.75</v>
          </cell>
          <cell r="H9">
            <v>0.75</v>
          </cell>
          <cell r="I9">
            <v>0.75</v>
          </cell>
          <cell r="J9">
            <v>0.75</v>
          </cell>
          <cell r="K9">
            <v>0.75</v>
          </cell>
          <cell r="L9">
            <v>0.75</v>
          </cell>
          <cell r="M9">
            <v>0.75</v>
          </cell>
          <cell r="N9">
            <v>0.75</v>
          </cell>
          <cell r="O9">
            <v>0.75</v>
          </cell>
        </row>
        <row r="11">
          <cell r="C11">
            <v>2008</v>
          </cell>
          <cell r="D11">
            <v>2009</v>
          </cell>
          <cell r="E11">
            <v>2010</v>
          </cell>
          <cell r="F11">
            <v>2011</v>
          </cell>
          <cell r="G11">
            <v>2012</v>
          </cell>
          <cell r="H11">
            <v>2013</v>
          </cell>
          <cell r="I11">
            <v>2014</v>
          </cell>
          <cell r="J11">
            <v>2015</v>
          </cell>
          <cell r="K11">
            <v>2016</v>
          </cell>
          <cell r="L11">
            <v>2017</v>
          </cell>
          <cell r="M11">
            <v>2018</v>
          </cell>
          <cell r="N11">
            <v>2019</v>
          </cell>
          <cell r="O11">
            <v>2020</v>
          </cell>
        </row>
        <row r="12">
          <cell r="B12" t="str">
            <v>Incremental Omega-3 Pricing</v>
          </cell>
          <cell r="E12">
            <v>30</v>
          </cell>
          <cell r="F12">
            <v>31.5</v>
          </cell>
          <cell r="G12">
            <v>33.075000000000003</v>
          </cell>
          <cell r="H12">
            <v>34.728750000000005</v>
          </cell>
          <cell r="I12">
            <v>36.465187500000006</v>
          </cell>
          <cell r="J12">
            <v>38.288446875000005</v>
          </cell>
          <cell r="K12">
            <v>40.20286921875001</v>
          </cell>
          <cell r="L12">
            <v>42.213012679687509</v>
          </cell>
          <cell r="M12">
            <v>44.323663313671886</v>
          </cell>
          <cell r="N12">
            <v>46.539846479355482</v>
          </cell>
          <cell r="O12">
            <v>48.866838803323262</v>
          </cell>
        </row>
        <row r="13">
          <cell r="B13" t="str">
            <v>Increase</v>
          </cell>
          <cell r="E13">
            <v>0</v>
          </cell>
          <cell r="F13">
            <v>0.05</v>
          </cell>
          <cell r="G13">
            <v>0.05</v>
          </cell>
          <cell r="H13">
            <v>0.05</v>
          </cell>
          <cell r="I13">
            <v>0.05</v>
          </cell>
          <cell r="J13">
            <v>0.05</v>
          </cell>
          <cell r="K13">
            <v>0.05</v>
          </cell>
          <cell r="L13">
            <v>0.05</v>
          </cell>
          <cell r="M13">
            <v>0.05</v>
          </cell>
          <cell r="N13">
            <v>0.05</v>
          </cell>
          <cell r="O13">
            <v>0.05</v>
          </cell>
        </row>
        <row r="15">
          <cell r="B15" t="str">
            <v>Total US Acreage</v>
          </cell>
          <cell r="E15">
            <v>0</v>
          </cell>
          <cell r="F15">
            <v>0.7</v>
          </cell>
          <cell r="G15">
            <v>0.9</v>
          </cell>
          <cell r="H15">
            <v>1</v>
          </cell>
          <cell r="I15">
            <v>1</v>
          </cell>
          <cell r="J15">
            <v>1</v>
          </cell>
          <cell r="K15">
            <v>1</v>
          </cell>
          <cell r="L15">
            <v>1</v>
          </cell>
          <cell r="M15">
            <v>1</v>
          </cell>
          <cell r="N15">
            <v>1</v>
          </cell>
          <cell r="O15">
            <v>1</v>
          </cell>
        </row>
        <row r="17">
          <cell r="B17" t="str">
            <v>Revenue</v>
          </cell>
          <cell r="E17">
            <v>0</v>
          </cell>
          <cell r="F17">
            <v>16.537499999999998</v>
          </cell>
          <cell r="G17">
            <v>22.325625000000002</v>
          </cell>
          <cell r="H17">
            <v>26.046562500000004</v>
          </cell>
          <cell r="I17">
            <v>27.348890625000003</v>
          </cell>
          <cell r="J17">
            <v>28.716335156250004</v>
          </cell>
          <cell r="K17">
            <v>30.152151914062507</v>
          </cell>
          <cell r="L17">
            <v>31.659759509765632</v>
          </cell>
          <cell r="M17">
            <v>33.242747485253915</v>
          </cell>
          <cell r="N17">
            <v>34.904884859516613</v>
          </cell>
          <cell r="O17">
            <v>36.650129102492443</v>
          </cell>
        </row>
        <row r="18">
          <cell r="B18" t="str">
            <v>COGS</v>
          </cell>
          <cell r="E18">
            <v>0</v>
          </cell>
          <cell r="F18">
            <v>2.811375</v>
          </cell>
          <cell r="G18">
            <v>3.6837281250000018</v>
          </cell>
          <cell r="H18">
            <v>4.1674500000000023</v>
          </cell>
          <cell r="I18">
            <v>4.2390780468750009</v>
          </cell>
          <cell r="J18">
            <v>4.3074502734374995</v>
          </cell>
          <cell r="K18">
            <v>4.3720620275390658</v>
          </cell>
          <cell r="L18">
            <v>4.4323663313671879</v>
          </cell>
          <cell r="M18">
            <v>4.6539846479355482</v>
          </cell>
          <cell r="N18">
            <v>4.8866838803323276</v>
          </cell>
          <cell r="O18">
            <v>5.131018074348944</v>
          </cell>
        </row>
        <row r="19">
          <cell r="B19" t="str">
            <v>Gross Profit</v>
          </cell>
          <cell r="E19">
            <v>0</v>
          </cell>
          <cell r="F19">
            <v>13.726124999999998</v>
          </cell>
          <cell r="G19">
            <v>18.641896875</v>
          </cell>
          <cell r="H19">
            <v>21.879112500000002</v>
          </cell>
          <cell r="I19">
            <v>23.109812578125002</v>
          </cell>
          <cell r="J19">
            <v>24.408884882812504</v>
          </cell>
          <cell r="K19">
            <v>25.780089886523442</v>
          </cell>
          <cell r="L19">
            <v>27.227393178398444</v>
          </cell>
          <cell r="M19">
            <v>28.588762837318367</v>
          </cell>
          <cell r="N19">
            <v>30.018200979184286</v>
          </cell>
          <cell r="O19">
            <v>31.519111028143499</v>
          </cell>
        </row>
        <row r="20">
          <cell r="B20" t="str">
            <v>Gross Margin</v>
          </cell>
          <cell r="E20">
            <v>0.82499999999999996</v>
          </cell>
          <cell r="F20">
            <v>0.83</v>
          </cell>
          <cell r="G20">
            <v>0.83499999999999996</v>
          </cell>
          <cell r="H20">
            <v>0.84</v>
          </cell>
          <cell r="I20">
            <v>0.84499999999999997</v>
          </cell>
          <cell r="J20">
            <v>0.85</v>
          </cell>
          <cell r="K20">
            <v>0.85499999999999998</v>
          </cell>
          <cell r="L20">
            <v>0.86</v>
          </cell>
          <cell r="M20">
            <v>0.86</v>
          </cell>
          <cell r="N20">
            <v>0.86</v>
          </cell>
          <cell r="O20">
            <v>0.86</v>
          </cell>
        </row>
        <row r="21">
          <cell r="B21" t="str">
            <v>SG&amp;A % of Sales</v>
          </cell>
          <cell r="E21">
            <v>0.17499999999999999</v>
          </cell>
          <cell r="F21">
            <v>0.17</v>
          </cell>
          <cell r="G21">
            <v>0.17</v>
          </cell>
          <cell r="H21">
            <v>0.17</v>
          </cell>
          <cell r="I21">
            <v>0.16500000000000001</v>
          </cell>
          <cell r="J21">
            <v>0.16</v>
          </cell>
          <cell r="K21">
            <v>0.155</v>
          </cell>
          <cell r="L21">
            <v>0.15</v>
          </cell>
          <cell r="M21">
            <v>0.14499999999999999</v>
          </cell>
          <cell r="N21">
            <v>0.13999999999999999</v>
          </cell>
          <cell r="O21">
            <v>0.13499999999999998</v>
          </cell>
        </row>
        <row r="22">
          <cell r="B22" t="str">
            <v>R&amp;D % of Sales</v>
          </cell>
          <cell r="E22">
            <v>0.1</v>
          </cell>
          <cell r="F22">
            <v>0.1</v>
          </cell>
          <cell r="G22">
            <v>0.1</v>
          </cell>
          <cell r="H22">
            <v>0.09</v>
          </cell>
          <cell r="I22">
            <v>0.09</v>
          </cell>
          <cell r="J22">
            <v>0.09</v>
          </cell>
          <cell r="K22">
            <v>0.09</v>
          </cell>
          <cell r="L22">
            <v>0.09</v>
          </cell>
          <cell r="M22">
            <v>0.09</v>
          </cell>
          <cell r="N22">
            <v>0.09</v>
          </cell>
          <cell r="O22">
            <v>0.09</v>
          </cell>
        </row>
        <row r="23">
          <cell r="B23" t="str">
            <v>SG&amp;A</v>
          </cell>
          <cell r="E23">
            <v>0</v>
          </cell>
          <cell r="F23">
            <v>2.811375</v>
          </cell>
          <cell r="G23">
            <v>3.7953562500000007</v>
          </cell>
          <cell r="H23">
            <v>4.4279156250000007</v>
          </cell>
          <cell r="I23">
            <v>4.5125669531250008</v>
          </cell>
          <cell r="J23">
            <v>4.5946136250000009</v>
          </cell>
          <cell r="K23">
            <v>4.6735835466796889</v>
          </cell>
          <cell r="L23">
            <v>4.7489639264648442</v>
          </cell>
          <cell r="M23">
            <v>4.8201983853618176</v>
          </cell>
          <cell r="N23">
            <v>4.8866838803323258</v>
          </cell>
          <cell r="O23">
            <v>4.947767428836479</v>
          </cell>
        </row>
        <row r="24">
          <cell r="B24" t="str">
            <v>R&amp;D</v>
          </cell>
          <cell r="E24">
            <v>0</v>
          </cell>
          <cell r="F24">
            <v>1.6537499999999998</v>
          </cell>
          <cell r="G24">
            <v>2.2325625000000002</v>
          </cell>
          <cell r="H24">
            <v>2.3441906250000004</v>
          </cell>
          <cell r="I24">
            <v>2.4614001562500003</v>
          </cell>
          <cell r="J24">
            <v>2.5844701640625001</v>
          </cell>
          <cell r="K24">
            <v>2.7136936722656255</v>
          </cell>
          <cell r="L24">
            <v>2.8493783558789065</v>
          </cell>
          <cell r="M24">
            <v>2.9918472736728523</v>
          </cell>
          <cell r="N24">
            <v>3.1414396373564952</v>
          </cell>
          <cell r="O24">
            <v>3.2985116192243198</v>
          </cell>
          <cell r="R24" t="str">
            <v>A</v>
          </cell>
          <cell r="S24" t="str">
            <v>Trait Retail Price</v>
          </cell>
          <cell r="T24">
            <v>30</v>
          </cell>
          <cell r="U24" t="str">
            <v>Assumption</v>
          </cell>
        </row>
        <row r="25">
          <cell r="B25" t="str">
            <v>Operating Profit</v>
          </cell>
          <cell r="E25">
            <v>0</v>
          </cell>
          <cell r="F25">
            <v>9.2609999999999975</v>
          </cell>
          <cell r="G25">
            <v>12.613978124999999</v>
          </cell>
          <cell r="H25">
            <v>15.107006250000001</v>
          </cell>
          <cell r="I25">
            <v>16.135845468749999</v>
          </cell>
          <cell r="J25">
            <v>17.229801093750005</v>
          </cell>
          <cell r="K25">
            <v>18.392812667578127</v>
          </cell>
          <cell r="L25">
            <v>19.629050896054693</v>
          </cell>
          <cell r="M25">
            <v>20.776717178283697</v>
          </cell>
          <cell r="N25">
            <v>21.990077461495463</v>
          </cell>
          <cell r="O25">
            <v>23.272831980082699</v>
          </cell>
          <cell r="R25" t="str">
            <v>B</v>
          </cell>
          <cell r="S25" t="str">
            <v>Retail Capture</v>
          </cell>
          <cell r="T25">
            <v>0.63</v>
          </cell>
          <cell r="U25" t="str">
            <v>Assumption</v>
          </cell>
        </row>
        <row r="26">
          <cell r="B26" t="str">
            <v>Taxes</v>
          </cell>
          <cell r="E26">
            <v>0</v>
          </cell>
          <cell r="F26">
            <v>2.6949509999999992</v>
          </cell>
          <cell r="G26">
            <v>3.6580536562499995</v>
          </cell>
          <cell r="H26">
            <v>4.2752827687500004</v>
          </cell>
          <cell r="I26">
            <v>4.6793951859374996</v>
          </cell>
          <cell r="J26">
            <v>4.9018784111718761</v>
          </cell>
          <cell r="K26">
            <v>5.3707012989328131</v>
          </cell>
          <cell r="L26">
            <v>5.54520687813545</v>
          </cell>
          <cell r="M26">
            <v>6.0668014160588388</v>
          </cell>
          <cell r="N26">
            <v>6.282565130749254</v>
          </cell>
          <cell r="O26">
            <v>6.6793027782837342</v>
          </cell>
          <cell r="R26" t="str">
            <v>C</v>
          </cell>
          <cell r="S26" t="str">
            <v>Monsanto Revenue</v>
          </cell>
          <cell r="T26">
            <v>18.899999999999999</v>
          </cell>
          <cell r="U26" t="str">
            <v>A * B</v>
          </cell>
        </row>
        <row r="27">
          <cell r="B27" t="str">
            <v>Net Income</v>
          </cell>
          <cell r="E27">
            <v>0</v>
          </cell>
          <cell r="F27">
            <v>6.5660489999999978</v>
          </cell>
          <cell r="G27">
            <v>8.9559244687500001</v>
          </cell>
          <cell r="H27">
            <v>10.831723481250002</v>
          </cell>
          <cell r="I27">
            <v>11.456450282812499</v>
          </cell>
          <cell r="J27">
            <v>12.32792268257813</v>
          </cell>
          <cell r="K27">
            <v>13.022111368645314</v>
          </cell>
          <cell r="L27">
            <v>14.083844017919244</v>
          </cell>
          <cell r="M27">
            <v>14.709915762224858</v>
          </cell>
          <cell r="N27">
            <v>15.707512330746209</v>
          </cell>
          <cell r="O27">
            <v>16.593529201798965</v>
          </cell>
          <cell r="R27" t="str">
            <v>D</v>
          </cell>
          <cell r="S27" t="str">
            <v>Monsanto COGS</v>
          </cell>
          <cell r="T27">
            <v>3.307500000000001</v>
          </cell>
          <cell r="U27" t="str">
            <v>C - E</v>
          </cell>
        </row>
        <row r="28">
          <cell r="B28" t="str">
            <v>Shares Outstanding</v>
          </cell>
          <cell r="E28">
            <v>550.50532914025143</v>
          </cell>
          <cell r="F28">
            <v>546.02247259711453</v>
          </cell>
          <cell r="G28">
            <v>540.01981986685632</v>
          </cell>
          <cell r="H28">
            <v>532.90985748061826</v>
          </cell>
          <cell r="I28">
            <v>526.28758665809255</v>
          </cell>
          <cell r="J28">
            <v>520.0788934550003</v>
          </cell>
          <cell r="K28">
            <v>514.39027052012125</v>
          </cell>
          <cell r="L28">
            <v>509.05321088398051</v>
          </cell>
          <cell r="M28">
            <v>504.26395292909609</v>
          </cell>
          <cell r="N28">
            <v>499.87697018558663</v>
          </cell>
          <cell r="O28">
            <v>495.90200028742942</v>
          </cell>
          <cell r="R28" t="str">
            <v>E</v>
          </cell>
          <cell r="S28" t="str">
            <v>Monsanto Gross Profit</v>
          </cell>
          <cell r="T28">
            <v>15.592499999999998</v>
          </cell>
          <cell r="U28" t="str">
            <v>C * F</v>
          </cell>
        </row>
        <row r="29">
          <cell r="B29" t="str">
            <v>Accretive EPS</v>
          </cell>
          <cell r="E29">
            <v>0</v>
          </cell>
          <cell r="F29">
            <v>1.2025235827326087E-2</v>
          </cell>
          <cell r="G29">
            <v>1.6584436606341808E-2</v>
          </cell>
          <cell r="H29">
            <v>2.0325620420042517E-2</v>
          </cell>
          <cell r="I29">
            <v>2.1768422005847696E-2</v>
          </cell>
          <cell r="J29">
            <v>2.3703947300535474E-2</v>
          </cell>
          <cell r="K29">
            <v>2.5315625343142901E-2</v>
          </cell>
          <cell r="L29">
            <v>2.7666742330261278E-2</v>
          </cell>
          <cell r="M29">
            <v>2.9171063441636093E-2</v>
          </cell>
          <cell r="N29">
            <v>3.1422756533301711E-2</v>
          </cell>
          <cell r="O29">
            <v>3.3461307258654337E-2</v>
          </cell>
          <cell r="R29" t="str">
            <v>F</v>
          </cell>
          <cell r="S29" t="str">
            <v>Monsanto Gross Profit Margin</v>
          </cell>
          <cell r="T29">
            <v>0.82499999999999996</v>
          </cell>
          <cell r="U29" t="str">
            <v>Assumption</v>
          </cell>
        </row>
        <row r="30">
          <cell r="B30" t="str">
            <v>Model EPS</v>
          </cell>
          <cell r="E30">
            <v>4.3992851339707242</v>
          </cell>
          <cell r="F30">
            <v>5.1512469838065913</v>
          </cell>
          <cell r="G30">
            <v>5.9197160312166224</v>
          </cell>
          <cell r="H30">
            <v>6.7278990297263608</v>
          </cell>
          <cell r="I30">
            <v>7.2979105974996905</v>
          </cell>
          <cell r="J30">
            <v>8.086358481731498</v>
          </cell>
          <cell r="K30">
            <v>8.6334305752194442</v>
          </cell>
          <cell r="L30">
            <v>9.4063913392402032</v>
          </cell>
          <cell r="M30">
            <v>9.7914627309818378</v>
          </cell>
          <cell r="N30">
            <v>10.414111102199115</v>
          </cell>
          <cell r="O30">
            <v>10.950239758709918</v>
          </cell>
          <cell r="AB30">
            <v>75</v>
          </cell>
        </row>
        <row r="31">
          <cell r="B31" t="str">
            <v>MON EPS</v>
          </cell>
          <cell r="E31">
            <v>4.3992851339707242</v>
          </cell>
          <cell r="F31">
            <v>5.1632722196339174</v>
          </cell>
          <cell r="G31">
            <v>5.9363004678229645</v>
          </cell>
          <cell r="H31">
            <v>6.7482246501464029</v>
          </cell>
          <cell r="I31">
            <v>7.3196790195055383</v>
          </cell>
          <cell r="J31">
            <v>8.110062429032034</v>
          </cell>
          <cell r="K31">
            <v>8.6587462005625877</v>
          </cell>
          <cell r="L31">
            <v>9.4340580815704644</v>
          </cell>
          <cell r="M31">
            <v>9.8206337944234736</v>
          </cell>
          <cell r="N31">
            <v>10.445533858732416</v>
          </cell>
          <cell r="O31">
            <v>10.983701065968573</v>
          </cell>
        </row>
        <row r="34">
          <cell r="B34" t="str">
            <v>Base Case</v>
          </cell>
          <cell r="C34" t="str">
            <v>&lt;1M market opportunity</v>
          </cell>
        </row>
        <row r="36">
          <cell r="B36" t="str">
            <v>Incremental Omega3 Value</v>
          </cell>
          <cell r="E36">
            <v>30</v>
          </cell>
          <cell r="F36">
            <v>31.5</v>
          </cell>
          <cell r="G36">
            <v>33.075000000000003</v>
          </cell>
          <cell r="H36">
            <v>34.728750000000005</v>
          </cell>
          <cell r="I36">
            <v>36.465187500000006</v>
          </cell>
          <cell r="J36">
            <v>38.288446875000005</v>
          </cell>
          <cell r="K36">
            <v>40.20286921875001</v>
          </cell>
          <cell r="L36">
            <v>42.213012679687509</v>
          </cell>
          <cell r="M36">
            <v>44.323663313671886</v>
          </cell>
          <cell r="N36">
            <v>46.539846479355482</v>
          </cell>
          <cell r="O36">
            <v>48.866838803323262</v>
          </cell>
        </row>
        <row r="37">
          <cell r="B37" t="str">
            <v>Increase</v>
          </cell>
          <cell r="E37">
            <v>0</v>
          </cell>
          <cell r="F37">
            <v>0.05</v>
          </cell>
          <cell r="G37">
            <v>0.05</v>
          </cell>
          <cell r="H37">
            <v>0.05</v>
          </cell>
          <cell r="I37">
            <v>0.05</v>
          </cell>
          <cell r="J37">
            <v>0.05</v>
          </cell>
          <cell r="K37">
            <v>0.05</v>
          </cell>
          <cell r="L37">
            <v>0.05</v>
          </cell>
          <cell r="M37">
            <v>0.05</v>
          </cell>
          <cell r="N37">
            <v>0.05</v>
          </cell>
          <cell r="O37">
            <v>0.05</v>
          </cell>
        </row>
        <row r="39">
          <cell r="B39" t="str">
            <v>Omega 3 Acres</v>
          </cell>
          <cell r="E39">
            <v>0</v>
          </cell>
          <cell r="F39">
            <v>0.7</v>
          </cell>
          <cell r="G39">
            <v>0.9</v>
          </cell>
          <cell r="H39">
            <v>1</v>
          </cell>
          <cell r="I39">
            <v>1</v>
          </cell>
          <cell r="J39">
            <v>1</v>
          </cell>
          <cell r="K39">
            <v>1</v>
          </cell>
          <cell r="L39">
            <v>1</v>
          </cell>
          <cell r="M39">
            <v>1</v>
          </cell>
          <cell r="N39">
            <v>1</v>
          </cell>
          <cell r="O39">
            <v>1</v>
          </cell>
        </row>
        <row r="41">
          <cell r="B41" t="str">
            <v>Bull Case</v>
          </cell>
        </row>
        <row r="43">
          <cell r="B43" t="str">
            <v>Incremental Omega3 Value</v>
          </cell>
          <cell r="E43">
            <v>35</v>
          </cell>
          <cell r="F43">
            <v>37.450000000000003</v>
          </cell>
          <cell r="G43">
            <v>40.071500000000007</v>
          </cell>
          <cell r="H43">
            <v>42.876505000000009</v>
          </cell>
          <cell r="I43">
            <v>45.877860350000013</v>
          </cell>
          <cell r="J43">
            <v>49.089310574500018</v>
          </cell>
          <cell r="K43">
            <v>52.525562314715025</v>
          </cell>
          <cell r="L43">
            <v>56.202351676745081</v>
          </cell>
          <cell r="M43">
            <v>60.136516294117243</v>
          </cell>
          <cell r="N43">
            <v>64.346072434705448</v>
          </cell>
          <cell r="O43">
            <v>68.850297505134833</v>
          </cell>
        </row>
        <row r="44">
          <cell r="B44" t="str">
            <v>Increase</v>
          </cell>
          <cell r="E44">
            <v>0</v>
          </cell>
          <cell r="F44">
            <v>7.0000000000000007E-2</v>
          </cell>
          <cell r="G44">
            <v>7.0000000000000007E-2</v>
          </cell>
          <cell r="H44">
            <v>7.0000000000000007E-2</v>
          </cell>
          <cell r="I44">
            <v>7.0000000000000007E-2</v>
          </cell>
          <cell r="J44">
            <v>7.0000000000000007E-2</v>
          </cell>
          <cell r="K44">
            <v>7.0000000000000007E-2</v>
          </cell>
          <cell r="L44">
            <v>7.0000000000000007E-2</v>
          </cell>
          <cell r="M44">
            <v>7.0000000000000007E-2</v>
          </cell>
          <cell r="N44">
            <v>7.0000000000000007E-2</v>
          </cell>
          <cell r="O44">
            <v>7.0000000000000007E-2</v>
          </cell>
        </row>
        <row r="46">
          <cell r="B46" t="str">
            <v>Omega 3 Acres</v>
          </cell>
          <cell r="E46">
            <v>0.5</v>
          </cell>
          <cell r="F46">
            <v>0.8</v>
          </cell>
          <cell r="G46">
            <v>1</v>
          </cell>
          <cell r="H46">
            <v>1</v>
          </cell>
          <cell r="I46">
            <v>1</v>
          </cell>
          <cell r="J46">
            <v>1</v>
          </cell>
          <cell r="K46">
            <v>1</v>
          </cell>
          <cell r="L46">
            <v>1</v>
          </cell>
          <cell r="M46">
            <v>1</v>
          </cell>
          <cell r="N46">
            <v>1</v>
          </cell>
          <cell r="O46">
            <v>1</v>
          </cell>
        </row>
        <row r="47">
          <cell r="X47" t="str">
            <v>pricing</v>
          </cell>
          <cell r="Y47">
            <v>1</v>
          </cell>
        </row>
        <row r="48">
          <cell r="B48" t="str">
            <v>Bear Case</v>
          </cell>
          <cell r="W48" t="str">
            <v>Year</v>
          </cell>
          <cell r="X48" t="str">
            <v>Acres</v>
          </cell>
          <cell r="Y48">
            <v>1</v>
          </cell>
        </row>
        <row r="49">
          <cell r="W49">
            <v>2009</v>
          </cell>
          <cell r="X49" t="str">
            <v>Base</v>
          </cell>
          <cell r="Y49">
            <v>1</v>
          </cell>
        </row>
        <row r="50">
          <cell r="B50" t="str">
            <v>Incremental Omega3 Value</v>
          </cell>
          <cell r="E50">
            <v>30</v>
          </cell>
          <cell r="F50">
            <v>30</v>
          </cell>
          <cell r="G50">
            <v>30</v>
          </cell>
          <cell r="H50">
            <v>30</v>
          </cell>
          <cell r="I50">
            <v>30</v>
          </cell>
          <cell r="J50">
            <v>30</v>
          </cell>
          <cell r="K50">
            <v>30</v>
          </cell>
          <cell r="L50">
            <v>30</v>
          </cell>
          <cell r="M50">
            <v>30</v>
          </cell>
          <cell r="N50">
            <v>30</v>
          </cell>
          <cell r="O50">
            <v>30</v>
          </cell>
          <cell r="W50">
            <v>2010</v>
          </cell>
          <cell r="X50" t="str">
            <v>Bull</v>
          </cell>
          <cell r="Y50">
            <v>2</v>
          </cell>
        </row>
        <row r="51">
          <cell r="B51" t="str">
            <v>Increase</v>
          </cell>
          <cell r="E51">
            <v>0</v>
          </cell>
          <cell r="F51">
            <v>0</v>
          </cell>
          <cell r="G51">
            <v>0</v>
          </cell>
          <cell r="H51">
            <v>0</v>
          </cell>
          <cell r="I51">
            <v>0</v>
          </cell>
          <cell r="J51">
            <v>0</v>
          </cell>
          <cell r="K51">
            <v>0</v>
          </cell>
          <cell r="L51">
            <v>0</v>
          </cell>
          <cell r="M51">
            <v>0</v>
          </cell>
          <cell r="N51">
            <v>0</v>
          </cell>
          <cell r="O51">
            <v>0</v>
          </cell>
          <cell r="W51">
            <v>2011</v>
          </cell>
          <cell r="X51" t="str">
            <v>Bear</v>
          </cell>
          <cell r="Y51">
            <v>3</v>
          </cell>
        </row>
        <row r="52">
          <cell r="W52">
            <v>2012</v>
          </cell>
        </row>
        <row r="53">
          <cell r="B53" t="str">
            <v>Omega 3 Acres</v>
          </cell>
          <cell r="E53">
            <v>0</v>
          </cell>
          <cell r="F53">
            <v>0.3</v>
          </cell>
          <cell r="G53">
            <v>0.6</v>
          </cell>
          <cell r="H53">
            <v>0.8</v>
          </cell>
          <cell r="I53">
            <v>1</v>
          </cell>
          <cell r="J53">
            <v>1</v>
          </cell>
          <cell r="K53">
            <v>1</v>
          </cell>
          <cell r="L53">
            <v>1</v>
          </cell>
          <cell r="M53">
            <v>1</v>
          </cell>
          <cell r="N53">
            <v>1</v>
          </cell>
          <cell r="O53">
            <v>1</v>
          </cell>
          <cell r="W53">
            <v>2013</v>
          </cell>
        </row>
        <row r="54">
          <cell r="W54">
            <v>2014</v>
          </cell>
        </row>
        <row r="56">
          <cell r="W56">
            <v>2016</v>
          </cell>
        </row>
      </sheetData>
      <sheetData sheetId="13">
        <row r="1">
          <cell r="A1" t="str">
            <v>High Oil Soybeans</v>
          </cell>
          <cell r="F1" t="str">
            <v>targeted to improve oil crushing yield</v>
          </cell>
          <cell r="J1" t="str">
            <v>consistent 1.5% increase in oil</v>
          </cell>
          <cell r="Q1" t="str">
            <v>42.8 bu/acre</v>
          </cell>
        </row>
        <row r="2">
          <cell r="A2" t="str">
            <v>PHASE 3</v>
          </cell>
          <cell r="D2" t="str">
            <v>Base</v>
          </cell>
          <cell r="E2" t="str">
            <v>Acres</v>
          </cell>
          <cell r="F2" t="str">
            <v>significant oil advantage</v>
          </cell>
          <cell r="J2" t="str">
            <v>soybean oil</v>
          </cell>
        </row>
        <row r="3">
          <cell r="A3" t="str">
            <v>Assume Launch is</v>
          </cell>
          <cell r="D3" t="str">
            <v>Base</v>
          </cell>
          <cell r="E3" t="str">
            <v>Pricing</v>
          </cell>
          <cell r="F3" t="str">
            <v>small value: &lt;$10/acre</v>
          </cell>
          <cell r="J3" t="str">
            <v>11.28 pounds soybean oil/bushel soybeans</v>
          </cell>
        </row>
        <row r="4">
          <cell r="B4">
            <v>2011</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High Oil Acres</v>
          </cell>
        </row>
        <row r="7">
          <cell r="B7" t="str">
            <v>US</v>
          </cell>
          <cell r="F7">
            <v>5</v>
          </cell>
          <cell r="G7">
            <v>7</v>
          </cell>
          <cell r="H7">
            <v>13</v>
          </cell>
          <cell r="I7">
            <v>25</v>
          </cell>
          <cell r="J7">
            <v>25</v>
          </cell>
          <cell r="K7">
            <v>25</v>
          </cell>
          <cell r="L7">
            <v>25</v>
          </cell>
          <cell r="M7">
            <v>25</v>
          </cell>
          <cell r="N7">
            <v>25</v>
          </cell>
          <cell r="O7">
            <v>25</v>
          </cell>
        </row>
        <row r="9">
          <cell r="B9" t="str">
            <v>MON TAKE</v>
          </cell>
          <cell r="F9">
            <v>0.75</v>
          </cell>
          <cell r="G9">
            <v>0.75</v>
          </cell>
          <cell r="H9">
            <v>0.75</v>
          </cell>
          <cell r="I9">
            <v>0.75</v>
          </cell>
          <cell r="J9">
            <v>0.75</v>
          </cell>
          <cell r="K9">
            <v>0.75</v>
          </cell>
          <cell r="L9">
            <v>0.75</v>
          </cell>
          <cell r="M9">
            <v>0.75</v>
          </cell>
          <cell r="N9">
            <v>0.75</v>
          </cell>
          <cell r="O9">
            <v>0.75</v>
          </cell>
        </row>
        <row r="11">
          <cell r="C11">
            <v>2008</v>
          </cell>
          <cell r="D11">
            <v>2009</v>
          </cell>
          <cell r="E11">
            <v>2010</v>
          </cell>
          <cell r="F11">
            <v>2011</v>
          </cell>
          <cell r="G11">
            <v>2012</v>
          </cell>
          <cell r="H11">
            <v>2013</v>
          </cell>
          <cell r="I11">
            <v>2014</v>
          </cell>
          <cell r="J11">
            <v>2015</v>
          </cell>
          <cell r="K11">
            <v>2016</v>
          </cell>
          <cell r="L11">
            <v>2017</v>
          </cell>
          <cell r="M11">
            <v>2018</v>
          </cell>
          <cell r="N11">
            <v>2019</v>
          </cell>
          <cell r="O11">
            <v>2020</v>
          </cell>
        </row>
        <row r="12">
          <cell r="B12" t="str">
            <v>Incremental High Oil Pricing</v>
          </cell>
          <cell r="F12">
            <v>1.073049385474852</v>
          </cell>
          <cell r="G12">
            <v>1.1267018547485945</v>
          </cell>
          <cell r="H12">
            <v>1.1830369474860243</v>
          </cell>
          <cell r="I12">
            <v>1.2421887948603256</v>
          </cell>
          <cell r="J12">
            <v>1.304298234603342</v>
          </cell>
          <cell r="K12">
            <v>1.3695131463335093</v>
          </cell>
          <cell r="L12">
            <v>1.4379888036501849</v>
          </cell>
          <cell r="M12">
            <v>1.5098882438326942</v>
          </cell>
          <cell r="N12">
            <v>1.5853826560243289</v>
          </cell>
          <cell r="O12">
            <v>1.6646517888255454</v>
          </cell>
        </row>
        <row r="13">
          <cell r="B13" t="str">
            <v>Increase</v>
          </cell>
          <cell r="F13">
            <v>0</v>
          </cell>
          <cell r="G13">
            <v>0.05</v>
          </cell>
          <cell r="H13">
            <v>0.05</v>
          </cell>
          <cell r="I13">
            <v>0.05</v>
          </cell>
          <cell r="J13">
            <v>0.05</v>
          </cell>
          <cell r="K13">
            <v>0.05</v>
          </cell>
          <cell r="L13">
            <v>0.05</v>
          </cell>
          <cell r="M13">
            <v>0.05</v>
          </cell>
          <cell r="N13">
            <v>0.05</v>
          </cell>
          <cell r="O13">
            <v>0.05</v>
          </cell>
        </row>
        <row r="15">
          <cell r="B15" t="str">
            <v>Total US Acreage</v>
          </cell>
          <cell r="F15">
            <v>5</v>
          </cell>
          <cell r="G15">
            <v>7</v>
          </cell>
          <cell r="H15">
            <v>13</v>
          </cell>
          <cell r="I15">
            <v>25</v>
          </cell>
          <cell r="J15">
            <v>25</v>
          </cell>
          <cell r="K15">
            <v>25</v>
          </cell>
          <cell r="L15">
            <v>25</v>
          </cell>
          <cell r="M15">
            <v>25</v>
          </cell>
          <cell r="N15">
            <v>25</v>
          </cell>
          <cell r="O15">
            <v>25</v>
          </cell>
          <cell r="R15" t="str">
            <v>Soybean Oil</v>
          </cell>
        </row>
        <row r="17">
          <cell r="B17" t="str">
            <v>Revenue</v>
          </cell>
          <cell r="F17">
            <v>4.0239351955306955</v>
          </cell>
          <cell r="G17">
            <v>5.9151847374301214</v>
          </cell>
          <cell r="H17">
            <v>11.534610237988737</v>
          </cell>
          <cell r="I17">
            <v>23.291039903631106</v>
          </cell>
          <cell r="J17">
            <v>24.455591898812663</v>
          </cell>
          <cell r="K17">
            <v>25.6783714937533</v>
          </cell>
          <cell r="L17">
            <v>26.962290068440964</v>
          </cell>
          <cell r="M17">
            <v>28.310404571863018</v>
          </cell>
          <cell r="N17">
            <v>29.725924800456166</v>
          </cell>
          <cell r="O17">
            <v>31.212221040478976</v>
          </cell>
          <cell r="R17" t="str">
            <v>Bu/acre</v>
          </cell>
          <cell r="T17">
            <v>43</v>
          </cell>
        </row>
        <row r="18">
          <cell r="B18" t="str">
            <v>COGS</v>
          </cell>
          <cell r="F18">
            <v>0.7041886592178721</v>
          </cell>
          <cell r="G18">
            <v>1.0055814053631211</v>
          </cell>
          <cell r="H18">
            <v>1.9032106892681426</v>
          </cell>
          <cell r="I18">
            <v>3.7265663845809769</v>
          </cell>
          <cell r="J18">
            <v>3.7906167443159617</v>
          </cell>
          <cell r="K18">
            <v>3.8517557240629969</v>
          </cell>
          <cell r="L18">
            <v>3.90953205992394</v>
          </cell>
          <cell r="M18">
            <v>4.1050086629201381</v>
          </cell>
          <cell r="N18">
            <v>4.3102590960661438</v>
          </cell>
          <cell r="O18">
            <v>4.5257720508694526</v>
          </cell>
          <cell r="R18" t="str">
            <v>Pounds Oil/bushel</v>
          </cell>
          <cell r="T18">
            <v>11.28</v>
          </cell>
        </row>
        <row r="19">
          <cell r="B19" t="str">
            <v>Gross Profit</v>
          </cell>
          <cell r="F19">
            <v>3.3197465363128233</v>
          </cell>
          <cell r="G19">
            <v>4.9096033320670003</v>
          </cell>
          <cell r="H19">
            <v>9.6313995487205943</v>
          </cell>
          <cell r="I19">
            <v>19.564473519050129</v>
          </cell>
          <cell r="J19">
            <v>20.664975154496702</v>
          </cell>
          <cell r="K19">
            <v>21.826615769690303</v>
          </cell>
          <cell r="L19">
            <v>23.052758008517024</v>
          </cell>
          <cell r="M19">
            <v>24.205395908942879</v>
          </cell>
          <cell r="N19">
            <v>25.415665704390022</v>
          </cell>
          <cell r="O19">
            <v>26.686448989609524</v>
          </cell>
          <cell r="R19" t="str">
            <v>Pounds Oil/Acre</v>
          </cell>
          <cell r="T19">
            <v>485.03999999999996</v>
          </cell>
        </row>
        <row r="20">
          <cell r="B20" t="str">
            <v>Gross Margin</v>
          </cell>
          <cell r="F20">
            <v>0.82499999999999996</v>
          </cell>
          <cell r="G20">
            <v>0.83</v>
          </cell>
          <cell r="H20">
            <v>0.83499999999999996</v>
          </cell>
          <cell r="I20">
            <v>0.84</v>
          </cell>
          <cell r="J20">
            <v>0.84499999999999997</v>
          </cell>
          <cell r="K20">
            <v>0.85</v>
          </cell>
          <cell r="L20">
            <v>0.85499999999999998</v>
          </cell>
          <cell r="M20">
            <v>0.85499999999999998</v>
          </cell>
          <cell r="N20">
            <v>0.85499999999999998</v>
          </cell>
          <cell r="O20">
            <v>0.85499999999999998</v>
          </cell>
          <cell r="R20" t="str">
            <v>Soybean oil $/lb</v>
          </cell>
          <cell r="T20">
            <v>0.33</v>
          </cell>
        </row>
        <row r="21">
          <cell r="B21" t="str">
            <v>SG&amp;A % of Sales</v>
          </cell>
          <cell r="F21">
            <v>0.17</v>
          </cell>
          <cell r="G21">
            <v>0.17</v>
          </cell>
          <cell r="H21">
            <v>0.17</v>
          </cell>
          <cell r="I21">
            <v>0.16500000000000001</v>
          </cell>
          <cell r="J21">
            <v>0.16</v>
          </cell>
          <cell r="K21">
            <v>0.155</v>
          </cell>
          <cell r="L21">
            <v>0.15</v>
          </cell>
          <cell r="M21">
            <v>0.14499999999999999</v>
          </cell>
          <cell r="N21">
            <v>0.13999999999999999</v>
          </cell>
          <cell r="O21">
            <v>0.13499999999999998</v>
          </cell>
        </row>
        <row r="22">
          <cell r="B22" t="str">
            <v>R&amp;D % of Sales</v>
          </cell>
          <cell r="F22">
            <v>0.1</v>
          </cell>
          <cell r="G22">
            <v>0.1</v>
          </cell>
          <cell r="H22">
            <v>0.09</v>
          </cell>
          <cell r="I22">
            <v>0.09</v>
          </cell>
          <cell r="J22">
            <v>0.09</v>
          </cell>
          <cell r="K22">
            <v>0.09</v>
          </cell>
          <cell r="L22">
            <v>0.09</v>
          </cell>
          <cell r="M22">
            <v>0.09</v>
          </cell>
          <cell r="N22">
            <v>0.09</v>
          </cell>
          <cell r="O22">
            <v>0.09</v>
          </cell>
        </row>
        <row r="23">
          <cell r="B23" t="str">
            <v>SG&amp;A</v>
          </cell>
          <cell r="F23">
            <v>0.68406898324021825</v>
          </cell>
          <cell r="G23">
            <v>1.0055814053631207</v>
          </cell>
          <cell r="H23">
            <v>1.9608837404580854</v>
          </cell>
          <cell r="I23">
            <v>3.8430215840991324</v>
          </cell>
          <cell r="J23">
            <v>3.9128947038100264</v>
          </cell>
          <cell r="K23">
            <v>3.9801475815317615</v>
          </cell>
          <cell r="L23">
            <v>4.0443435102661445</v>
          </cell>
          <cell r="M23">
            <v>4.1050086629201372</v>
          </cell>
          <cell r="N23">
            <v>4.1616294720638631</v>
          </cell>
          <cell r="O23">
            <v>4.2136498404646616</v>
          </cell>
          <cell r="R23" t="str">
            <v>$/acre</v>
          </cell>
          <cell r="T23">
            <v>160.06319999999999</v>
          </cell>
        </row>
        <row r="24">
          <cell r="B24" t="str">
            <v>R&amp;D</v>
          </cell>
          <cell r="F24">
            <v>0.40239351955306957</v>
          </cell>
          <cell r="G24">
            <v>0.59151847374301214</v>
          </cell>
          <cell r="H24">
            <v>1.0381149214189862</v>
          </cell>
          <cell r="I24">
            <v>2.0961935913267995</v>
          </cell>
          <cell r="J24">
            <v>2.2010032708931395</v>
          </cell>
          <cell r="K24">
            <v>2.3110534344377971</v>
          </cell>
          <cell r="L24">
            <v>2.4266061061596869</v>
          </cell>
          <cell r="M24">
            <v>2.5479364114676715</v>
          </cell>
          <cell r="N24">
            <v>2.675333232041055</v>
          </cell>
          <cell r="O24">
            <v>2.8090998936431077</v>
          </cell>
        </row>
        <row r="25">
          <cell r="B25" t="str">
            <v>Operating Profit</v>
          </cell>
          <cell r="F25">
            <v>2.2332840335195354</v>
          </cell>
          <cell r="G25">
            <v>3.3125034529608675</v>
          </cell>
          <cell r="H25">
            <v>6.6324008868435236</v>
          </cell>
          <cell r="I25">
            <v>13.625258343624196</v>
          </cell>
          <cell r="J25">
            <v>14.551077179793538</v>
          </cell>
          <cell r="K25">
            <v>15.535414753720746</v>
          </cell>
          <cell r="L25">
            <v>16.58180839209119</v>
          </cell>
          <cell r="M25">
            <v>17.552450834555071</v>
          </cell>
          <cell r="N25">
            <v>18.578703000285103</v>
          </cell>
          <cell r="O25">
            <v>19.663699255501754</v>
          </cell>
          <cell r="R25" t="str">
            <v>With High Oil Gene</v>
          </cell>
        </row>
        <row r="26">
          <cell r="B26" t="str">
            <v>Taxes</v>
          </cell>
          <cell r="F26">
            <v>0.64988565375418472</v>
          </cell>
          <cell r="G26">
            <v>0.9606260013586515</v>
          </cell>
          <cell r="H26">
            <v>1.876969450976717</v>
          </cell>
          <cell r="I26">
            <v>3.9513249196510167</v>
          </cell>
          <cell r="J26">
            <v>4.139781457651261</v>
          </cell>
          <cell r="K26">
            <v>4.5363411080864573</v>
          </cell>
          <cell r="L26">
            <v>4.6843608707657607</v>
          </cell>
          <cell r="M26">
            <v>5.1253156436900804</v>
          </cell>
          <cell r="N26">
            <v>5.3079354471814542</v>
          </cell>
          <cell r="O26">
            <v>5.6434816863290029</v>
          </cell>
        </row>
        <row r="27">
          <cell r="B27" t="str">
            <v>Net Income</v>
          </cell>
          <cell r="F27">
            <v>1.5833983797653506</v>
          </cell>
          <cell r="G27">
            <v>2.3518774516022161</v>
          </cell>
          <cell r="H27">
            <v>4.7554314358668064</v>
          </cell>
          <cell r="I27">
            <v>9.67393342397318</v>
          </cell>
          <cell r="J27">
            <v>10.411295722142277</v>
          </cell>
          <cell r="K27">
            <v>10.999073645634288</v>
          </cell>
          <cell r="L27">
            <v>11.897447521325429</v>
          </cell>
          <cell r="M27">
            <v>12.427135190864991</v>
          </cell>
          <cell r="N27">
            <v>13.270767553103649</v>
          </cell>
          <cell r="O27">
            <v>14.02021756917275</v>
          </cell>
          <cell r="R27" t="str">
            <v>Bu/acre</v>
          </cell>
          <cell r="T27">
            <v>43</v>
          </cell>
        </row>
        <row r="28">
          <cell r="B28" t="str">
            <v>Shares Outstanding</v>
          </cell>
          <cell r="F28">
            <v>546.02247259711453</v>
          </cell>
          <cell r="G28">
            <v>540.01981986685632</v>
          </cell>
          <cell r="H28">
            <v>532.90985748061826</v>
          </cell>
          <cell r="I28">
            <v>526.28758665809255</v>
          </cell>
          <cell r="J28">
            <v>520.0788934550003</v>
          </cell>
          <cell r="K28">
            <v>514.39027052012125</v>
          </cell>
          <cell r="L28">
            <v>509.05321088398051</v>
          </cell>
          <cell r="M28">
            <v>504.26395292909609</v>
          </cell>
          <cell r="N28">
            <v>499.87697018558663</v>
          </cell>
          <cell r="O28">
            <v>495.90200028742942</v>
          </cell>
          <cell r="R28" t="str">
            <v>Pounds Oil/bushel</v>
          </cell>
          <cell r="T28">
            <v>11.449199999999998</v>
          </cell>
        </row>
        <row r="29">
          <cell r="B29" t="str">
            <v>Accretive EPS</v>
          </cell>
          <cell r="F29">
            <v>2.8998776776238458E-3</v>
          </cell>
          <cell r="G29">
            <v>4.3551687643280934E-3</v>
          </cell>
          <cell r="H29">
            <v>8.9235193703275789E-3</v>
          </cell>
          <cell r="I29">
            <v>1.8381458482428423E-2</v>
          </cell>
          <cell r="J29">
            <v>2.0018685344021007E-2</v>
          </cell>
          <cell r="K29">
            <v>2.1382740452133106E-2</v>
          </cell>
          <cell r="L29">
            <v>2.3371716879391227E-2</v>
          </cell>
          <cell r="M29">
            <v>2.4644107750871405E-2</v>
          </cell>
          <cell r="N29">
            <v>2.6548067513845822E-2</v>
          </cell>
          <cell r="O29">
            <v>2.8272153693767118E-2</v>
          </cell>
          <cell r="R29" t="str">
            <v>Pounds Oil/Acre</v>
          </cell>
          <cell r="T29">
            <v>492.3155999999999</v>
          </cell>
          <cell r="U29">
            <v>7.2755999999999403</v>
          </cell>
        </row>
        <row r="30">
          <cell r="B30" t="str">
            <v>Model EPS</v>
          </cell>
          <cell r="F30">
            <v>5.1512469838065913</v>
          </cell>
          <cell r="G30">
            <v>5.9197160312166224</v>
          </cell>
          <cell r="H30">
            <v>6.7278990297263608</v>
          </cell>
          <cell r="I30">
            <v>7.2979105974996905</v>
          </cell>
          <cell r="J30">
            <v>8.086358481731498</v>
          </cell>
          <cell r="K30">
            <v>8.6334305752194442</v>
          </cell>
          <cell r="L30">
            <v>9.4063913392402032</v>
          </cell>
          <cell r="M30">
            <v>9.7914627309818378</v>
          </cell>
          <cell r="N30">
            <v>10.414111102199115</v>
          </cell>
          <cell r="O30">
            <v>10.950239758709918</v>
          </cell>
          <cell r="R30" t="str">
            <v>Soybean oil $/lb</v>
          </cell>
          <cell r="T30">
            <v>0.33</v>
          </cell>
        </row>
        <row r="31">
          <cell r="B31" t="str">
            <v>MON EPS</v>
          </cell>
          <cell r="F31">
            <v>5.1541468614842154</v>
          </cell>
          <cell r="G31">
            <v>5.9240711999809506</v>
          </cell>
          <cell r="H31">
            <v>6.7368225490966882</v>
          </cell>
          <cell r="I31">
            <v>7.3162920559821192</v>
          </cell>
          <cell r="J31">
            <v>8.1063771670755198</v>
          </cell>
          <cell r="K31">
            <v>8.6548133156715767</v>
          </cell>
          <cell r="L31">
            <v>9.4297630561195938</v>
          </cell>
          <cell r="M31">
            <v>9.8161068387327095</v>
          </cell>
          <cell r="N31">
            <v>10.44065916971296</v>
          </cell>
          <cell r="O31">
            <v>10.978511912403684</v>
          </cell>
          <cell r="R31" t="str">
            <v>$/acre</v>
          </cell>
          <cell r="T31">
            <v>162.46414799999997</v>
          </cell>
        </row>
        <row r="32">
          <cell r="S32" t="str">
            <v>Base Case</v>
          </cell>
          <cell r="T32" t="str">
            <v>Calculations</v>
          </cell>
        </row>
        <row r="33">
          <cell r="Q33" t="str">
            <v>A</v>
          </cell>
          <cell r="R33" t="str">
            <v>Soybean Oil Price (lb)</v>
          </cell>
          <cell r="S33">
            <v>0.33</v>
          </cell>
          <cell r="T33" t="str">
            <v>Assumption</v>
          </cell>
        </row>
        <row r="34">
          <cell r="B34" t="str">
            <v>Base Case</v>
          </cell>
          <cell r="Q34" t="str">
            <v>B</v>
          </cell>
          <cell r="R34" t="str">
            <v>Average Yield Improvement (lbs)</v>
          </cell>
          <cell r="S34">
            <v>7.2755999999999403</v>
          </cell>
          <cell r="T34" t="str">
            <v>Assumption</v>
          </cell>
        </row>
        <row r="35">
          <cell r="Q35" t="str">
            <v>C</v>
          </cell>
          <cell r="R35" t="str">
            <v>Farmer Productivity Revenue</v>
          </cell>
          <cell r="S35">
            <v>2.4009479999999805</v>
          </cell>
          <cell r="T35" t="str">
            <v>A * B</v>
          </cell>
        </row>
        <row r="36">
          <cell r="B36" t="str">
            <v>Incremental High Oil Value</v>
          </cell>
          <cell r="F36">
            <v>1.0730493854748513</v>
          </cell>
          <cell r="G36">
            <v>1.1267018547485939</v>
          </cell>
          <cell r="H36">
            <v>1.1830369474860236</v>
          </cell>
          <cell r="I36">
            <v>1.2421887948603247</v>
          </cell>
          <cell r="J36">
            <v>1.3042982346033409</v>
          </cell>
          <cell r="K36">
            <v>1.369513146333508</v>
          </cell>
          <cell r="L36">
            <v>1.4379888036501833</v>
          </cell>
          <cell r="M36">
            <v>1.5098882438326926</v>
          </cell>
          <cell r="N36">
            <v>1.5853826560243274</v>
          </cell>
          <cell r="O36">
            <v>1.6646517888255439</v>
          </cell>
          <cell r="Q36" t="str">
            <v>D</v>
          </cell>
          <cell r="R36" t="str">
            <v>Trait Retail Price</v>
          </cell>
          <cell r="S36">
            <v>1.0730493854748513</v>
          </cell>
          <cell r="T36" t="str">
            <v>K / J</v>
          </cell>
        </row>
        <row r="37">
          <cell r="B37" t="str">
            <v>Increase</v>
          </cell>
          <cell r="F37">
            <v>0</v>
          </cell>
          <cell r="G37">
            <v>0.05</v>
          </cell>
          <cell r="H37">
            <v>0.05</v>
          </cell>
          <cell r="I37">
            <v>0.05</v>
          </cell>
          <cell r="J37">
            <v>0.05</v>
          </cell>
          <cell r="K37">
            <v>0.05</v>
          </cell>
          <cell r="L37">
            <v>0.05</v>
          </cell>
          <cell r="M37">
            <v>0.05</v>
          </cell>
          <cell r="N37">
            <v>0.05</v>
          </cell>
          <cell r="O37">
            <v>0.05</v>
          </cell>
          <cell r="Q37" t="str">
            <v>E</v>
          </cell>
          <cell r="R37" t="str">
            <v>Trait Gross Profit</v>
          </cell>
          <cell r="S37">
            <v>1.3278986145251293</v>
          </cell>
          <cell r="T37" t="str">
            <v>C - D</v>
          </cell>
        </row>
        <row r="38">
          <cell r="Q38" t="str">
            <v>F</v>
          </cell>
          <cell r="R38" t="str">
            <v>Average Input Savings</v>
          </cell>
          <cell r="S38">
            <v>0</v>
          </cell>
          <cell r="T38" t="str">
            <v>Assumption</v>
          </cell>
        </row>
        <row r="39">
          <cell r="B39" t="str">
            <v>High Oil Acres</v>
          </cell>
          <cell r="F39">
            <v>5</v>
          </cell>
          <cell r="G39">
            <v>7</v>
          </cell>
          <cell r="H39">
            <v>13</v>
          </cell>
          <cell r="I39">
            <v>25</v>
          </cell>
          <cell r="J39">
            <v>25</v>
          </cell>
          <cell r="K39">
            <v>25</v>
          </cell>
          <cell r="L39">
            <v>25</v>
          </cell>
          <cell r="M39">
            <v>25</v>
          </cell>
          <cell r="N39">
            <v>25</v>
          </cell>
          <cell r="O39">
            <v>25</v>
          </cell>
          <cell r="Q39" t="str">
            <v>G</v>
          </cell>
          <cell r="R39" t="str">
            <v>Total Farmer Gross Profit</v>
          </cell>
          <cell r="S39">
            <v>1.3278986145251293</v>
          </cell>
          <cell r="T39" t="str">
            <v>E + F</v>
          </cell>
        </row>
        <row r="41">
          <cell r="B41" t="str">
            <v>Bull Case</v>
          </cell>
          <cell r="Q41" t="str">
            <v>H</v>
          </cell>
          <cell r="R41" t="str">
            <v>Trait Retail Price</v>
          </cell>
          <cell r="S41">
            <v>1.0730493854748513</v>
          </cell>
          <cell r="T41" t="str">
            <v>K / J</v>
          </cell>
        </row>
        <row r="42">
          <cell r="Q42" t="str">
            <v>J</v>
          </cell>
          <cell r="R42" t="str">
            <v>Retail Capture</v>
          </cell>
          <cell r="S42">
            <v>0.75</v>
          </cell>
          <cell r="T42" t="str">
            <v>Assumption</v>
          </cell>
        </row>
        <row r="43">
          <cell r="B43" t="str">
            <v>Incremental High Oil Value</v>
          </cell>
          <cell r="F43">
            <v>1.0730493854748513</v>
          </cell>
          <cell r="G43">
            <v>1.148162842458091</v>
          </cell>
          <cell r="H43">
            <v>1.2285342414301574</v>
          </cell>
          <cell r="I43">
            <v>1.3145316383302685</v>
          </cell>
          <cell r="J43">
            <v>1.4065488530133874</v>
          </cell>
          <cell r="K43">
            <v>1.5050072727243247</v>
          </cell>
          <cell r="L43">
            <v>1.6103577818150274</v>
          </cell>
          <cell r="M43">
            <v>1.7230828265420794</v>
          </cell>
          <cell r="N43">
            <v>1.8436986244000251</v>
          </cell>
          <cell r="O43">
            <v>1.972757528108027</v>
          </cell>
          <cell r="Q43" t="str">
            <v>K</v>
          </cell>
          <cell r="R43" t="str">
            <v>Monsanto Revenue</v>
          </cell>
          <cell r="S43">
            <v>0.80478703910613891</v>
          </cell>
          <cell r="T43" t="str">
            <v>L + M</v>
          </cell>
        </row>
        <row r="44">
          <cell r="B44" t="str">
            <v>Increase</v>
          </cell>
          <cell r="F44">
            <v>0</v>
          </cell>
          <cell r="G44">
            <v>7.0000000000000007E-2</v>
          </cell>
          <cell r="H44">
            <v>7.0000000000000007E-2</v>
          </cell>
          <cell r="I44">
            <v>7.0000000000000007E-2</v>
          </cell>
          <cell r="J44">
            <v>7.0000000000000007E-2</v>
          </cell>
          <cell r="K44">
            <v>7.0000000000000007E-2</v>
          </cell>
          <cell r="L44">
            <v>7.0000000000000007E-2</v>
          </cell>
          <cell r="M44">
            <v>7.0000000000000007E-2</v>
          </cell>
          <cell r="N44">
            <v>7.0000000000000007E-2</v>
          </cell>
          <cell r="O44">
            <v>7.0000000000000007E-2</v>
          </cell>
          <cell r="Q44" t="str">
            <v>L</v>
          </cell>
          <cell r="R44" t="str">
            <v>Monsanto COGS</v>
          </cell>
          <cell r="S44">
            <v>0.14083773184357434</v>
          </cell>
          <cell r="T44" t="str">
            <v>K * (1 - N)</v>
          </cell>
        </row>
        <row r="45">
          <cell r="Q45" t="str">
            <v>M</v>
          </cell>
          <cell r="R45" t="str">
            <v>Monsanto Gross Profit</v>
          </cell>
          <cell r="S45">
            <v>0.66394930726256463</v>
          </cell>
          <cell r="T45" t="str">
            <v>G * (3/2) * (1/3)</v>
          </cell>
        </row>
        <row r="46">
          <cell r="B46" t="str">
            <v>High Oil Acres</v>
          </cell>
          <cell r="F46">
            <v>5</v>
          </cell>
          <cell r="G46">
            <v>10</v>
          </cell>
          <cell r="H46">
            <v>18</v>
          </cell>
          <cell r="I46">
            <v>35</v>
          </cell>
          <cell r="J46">
            <v>35</v>
          </cell>
          <cell r="K46">
            <v>35</v>
          </cell>
          <cell r="L46">
            <v>35</v>
          </cell>
          <cell r="M46">
            <v>35</v>
          </cell>
          <cell r="N46">
            <v>35</v>
          </cell>
          <cell r="O46">
            <v>35</v>
          </cell>
          <cell r="Q46" t="str">
            <v>N</v>
          </cell>
          <cell r="R46" t="str">
            <v>Monsanto Gross Profit Margin</v>
          </cell>
          <cell r="S46">
            <v>0.82499999999999996</v>
          </cell>
          <cell r="T46" t="str">
            <v>Assumption</v>
          </cell>
        </row>
        <row r="48">
          <cell r="B48" t="str">
            <v>Bear Case</v>
          </cell>
        </row>
        <row r="50">
          <cell r="B50" t="str">
            <v>Incremental High Oil Value</v>
          </cell>
          <cell r="F50">
            <v>1.0730493854748513</v>
          </cell>
          <cell r="G50">
            <v>1.0730493854748513</v>
          </cell>
          <cell r="H50">
            <v>1.0730493854748513</v>
          </cell>
          <cell r="I50">
            <v>1.0730493854748513</v>
          </cell>
          <cell r="J50">
            <v>1.0730493854748513</v>
          </cell>
          <cell r="K50">
            <v>1.0730493854748513</v>
          </cell>
          <cell r="L50">
            <v>1.0730493854748513</v>
          </cell>
          <cell r="M50">
            <v>1.0730493854748513</v>
          </cell>
          <cell r="N50">
            <v>1.0730493854748513</v>
          </cell>
          <cell r="O50">
            <v>1.0730493854748513</v>
          </cell>
        </row>
        <row r="51">
          <cell r="B51" t="str">
            <v>Increase</v>
          </cell>
          <cell r="F51">
            <v>0</v>
          </cell>
          <cell r="G51">
            <v>0</v>
          </cell>
          <cell r="H51">
            <v>0</v>
          </cell>
          <cell r="I51">
            <v>0</v>
          </cell>
          <cell r="J51">
            <v>0</v>
          </cell>
          <cell r="K51">
            <v>0</v>
          </cell>
          <cell r="L51">
            <v>0</v>
          </cell>
          <cell r="M51">
            <v>0</v>
          </cell>
          <cell r="N51">
            <v>0</v>
          </cell>
          <cell r="O51">
            <v>0</v>
          </cell>
        </row>
        <row r="53">
          <cell r="B53" t="str">
            <v>High Oil Acres</v>
          </cell>
          <cell r="G53">
            <v>4</v>
          </cell>
          <cell r="H53">
            <v>7</v>
          </cell>
          <cell r="I53">
            <v>12</v>
          </cell>
          <cell r="J53">
            <v>15</v>
          </cell>
          <cell r="K53">
            <v>11</v>
          </cell>
          <cell r="L53">
            <v>11</v>
          </cell>
          <cell r="M53">
            <v>11</v>
          </cell>
          <cell r="N53">
            <v>11</v>
          </cell>
          <cell r="O53">
            <v>11</v>
          </cell>
        </row>
        <row r="54">
          <cell r="X54" t="str">
            <v>pricing</v>
          </cell>
          <cell r="Y54">
            <v>1</v>
          </cell>
        </row>
        <row r="55">
          <cell r="W55" t="str">
            <v>Year</v>
          </cell>
          <cell r="X55" t="str">
            <v>Acres</v>
          </cell>
          <cell r="Y55">
            <v>1</v>
          </cell>
        </row>
        <row r="56">
          <cell r="W56">
            <v>2009</v>
          </cell>
          <cell r="X56" t="str">
            <v>Base</v>
          </cell>
          <cell r="Y56">
            <v>1</v>
          </cell>
        </row>
        <row r="57">
          <cell r="W57">
            <v>2010</v>
          </cell>
          <cell r="X57" t="str">
            <v>Bull</v>
          </cell>
          <cell r="Y57">
            <v>2</v>
          </cell>
        </row>
        <row r="58">
          <cell r="W58">
            <v>2011</v>
          </cell>
          <cell r="X58" t="str">
            <v>Bear</v>
          </cell>
          <cell r="Y58">
            <v>3</v>
          </cell>
        </row>
        <row r="59">
          <cell r="W59">
            <v>2012</v>
          </cell>
        </row>
        <row r="60">
          <cell r="W60">
            <v>2013</v>
          </cell>
        </row>
        <row r="61">
          <cell r="W61">
            <v>2014</v>
          </cell>
        </row>
        <row r="62">
          <cell r="W62">
            <v>2015</v>
          </cell>
        </row>
        <row r="63">
          <cell r="W63">
            <v>2016</v>
          </cell>
        </row>
      </sheetData>
      <sheetData sheetId="14">
        <row r="1">
          <cell r="A1" t="str">
            <v>Vistive III Soybeans</v>
          </cell>
          <cell r="F1" t="str">
            <v>Vistive: Stacked with RR, premium paid to farmers is $.50 - $.65/bushel</v>
          </cell>
        </row>
        <row r="2">
          <cell r="A2" t="str">
            <v>PHASE 3</v>
          </cell>
          <cell r="D2" t="str">
            <v>Base</v>
          </cell>
          <cell r="E2" t="str">
            <v>Acres</v>
          </cell>
          <cell r="F2" t="str">
            <v>Vistive III:  Has replacement value, to be priced at a premium to conventional soybean oil</v>
          </cell>
        </row>
        <row r="3">
          <cell r="A3" t="str">
            <v>Assume Launch is</v>
          </cell>
          <cell r="D3" t="str">
            <v>Base</v>
          </cell>
          <cell r="E3" t="str">
            <v>Pricing</v>
          </cell>
          <cell r="F3" t="str">
            <v>MEDIUM VALUE: $10-$30</v>
          </cell>
          <cell r="L3" t="str">
            <v>Vistive I on 5M acres</v>
          </cell>
        </row>
        <row r="4">
          <cell r="B4">
            <v>2012</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Vistive III Acres</v>
          </cell>
        </row>
        <row r="7">
          <cell r="B7" t="str">
            <v>US</v>
          </cell>
          <cell r="G7">
            <v>4</v>
          </cell>
          <cell r="H7">
            <v>8</v>
          </cell>
          <cell r="I7">
            <v>16</v>
          </cell>
          <cell r="J7">
            <v>20</v>
          </cell>
          <cell r="K7">
            <v>20</v>
          </cell>
          <cell r="L7">
            <v>20</v>
          </cell>
          <cell r="M7">
            <v>20</v>
          </cell>
          <cell r="N7">
            <v>20</v>
          </cell>
          <cell r="O7">
            <v>20</v>
          </cell>
        </row>
        <row r="9">
          <cell r="B9" t="str">
            <v>MON TAKE</v>
          </cell>
          <cell r="G9">
            <v>0.75</v>
          </cell>
          <cell r="H9">
            <v>0.75</v>
          </cell>
          <cell r="I9">
            <v>0.75</v>
          </cell>
          <cell r="J9">
            <v>0.75</v>
          </cell>
          <cell r="K9">
            <v>0.75</v>
          </cell>
          <cell r="L9">
            <v>0.75</v>
          </cell>
          <cell r="M9">
            <v>0.75</v>
          </cell>
          <cell r="N9">
            <v>0.75</v>
          </cell>
          <cell r="O9">
            <v>0.75</v>
          </cell>
        </row>
        <row r="10">
          <cell r="C10">
            <v>2008</v>
          </cell>
          <cell r="D10">
            <v>2009</v>
          </cell>
          <cell r="E10">
            <v>2010</v>
          </cell>
          <cell r="F10">
            <v>2011</v>
          </cell>
          <cell r="G10">
            <v>2012</v>
          </cell>
          <cell r="H10">
            <v>2013</v>
          </cell>
          <cell r="I10">
            <v>2014</v>
          </cell>
          <cell r="J10">
            <v>2015</v>
          </cell>
          <cell r="K10">
            <v>2016</v>
          </cell>
          <cell r="L10">
            <v>2017</v>
          </cell>
          <cell r="M10">
            <v>2018</v>
          </cell>
          <cell r="N10">
            <v>2019</v>
          </cell>
          <cell r="O10">
            <v>2020</v>
          </cell>
        </row>
        <row r="11">
          <cell r="B11" t="str">
            <v>Incremental V3 Pricing</v>
          </cell>
          <cell r="G11">
            <v>12.491620111731841</v>
          </cell>
          <cell r="H11">
            <v>13.116201117318434</v>
          </cell>
          <cell r="I11">
            <v>13.772011173184357</v>
          </cell>
          <cell r="J11">
            <v>14.460611731843574</v>
          </cell>
          <cell r="K11">
            <v>15.183642318435753</v>
          </cell>
          <cell r="L11">
            <v>15.942824434357542</v>
          </cell>
          <cell r="M11">
            <v>16.73996565607542</v>
          </cell>
          <cell r="N11">
            <v>17.576963938879192</v>
          </cell>
          <cell r="O11">
            <v>18.455812135823152</v>
          </cell>
        </row>
        <row r="12">
          <cell r="B12" t="str">
            <v>Increase</v>
          </cell>
          <cell r="G12">
            <v>0</v>
          </cell>
          <cell r="H12">
            <v>0.05</v>
          </cell>
          <cell r="I12">
            <v>0.05</v>
          </cell>
          <cell r="J12">
            <v>0.05</v>
          </cell>
          <cell r="K12">
            <v>0.05</v>
          </cell>
          <cell r="L12">
            <v>0.05</v>
          </cell>
          <cell r="M12">
            <v>0.05</v>
          </cell>
          <cell r="N12">
            <v>0.05</v>
          </cell>
          <cell r="O12">
            <v>0.05</v>
          </cell>
        </row>
        <row r="14">
          <cell r="B14" t="str">
            <v>Total US Acreage</v>
          </cell>
          <cell r="G14">
            <v>4</v>
          </cell>
          <cell r="H14">
            <v>8</v>
          </cell>
          <cell r="I14">
            <v>16</v>
          </cell>
          <cell r="J14">
            <v>20</v>
          </cell>
          <cell r="K14">
            <v>20</v>
          </cell>
          <cell r="L14">
            <v>20</v>
          </cell>
          <cell r="M14">
            <v>20</v>
          </cell>
          <cell r="N14">
            <v>20</v>
          </cell>
          <cell r="O14">
            <v>20</v>
          </cell>
        </row>
        <row r="16">
          <cell r="B16" t="str">
            <v>Revenue</v>
          </cell>
          <cell r="G16">
            <v>37.474860335195523</v>
          </cell>
          <cell r="H16">
            <v>78.697206703910609</v>
          </cell>
          <cell r="I16">
            <v>165.26413407821229</v>
          </cell>
          <cell r="J16">
            <v>216.9091759776536</v>
          </cell>
          <cell r="K16">
            <v>227.75463477653631</v>
          </cell>
          <cell r="L16">
            <v>239.14236651536311</v>
          </cell>
          <cell r="M16">
            <v>251.09948484113127</v>
          </cell>
          <cell r="N16">
            <v>263.65445908318787</v>
          </cell>
          <cell r="O16">
            <v>276.83718203734725</v>
          </cell>
        </row>
        <row r="18">
          <cell r="B18" t="str">
            <v>COGS</v>
          </cell>
          <cell r="G18">
            <v>6.5581005586592198</v>
          </cell>
          <cell r="H18">
            <v>13.378525139664802</v>
          </cell>
          <cell r="I18">
            <v>27.26858212290503</v>
          </cell>
          <cell r="J18">
            <v>34.705468156424587</v>
          </cell>
          <cell r="K18">
            <v>35.301968390363129</v>
          </cell>
          <cell r="L18">
            <v>35.871354977304463</v>
          </cell>
          <cell r="M18">
            <v>37.664922726169692</v>
          </cell>
          <cell r="N18">
            <v>39.548168862478178</v>
          </cell>
          <cell r="O18">
            <v>41.525577305602098</v>
          </cell>
        </row>
        <row r="19">
          <cell r="B19" t="str">
            <v>Gross Profit</v>
          </cell>
          <cell r="G19">
            <v>30.916759776536303</v>
          </cell>
          <cell r="H19">
            <v>65.318681564245807</v>
          </cell>
          <cell r="I19">
            <v>137.99555195530726</v>
          </cell>
          <cell r="J19">
            <v>182.20370782122902</v>
          </cell>
          <cell r="K19">
            <v>192.45266638617318</v>
          </cell>
          <cell r="L19">
            <v>203.27101153805864</v>
          </cell>
          <cell r="M19">
            <v>213.43456211496158</v>
          </cell>
          <cell r="N19">
            <v>224.1062902207097</v>
          </cell>
          <cell r="O19">
            <v>235.31160473174515</v>
          </cell>
        </row>
        <row r="20">
          <cell r="B20" t="str">
            <v>Gross Margin</v>
          </cell>
          <cell r="G20">
            <v>0.82499999999999996</v>
          </cell>
          <cell r="H20">
            <v>0.83000000000000007</v>
          </cell>
          <cell r="I20">
            <v>0.83499999999999996</v>
          </cell>
          <cell r="J20">
            <v>0.84</v>
          </cell>
          <cell r="K20">
            <v>0.84499999999999997</v>
          </cell>
          <cell r="L20">
            <v>0.85</v>
          </cell>
          <cell r="M20">
            <v>0.85</v>
          </cell>
          <cell r="N20">
            <v>0.85</v>
          </cell>
          <cell r="O20">
            <v>0.85</v>
          </cell>
        </row>
        <row r="21">
          <cell r="G21">
            <v>0.82499999999999996</v>
          </cell>
          <cell r="H21">
            <v>0.83</v>
          </cell>
          <cell r="I21">
            <v>0.83499999999999996</v>
          </cell>
          <cell r="J21">
            <v>0.84</v>
          </cell>
          <cell r="K21">
            <v>0.84499999999999997</v>
          </cell>
          <cell r="L21">
            <v>0.85</v>
          </cell>
          <cell r="M21">
            <v>0.85</v>
          </cell>
          <cell r="N21">
            <v>0.85</v>
          </cell>
          <cell r="O21">
            <v>0.85</v>
          </cell>
        </row>
        <row r="22">
          <cell r="B22" t="str">
            <v>SG&amp;A % of Sales</v>
          </cell>
          <cell r="G22">
            <v>0.17</v>
          </cell>
          <cell r="H22">
            <v>0.17</v>
          </cell>
          <cell r="I22">
            <v>0.16500000000000001</v>
          </cell>
          <cell r="J22">
            <v>0.16</v>
          </cell>
          <cell r="K22">
            <v>0.155</v>
          </cell>
          <cell r="L22">
            <v>0.15</v>
          </cell>
          <cell r="M22">
            <v>0.14499999999999999</v>
          </cell>
          <cell r="N22">
            <v>0.13999999999999999</v>
          </cell>
          <cell r="O22">
            <v>0.13499999999999998</v>
          </cell>
        </row>
        <row r="23">
          <cell r="A23" t="str">
            <v xml:space="preserve"> </v>
          </cell>
          <cell r="B23" t="str">
            <v>R&amp;D % of Sales</v>
          </cell>
          <cell r="G23">
            <v>0.1</v>
          </cell>
          <cell r="H23">
            <v>0.09</v>
          </cell>
          <cell r="I23">
            <v>0.09</v>
          </cell>
          <cell r="J23">
            <v>0.09</v>
          </cell>
          <cell r="K23">
            <v>0.09</v>
          </cell>
          <cell r="L23">
            <v>0.09</v>
          </cell>
          <cell r="M23">
            <v>0.09</v>
          </cell>
          <cell r="N23">
            <v>0.09</v>
          </cell>
          <cell r="O23">
            <v>0.09</v>
          </cell>
        </row>
        <row r="24">
          <cell r="B24" t="str">
            <v>SG&amp;A</v>
          </cell>
          <cell r="G24">
            <v>6.3707262569832395</v>
          </cell>
          <cell r="H24">
            <v>13.378525139664804</v>
          </cell>
          <cell r="I24">
            <v>27.26858212290503</v>
          </cell>
          <cell r="J24">
            <v>34.70546815642458</v>
          </cell>
          <cell r="K24">
            <v>35.301968390363129</v>
          </cell>
          <cell r="L24">
            <v>35.871354977304463</v>
          </cell>
          <cell r="M24">
            <v>36.409425301964035</v>
          </cell>
          <cell r="N24">
            <v>36.911624271646296</v>
          </cell>
          <cell r="O24">
            <v>37.373019575041873</v>
          </cell>
        </row>
        <row r="25">
          <cell r="B25" t="str">
            <v>R&amp;D</v>
          </cell>
          <cell r="G25">
            <v>3.7474860335195523</v>
          </cell>
          <cell r="H25">
            <v>7.0827486033519547</v>
          </cell>
          <cell r="I25">
            <v>14.873772067039106</v>
          </cell>
          <cell r="J25">
            <v>19.521825837988825</v>
          </cell>
          <cell r="K25">
            <v>20.497917129888268</v>
          </cell>
          <cell r="L25">
            <v>21.522812986382679</v>
          </cell>
          <cell r="M25">
            <v>22.598953635701815</v>
          </cell>
          <cell r="N25">
            <v>23.728901317486908</v>
          </cell>
          <cell r="O25">
            <v>24.91534638336125</v>
          </cell>
        </row>
        <row r="26">
          <cell r="B26" t="str">
            <v>Operating Profit</v>
          </cell>
          <cell r="G26">
            <v>20.79854748603351</v>
          </cell>
          <cell r="H26">
            <v>44.857407821229053</v>
          </cell>
          <cell r="I26">
            <v>95.85319776536312</v>
          </cell>
          <cell r="J26">
            <v>127.9764138268156</v>
          </cell>
          <cell r="K26">
            <v>136.65278086592178</v>
          </cell>
          <cell r="L26">
            <v>145.87684357437149</v>
          </cell>
          <cell r="M26">
            <v>154.42618317729574</v>
          </cell>
          <cell r="N26">
            <v>163.46576463157649</v>
          </cell>
          <cell r="O26">
            <v>173.02323877334203</v>
          </cell>
        </row>
        <row r="27">
          <cell r="B27" t="str">
            <v>Taxes</v>
          </cell>
          <cell r="G27">
            <v>6.0315787709497171</v>
          </cell>
          <cell r="H27">
            <v>12.694646413407821</v>
          </cell>
          <cell r="I27">
            <v>27.797427351955303</v>
          </cell>
          <cell r="J27">
            <v>36.409289733729032</v>
          </cell>
          <cell r="K27">
            <v>39.902612012849161</v>
          </cell>
          <cell r="L27">
            <v>41.210208309759942</v>
          </cell>
          <cell r="M27">
            <v>45.092445487770355</v>
          </cell>
          <cell r="N27">
            <v>46.702168955241405</v>
          </cell>
          <cell r="O27">
            <v>49.65766952794916</v>
          </cell>
        </row>
        <row r="28">
          <cell r="B28" t="str">
            <v>Net Income</v>
          </cell>
          <cell r="G28">
            <v>14.766968715083792</v>
          </cell>
          <cell r="H28">
            <v>32.162761407821236</v>
          </cell>
          <cell r="I28">
            <v>68.055770413407814</v>
          </cell>
          <cell r="J28">
            <v>91.567124093086562</v>
          </cell>
          <cell r="K28">
            <v>96.750168853072623</v>
          </cell>
          <cell r="L28">
            <v>104.66663526461156</v>
          </cell>
          <cell r="M28">
            <v>109.33373768952538</v>
          </cell>
          <cell r="N28">
            <v>116.76359567633509</v>
          </cell>
          <cell r="O28">
            <v>123.36556924539286</v>
          </cell>
        </row>
        <row r="29">
          <cell r="B29" t="str">
            <v>Shares Outstanding</v>
          </cell>
          <cell r="G29">
            <v>540.01981986685632</v>
          </cell>
          <cell r="H29">
            <v>532.90985748061826</v>
          </cell>
          <cell r="I29">
            <v>526.28758665809255</v>
          </cell>
          <cell r="J29">
            <v>520.0788934550003</v>
          </cell>
          <cell r="K29">
            <v>514.39027052012125</v>
          </cell>
          <cell r="L29">
            <v>509.05321088398051</v>
          </cell>
          <cell r="M29">
            <v>504.26395292909609</v>
          </cell>
          <cell r="N29">
            <v>499.87697018558663</v>
          </cell>
          <cell r="O29">
            <v>495.90200028742942</v>
          </cell>
        </row>
        <row r="30">
          <cell r="B30" t="str">
            <v>Accretive EPS</v>
          </cell>
          <cell r="G30">
            <v>2.7345234696616573E-2</v>
          </cell>
          <cell r="H30">
            <v>6.0353099039814596E-2</v>
          </cell>
          <cell r="I30">
            <v>0.12931289306206048</v>
          </cell>
          <cell r="J30">
            <v>0.17606391115929682</v>
          </cell>
          <cell r="K30">
            <v>0.18808708950743669</v>
          </cell>
          <cell r="L30">
            <v>0.20561040187303006</v>
          </cell>
          <cell r="M30">
            <v>0.21681846789651185</v>
          </cell>
          <cell r="N30">
            <v>0.23358466710915868</v>
          </cell>
          <cell r="O30">
            <v>0.24877005774102348</v>
          </cell>
        </row>
        <row r="31">
          <cell r="B31" t="str">
            <v>Model EPS</v>
          </cell>
          <cell r="G31">
            <v>5.9197160312166224</v>
          </cell>
          <cell r="H31">
            <v>6.7278990297263608</v>
          </cell>
          <cell r="I31">
            <v>7.2979105974996905</v>
          </cell>
          <cell r="J31">
            <v>8.086358481731498</v>
          </cell>
          <cell r="K31">
            <v>8.6334305752194442</v>
          </cell>
          <cell r="L31">
            <v>9.4063913392402032</v>
          </cell>
          <cell r="M31">
            <v>9.7914627309818378</v>
          </cell>
          <cell r="N31">
            <v>10.414111102199115</v>
          </cell>
          <cell r="O31">
            <v>10.950239758709918</v>
          </cell>
        </row>
        <row r="32">
          <cell r="B32" t="str">
            <v>MON EPS</v>
          </cell>
          <cell r="G32">
            <v>5.9470612659132387</v>
          </cell>
          <cell r="H32">
            <v>6.7882521287661755</v>
          </cell>
          <cell r="I32">
            <v>7.4272234905617509</v>
          </cell>
          <cell r="J32">
            <v>8.2624223928907945</v>
          </cell>
          <cell r="K32">
            <v>8.8215176647268816</v>
          </cell>
          <cell r="L32">
            <v>9.6120017411132341</v>
          </cell>
          <cell r="M32">
            <v>10.00828119887835</v>
          </cell>
          <cell r="N32">
            <v>10.647695769308275</v>
          </cell>
          <cell r="O32">
            <v>11.199009816450941</v>
          </cell>
        </row>
        <row r="35">
          <cell r="A35" t="str">
            <v>Bear to Bull:</v>
          </cell>
        </row>
        <row r="36">
          <cell r="B36" t="str">
            <v>Base Case</v>
          </cell>
          <cell r="S36" t="str">
            <v>Base Case</v>
          </cell>
          <cell r="T36" t="str">
            <v>Calculations</v>
          </cell>
        </row>
        <row r="37">
          <cell r="Q37" t="str">
            <v>A</v>
          </cell>
          <cell r="R37" t="str">
            <v>Premium paid to farmers (bu)</v>
          </cell>
          <cell r="S37">
            <v>0.65</v>
          </cell>
          <cell r="T37" t="str">
            <v>Assumption</v>
          </cell>
        </row>
        <row r="38">
          <cell r="B38" t="str">
            <v>Incremental V3 Value</v>
          </cell>
          <cell r="G38">
            <v>12.491620111731841</v>
          </cell>
          <cell r="H38">
            <v>13.116201117318434</v>
          </cell>
          <cell r="I38">
            <v>13.772011173184357</v>
          </cell>
          <cell r="J38">
            <v>14.460611731843574</v>
          </cell>
          <cell r="K38">
            <v>15.183642318435753</v>
          </cell>
          <cell r="L38">
            <v>15.942824434357542</v>
          </cell>
          <cell r="M38">
            <v>16.73996565607542</v>
          </cell>
          <cell r="N38">
            <v>17.576963938879192</v>
          </cell>
          <cell r="O38">
            <v>18.455812135823152</v>
          </cell>
          <cell r="Q38" t="str">
            <v>B</v>
          </cell>
          <cell r="R38" t="str">
            <v>Average Yield/acre</v>
          </cell>
          <cell r="S38">
            <v>43</v>
          </cell>
          <cell r="T38" t="str">
            <v>Assumption</v>
          </cell>
        </row>
        <row r="39">
          <cell r="B39" t="str">
            <v>Increase</v>
          </cell>
          <cell r="G39">
            <v>0</v>
          </cell>
          <cell r="H39">
            <v>0.05</v>
          </cell>
          <cell r="I39">
            <v>0.05</v>
          </cell>
          <cell r="J39">
            <v>0.05</v>
          </cell>
          <cell r="K39">
            <v>0.05</v>
          </cell>
          <cell r="L39">
            <v>0.05</v>
          </cell>
          <cell r="M39">
            <v>0.05</v>
          </cell>
          <cell r="N39">
            <v>0.05</v>
          </cell>
          <cell r="O39">
            <v>0.05</v>
          </cell>
          <cell r="Q39" t="str">
            <v>C</v>
          </cell>
          <cell r="R39" t="str">
            <v>Farmer Productivity Revenue</v>
          </cell>
          <cell r="S39">
            <v>27.95</v>
          </cell>
          <cell r="T39" t="str">
            <v>A * B</v>
          </cell>
        </row>
        <row r="40">
          <cell r="Q40" t="str">
            <v>D</v>
          </cell>
          <cell r="R40" t="str">
            <v>Trait Retail Price</v>
          </cell>
          <cell r="S40">
            <v>12.491620111731846</v>
          </cell>
          <cell r="T40" t="str">
            <v>K / J</v>
          </cell>
        </row>
        <row r="41">
          <cell r="B41" t="str">
            <v>Vistive 3 Acres</v>
          </cell>
          <cell r="G41">
            <v>4</v>
          </cell>
          <cell r="H41">
            <v>8</v>
          </cell>
          <cell r="I41">
            <v>16</v>
          </cell>
          <cell r="J41">
            <v>20</v>
          </cell>
          <cell r="K41">
            <v>20</v>
          </cell>
          <cell r="L41">
            <v>20</v>
          </cell>
          <cell r="M41">
            <v>20</v>
          </cell>
          <cell r="N41">
            <v>20</v>
          </cell>
          <cell r="O41">
            <v>20</v>
          </cell>
          <cell r="Q41" t="str">
            <v>E</v>
          </cell>
          <cell r="R41" t="str">
            <v>Trait Gross Profit</v>
          </cell>
          <cell r="S41">
            <v>15.458379888268153</v>
          </cell>
          <cell r="T41" t="str">
            <v>C - D</v>
          </cell>
        </row>
        <row r="42">
          <cell r="Q42" t="str">
            <v>F</v>
          </cell>
          <cell r="R42" t="str">
            <v>Average Input Savings</v>
          </cell>
          <cell r="S42">
            <v>0</v>
          </cell>
          <cell r="T42" t="str">
            <v>Assumption</v>
          </cell>
        </row>
        <row r="43">
          <cell r="B43" t="str">
            <v>Bull Case</v>
          </cell>
          <cell r="Q43" t="str">
            <v>G</v>
          </cell>
          <cell r="R43" t="str">
            <v>Total Farmer Gross Profit</v>
          </cell>
          <cell r="S43">
            <v>15.458379888268153</v>
          </cell>
          <cell r="T43" t="str">
            <v>E + F</v>
          </cell>
        </row>
        <row r="45">
          <cell r="B45" t="str">
            <v>Incremental V3 Value</v>
          </cell>
          <cell r="G45">
            <v>20</v>
          </cell>
          <cell r="H45">
            <v>21.400000000000002</v>
          </cell>
          <cell r="I45">
            <v>22.898000000000003</v>
          </cell>
          <cell r="J45">
            <v>24.500860000000007</v>
          </cell>
          <cell r="K45">
            <v>26.21592020000001</v>
          </cell>
          <cell r="L45">
            <v>28.051034614000013</v>
          </cell>
          <cell r="M45">
            <v>30.014607036980017</v>
          </cell>
          <cell r="N45">
            <v>32.115629529568622</v>
          </cell>
          <cell r="O45">
            <v>34.36372359663843</v>
          </cell>
          <cell r="Q45" t="str">
            <v>H</v>
          </cell>
          <cell r="R45" t="str">
            <v>Trait Retail Price</v>
          </cell>
          <cell r="S45">
            <v>12.491620111731846</v>
          </cell>
          <cell r="T45" t="str">
            <v>K / J</v>
          </cell>
        </row>
        <row r="46">
          <cell r="B46" t="str">
            <v>Increase</v>
          </cell>
          <cell r="G46">
            <v>0</v>
          </cell>
          <cell r="H46">
            <v>7.0000000000000007E-2</v>
          </cell>
          <cell r="I46">
            <v>7.0000000000000007E-2</v>
          </cell>
          <cell r="J46">
            <v>7.0000000000000007E-2</v>
          </cell>
          <cell r="K46">
            <v>7.0000000000000007E-2</v>
          </cell>
          <cell r="L46">
            <v>7.0000000000000007E-2</v>
          </cell>
          <cell r="M46">
            <v>7.0000000000000007E-2</v>
          </cell>
          <cell r="N46">
            <v>7.0000000000000007E-2</v>
          </cell>
          <cell r="O46">
            <v>7.0000000000000007E-2</v>
          </cell>
          <cell r="Q46" t="str">
            <v>J</v>
          </cell>
          <cell r="R46" t="str">
            <v>Retail Capture</v>
          </cell>
          <cell r="S46">
            <v>0.75</v>
          </cell>
          <cell r="T46" t="str">
            <v>Assumption</v>
          </cell>
        </row>
        <row r="47">
          <cell r="Q47" t="str">
            <v>K</v>
          </cell>
          <cell r="R47" t="str">
            <v>Monsanto Revenue</v>
          </cell>
          <cell r="S47">
            <v>9.3687150837988842</v>
          </cell>
          <cell r="T47" t="str">
            <v>L + M</v>
          </cell>
        </row>
        <row r="48">
          <cell r="B48" t="str">
            <v>Vistive 3 Acres</v>
          </cell>
          <cell r="G48">
            <v>5</v>
          </cell>
          <cell r="H48">
            <v>10</v>
          </cell>
          <cell r="I48">
            <v>18</v>
          </cell>
          <cell r="J48">
            <v>35</v>
          </cell>
          <cell r="K48">
            <v>35</v>
          </cell>
          <cell r="L48">
            <v>35</v>
          </cell>
          <cell r="M48">
            <v>35</v>
          </cell>
          <cell r="N48">
            <v>35</v>
          </cell>
          <cell r="O48">
            <v>35</v>
          </cell>
          <cell r="Q48" t="str">
            <v>L</v>
          </cell>
          <cell r="R48" t="str">
            <v>Monsanto COGS</v>
          </cell>
          <cell r="S48">
            <v>1.6395251396648052</v>
          </cell>
          <cell r="T48" t="str">
            <v>K * (1 - N)</v>
          </cell>
        </row>
        <row r="49">
          <cell r="Q49" t="str">
            <v>M</v>
          </cell>
          <cell r="R49" t="str">
            <v>Monsanto Gross Profit</v>
          </cell>
          <cell r="S49">
            <v>7.7291899441340757</v>
          </cell>
          <cell r="T49" t="str">
            <v>G * (3/2) * (1/3)</v>
          </cell>
        </row>
        <row r="50">
          <cell r="B50" t="str">
            <v>Bear Case</v>
          </cell>
          <cell r="Q50" t="str">
            <v>N</v>
          </cell>
          <cell r="R50" t="str">
            <v>Monsanto Gross Profit Margin</v>
          </cell>
          <cell r="S50">
            <v>0.82499999999999996</v>
          </cell>
          <cell r="T50" t="str">
            <v>Assumption</v>
          </cell>
        </row>
        <row r="52">
          <cell r="B52" t="str">
            <v>Incremental V3 Value</v>
          </cell>
          <cell r="G52">
            <v>10</v>
          </cell>
          <cell r="H52">
            <v>10</v>
          </cell>
          <cell r="I52">
            <v>10</v>
          </cell>
          <cell r="J52">
            <v>10</v>
          </cell>
          <cell r="K52">
            <v>10</v>
          </cell>
          <cell r="L52">
            <v>10</v>
          </cell>
          <cell r="M52">
            <v>10</v>
          </cell>
          <cell r="N52">
            <v>10</v>
          </cell>
          <cell r="O52">
            <v>10</v>
          </cell>
        </row>
        <row r="53">
          <cell r="B53" t="str">
            <v>Increase</v>
          </cell>
          <cell r="G53">
            <v>0</v>
          </cell>
          <cell r="H53">
            <v>0</v>
          </cell>
          <cell r="I53">
            <v>0</v>
          </cell>
          <cell r="J53">
            <v>0</v>
          </cell>
          <cell r="K53">
            <v>0</v>
          </cell>
          <cell r="L53">
            <v>0</v>
          </cell>
          <cell r="M53">
            <v>0</v>
          </cell>
          <cell r="N53">
            <v>0</v>
          </cell>
          <cell r="O53">
            <v>0</v>
          </cell>
        </row>
        <row r="55">
          <cell r="B55" t="str">
            <v>Vistive 3 Acres</v>
          </cell>
          <cell r="G55">
            <v>0</v>
          </cell>
          <cell r="H55">
            <v>2</v>
          </cell>
          <cell r="I55">
            <v>6</v>
          </cell>
          <cell r="J55">
            <v>8</v>
          </cell>
          <cell r="K55">
            <v>10</v>
          </cell>
          <cell r="L55">
            <v>10</v>
          </cell>
          <cell r="M55">
            <v>10</v>
          </cell>
          <cell r="N55">
            <v>10</v>
          </cell>
          <cell r="O55">
            <v>10</v>
          </cell>
          <cell r="AE55" t="str">
            <v>Year</v>
          </cell>
          <cell r="AF55" t="str">
            <v>Acres</v>
          </cell>
          <cell r="AG55">
            <v>1</v>
          </cell>
        </row>
        <row r="57">
          <cell r="AE57">
            <v>2008</v>
          </cell>
          <cell r="AF57" t="str">
            <v>Pricing</v>
          </cell>
          <cell r="AG57">
            <v>1</v>
          </cell>
        </row>
        <row r="58">
          <cell r="AE58">
            <v>2009</v>
          </cell>
          <cell r="AF58" t="str">
            <v>Base</v>
          </cell>
          <cell r="AG58">
            <v>1</v>
          </cell>
        </row>
        <row r="59">
          <cell r="AE59">
            <v>2012</v>
          </cell>
          <cell r="AF59" t="str">
            <v xml:space="preserve">Bull </v>
          </cell>
          <cell r="AG59">
            <v>2</v>
          </cell>
        </row>
        <row r="60">
          <cell r="AF60" t="str">
            <v>Bear</v>
          </cell>
          <cell r="AG60">
            <v>3</v>
          </cell>
        </row>
      </sheetData>
      <sheetData sheetId="15">
        <row r="1">
          <cell r="A1" t="str">
            <v>Higher Yielding Soybeans</v>
          </cell>
          <cell r="F1" t="str">
            <v>trials currently in US &amp; Argentina</v>
          </cell>
          <cell r="K1" t="str">
            <v>CREATES ADDITIONAL HARVESTABLE YIELD FOR FARMERS</v>
          </cell>
        </row>
        <row r="2">
          <cell r="A2" t="str">
            <v>PHASE 2</v>
          </cell>
          <cell r="D2" t="str">
            <v>Base</v>
          </cell>
          <cell r="E2" t="str">
            <v>Acres</v>
          </cell>
          <cell r="F2" t="str">
            <v>MEDIUM VALUE: $10-$30</v>
          </cell>
          <cell r="K2" t="str">
            <v>TRIALS: 6.8-8.5% YIELD INCREASE IN US; 11.1% IN ARGENTINA</v>
          </cell>
        </row>
        <row r="3">
          <cell r="A3" t="str">
            <v>Assume Launch is</v>
          </cell>
          <cell r="D3" t="str">
            <v>Base</v>
          </cell>
          <cell r="E3" t="str">
            <v>Pricing</v>
          </cell>
        </row>
        <row r="4">
          <cell r="B4">
            <v>2013</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HigherYielding Acres</v>
          </cell>
        </row>
        <row r="7">
          <cell r="B7" t="str">
            <v>Brazil</v>
          </cell>
          <cell r="H7">
            <v>5</v>
          </cell>
          <cell r="I7">
            <v>16</v>
          </cell>
          <cell r="J7">
            <v>33</v>
          </cell>
          <cell r="K7">
            <v>45</v>
          </cell>
          <cell r="L7">
            <v>45</v>
          </cell>
          <cell r="M7">
            <v>45</v>
          </cell>
          <cell r="N7">
            <v>45</v>
          </cell>
          <cell r="O7">
            <v>45</v>
          </cell>
        </row>
        <row r="8">
          <cell r="B8" t="str">
            <v>Argentina</v>
          </cell>
          <cell r="H8">
            <v>4</v>
          </cell>
          <cell r="I8">
            <v>14</v>
          </cell>
          <cell r="J8">
            <v>21</v>
          </cell>
          <cell r="K8">
            <v>25</v>
          </cell>
          <cell r="L8">
            <v>25</v>
          </cell>
          <cell r="M8">
            <v>25</v>
          </cell>
          <cell r="N8">
            <v>25</v>
          </cell>
          <cell r="O8">
            <v>25</v>
          </cell>
        </row>
        <row r="9">
          <cell r="B9" t="str">
            <v>US</v>
          </cell>
          <cell r="H9">
            <v>8</v>
          </cell>
          <cell r="I9">
            <v>20</v>
          </cell>
          <cell r="J9">
            <v>40</v>
          </cell>
          <cell r="K9">
            <v>50</v>
          </cell>
          <cell r="L9">
            <v>50</v>
          </cell>
          <cell r="M9">
            <v>50</v>
          </cell>
          <cell r="N9">
            <v>50</v>
          </cell>
          <cell r="O9">
            <v>50</v>
          </cell>
        </row>
        <row r="11">
          <cell r="B11" t="str">
            <v>MON TAKE</v>
          </cell>
          <cell r="H11">
            <v>0.75</v>
          </cell>
          <cell r="I11">
            <v>0.75</v>
          </cell>
          <cell r="J11">
            <v>0.75</v>
          </cell>
          <cell r="K11">
            <v>0.75</v>
          </cell>
          <cell r="L11">
            <v>0.75</v>
          </cell>
          <cell r="M11">
            <v>0.75</v>
          </cell>
          <cell r="N11">
            <v>0.75</v>
          </cell>
          <cell r="O11">
            <v>0.75</v>
          </cell>
        </row>
        <row r="13">
          <cell r="C13">
            <v>2008</v>
          </cell>
          <cell r="D13">
            <v>2009</v>
          </cell>
          <cell r="E13">
            <v>2010</v>
          </cell>
          <cell r="F13">
            <v>2011</v>
          </cell>
          <cell r="G13">
            <v>2012</v>
          </cell>
          <cell r="H13">
            <v>2013</v>
          </cell>
          <cell r="I13">
            <v>2014</v>
          </cell>
          <cell r="J13">
            <v>2015</v>
          </cell>
          <cell r="K13">
            <v>2016</v>
          </cell>
          <cell r="L13">
            <v>2017</v>
          </cell>
          <cell r="M13">
            <v>2018</v>
          </cell>
          <cell r="N13">
            <v>2019</v>
          </cell>
          <cell r="O13">
            <v>2020</v>
          </cell>
        </row>
        <row r="14">
          <cell r="B14" t="str">
            <v>Incremental HighYield Pricing</v>
          </cell>
          <cell r="H14">
            <v>14.301675977653632</v>
          </cell>
          <cell r="I14">
            <v>14.301675977653632</v>
          </cell>
          <cell r="J14">
            <v>14.301675977653632</v>
          </cell>
          <cell r="K14">
            <v>17.877094972067042</v>
          </cell>
          <cell r="L14">
            <v>21.452513966480449</v>
          </cell>
          <cell r="M14">
            <v>25.027932960893857</v>
          </cell>
          <cell r="N14">
            <v>28.603351955307264</v>
          </cell>
          <cell r="O14">
            <v>30.03351955307263</v>
          </cell>
        </row>
        <row r="15">
          <cell r="B15" t="str">
            <v>Increase</v>
          </cell>
          <cell r="H15">
            <v>0</v>
          </cell>
          <cell r="I15">
            <v>0</v>
          </cell>
          <cell r="J15">
            <v>0</v>
          </cell>
          <cell r="K15">
            <v>0.25</v>
          </cell>
          <cell r="L15">
            <v>0.19999999999999996</v>
          </cell>
          <cell r="M15">
            <v>0.16666666666666674</v>
          </cell>
          <cell r="N15">
            <v>0.14285714285714279</v>
          </cell>
          <cell r="O15">
            <v>0.05</v>
          </cell>
        </row>
        <row r="16">
          <cell r="I16" t="str">
            <v xml:space="preserve"> </v>
          </cell>
        </row>
        <row r="17">
          <cell r="B17" t="str">
            <v>Total US Acreage</v>
          </cell>
          <cell r="H17">
            <v>8</v>
          </cell>
          <cell r="I17">
            <v>20</v>
          </cell>
          <cell r="J17">
            <v>40</v>
          </cell>
          <cell r="K17">
            <v>50</v>
          </cell>
          <cell r="L17">
            <v>50</v>
          </cell>
          <cell r="M17">
            <v>50</v>
          </cell>
          <cell r="N17">
            <v>50</v>
          </cell>
          <cell r="O17">
            <v>50</v>
          </cell>
        </row>
        <row r="18">
          <cell r="B18" t="str">
            <v>Total Worldwide Acreage</v>
          </cell>
          <cell r="H18">
            <v>17</v>
          </cell>
          <cell r="I18">
            <v>50</v>
          </cell>
          <cell r="J18">
            <v>94</v>
          </cell>
          <cell r="K18">
            <v>120</v>
          </cell>
          <cell r="L18">
            <v>120</v>
          </cell>
          <cell r="M18">
            <v>120</v>
          </cell>
          <cell r="N18">
            <v>120</v>
          </cell>
          <cell r="O18">
            <v>120</v>
          </cell>
        </row>
        <row r="20">
          <cell r="B20" t="str">
            <v>Revenue</v>
          </cell>
          <cell r="H20">
            <v>182.34636871508383</v>
          </cell>
          <cell r="I20">
            <v>536.31284916201128</v>
          </cell>
          <cell r="J20">
            <v>1008.2681564245811</v>
          </cell>
          <cell r="K20">
            <v>1608.9385474860337</v>
          </cell>
          <cell r="L20">
            <v>1930.7262569832403</v>
          </cell>
          <cell r="M20">
            <v>2252.5139664804474</v>
          </cell>
          <cell r="N20">
            <v>2574.3016759776538</v>
          </cell>
          <cell r="O20">
            <v>2703.0167597765367</v>
          </cell>
        </row>
        <row r="21">
          <cell r="B21" t="str">
            <v>Monsanto revenue</v>
          </cell>
          <cell r="H21">
            <v>109.4078212290503</v>
          </cell>
          <cell r="I21">
            <v>321.78770949720678</v>
          </cell>
          <cell r="J21">
            <v>604.96089385474863</v>
          </cell>
          <cell r="K21">
            <v>965.36312849162016</v>
          </cell>
          <cell r="L21">
            <v>1158.4357541899442</v>
          </cell>
          <cell r="M21">
            <v>1351.5083798882683</v>
          </cell>
          <cell r="N21">
            <v>1544.5810055865923</v>
          </cell>
          <cell r="O21">
            <v>1621.8100558659219</v>
          </cell>
        </row>
        <row r="22">
          <cell r="B22" t="str">
            <v>COGS</v>
          </cell>
          <cell r="H22">
            <v>19.14636871508381</v>
          </cell>
          <cell r="I22">
            <v>56.312849162011219</v>
          </cell>
          <cell r="J22">
            <v>105.86815642458106</v>
          </cell>
          <cell r="K22">
            <v>159.28491620111731</v>
          </cell>
          <cell r="L22">
            <v>185.34972067039109</v>
          </cell>
          <cell r="M22">
            <v>209.48379888268164</v>
          </cell>
          <cell r="N22">
            <v>239.41005586592178</v>
          </cell>
          <cell r="O22">
            <v>251.38055865921797</v>
          </cell>
        </row>
        <row r="23">
          <cell r="B23" t="str">
            <v>Gross Profit</v>
          </cell>
          <cell r="H23">
            <v>90.261452513966489</v>
          </cell>
          <cell r="I23">
            <v>265.47486033519556</v>
          </cell>
          <cell r="J23">
            <v>499.09273743016757</v>
          </cell>
          <cell r="K23">
            <v>806.07821229050285</v>
          </cell>
          <cell r="L23">
            <v>973.0860335195531</v>
          </cell>
          <cell r="M23">
            <v>1142.0245810055867</v>
          </cell>
          <cell r="N23">
            <v>1305.1709497206705</v>
          </cell>
          <cell r="O23">
            <v>1370.4294972067039</v>
          </cell>
        </row>
        <row r="24">
          <cell r="B24" t="str">
            <v>Gross Margin</v>
          </cell>
          <cell r="H24">
            <v>0.495</v>
          </cell>
          <cell r="I24">
            <v>0.49499999999999994</v>
          </cell>
          <cell r="J24">
            <v>0.49499999999999994</v>
          </cell>
          <cell r="K24">
            <v>0.501</v>
          </cell>
          <cell r="L24">
            <v>0.504</v>
          </cell>
          <cell r="M24">
            <v>0.5069999999999999</v>
          </cell>
          <cell r="N24">
            <v>0.50700000000000001</v>
          </cell>
          <cell r="O24">
            <v>0.5069999999999999</v>
          </cell>
        </row>
        <row r="26">
          <cell r="B26" t="str">
            <v>US</v>
          </cell>
          <cell r="H26">
            <v>0.82499999999999996</v>
          </cell>
          <cell r="I26">
            <v>0.82499999999999996</v>
          </cell>
          <cell r="J26">
            <v>0.82499999999999996</v>
          </cell>
          <cell r="K26">
            <v>0.83499999999999996</v>
          </cell>
          <cell r="L26">
            <v>0.84</v>
          </cell>
          <cell r="M26">
            <v>0.84499999999999997</v>
          </cell>
          <cell r="N26">
            <v>0.84499999999999997</v>
          </cell>
          <cell r="O26">
            <v>0.84499999999999997</v>
          </cell>
        </row>
        <row r="27">
          <cell r="B27" t="str">
            <v>International</v>
          </cell>
          <cell r="H27">
            <v>0.82499999999999996</v>
          </cell>
          <cell r="I27">
            <v>0.82499999999999996</v>
          </cell>
          <cell r="J27">
            <v>0.82499999999999996</v>
          </cell>
          <cell r="K27">
            <v>0.83499999999999996</v>
          </cell>
          <cell r="L27">
            <v>0.84</v>
          </cell>
          <cell r="M27">
            <v>0.84499999999999997</v>
          </cell>
          <cell r="N27">
            <v>0.84499999999999997</v>
          </cell>
          <cell r="O27">
            <v>0.84499999999999997</v>
          </cell>
        </row>
        <row r="28">
          <cell r="B28" t="str">
            <v>SG&amp;A % of Sales</v>
          </cell>
          <cell r="H28">
            <v>0.17</v>
          </cell>
          <cell r="I28">
            <v>0.16500000000000001</v>
          </cell>
          <cell r="J28">
            <v>0.16</v>
          </cell>
          <cell r="K28">
            <v>0.155</v>
          </cell>
          <cell r="L28">
            <v>0.15</v>
          </cell>
          <cell r="M28">
            <v>0.14499999999999999</v>
          </cell>
          <cell r="N28">
            <v>0.13999999999999999</v>
          </cell>
          <cell r="O28">
            <v>0.13499999999999998</v>
          </cell>
        </row>
        <row r="29">
          <cell r="B29" t="str">
            <v>R&amp;D % of Sales</v>
          </cell>
          <cell r="H29">
            <v>0.09</v>
          </cell>
          <cell r="I29">
            <v>0.09</v>
          </cell>
          <cell r="J29">
            <v>0.09</v>
          </cell>
          <cell r="K29">
            <v>0.09</v>
          </cell>
          <cell r="L29">
            <v>0.09</v>
          </cell>
          <cell r="M29">
            <v>0.09</v>
          </cell>
          <cell r="N29">
            <v>0.09</v>
          </cell>
          <cell r="O29">
            <v>0.09</v>
          </cell>
        </row>
        <row r="30">
          <cell r="B30" t="str">
            <v>SG&amp;A</v>
          </cell>
          <cell r="H30">
            <v>18.599329608938554</v>
          </cell>
          <cell r="I30">
            <v>53.094972067039123</v>
          </cell>
          <cell r="J30">
            <v>96.793743016759777</v>
          </cell>
          <cell r="K30">
            <v>149.63128491620111</v>
          </cell>
          <cell r="L30">
            <v>173.76536312849163</v>
          </cell>
          <cell r="M30">
            <v>195.96871508379888</v>
          </cell>
          <cell r="N30">
            <v>216.2413407821229</v>
          </cell>
          <cell r="O30">
            <v>218.94435754189942</v>
          </cell>
        </row>
        <row r="31">
          <cell r="B31" t="str">
            <v>R&amp;D</v>
          </cell>
          <cell r="H31">
            <v>9.8467039106145258</v>
          </cell>
          <cell r="I31">
            <v>28.960893854748608</v>
          </cell>
          <cell r="J31">
            <v>54.446480446927374</v>
          </cell>
          <cell r="K31">
            <v>86.882681564245814</v>
          </cell>
          <cell r="L31">
            <v>104.25921787709497</v>
          </cell>
          <cell r="M31">
            <v>121.63575418994415</v>
          </cell>
          <cell r="N31">
            <v>139.01229050279329</v>
          </cell>
          <cell r="O31">
            <v>145.96290502793298</v>
          </cell>
        </row>
        <row r="32">
          <cell r="B32" t="str">
            <v>Operating Profit</v>
          </cell>
          <cell r="H32">
            <v>61.815418994413406</v>
          </cell>
          <cell r="I32">
            <v>183.41899441340783</v>
          </cell>
          <cell r="J32">
            <v>347.85251396648044</v>
          </cell>
          <cell r="K32">
            <v>569.56424581005592</v>
          </cell>
          <cell r="L32">
            <v>695.0614525139664</v>
          </cell>
          <cell r="M32">
            <v>824.42011173184369</v>
          </cell>
          <cell r="N32">
            <v>949.91731843575417</v>
          </cell>
          <cell r="O32">
            <v>1005.5222346368716</v>
          </cell>
        </row>
        <row r="33">
          <cell r="B33" t="str">
            <v>Taxes</v>
          </cell>
          <cell r="H33">
            <v>17.493763575418992</v>
          </cell>
          <cell r="I33">
            <v>53.191508379888269</v>
          </cell>
          <cell r="J33">
            <v>98.964040223463684</v>
          </cell>
          <cell r="K33">
            <v>166.31275977653632</v>
          </cell>
          <cell r="L33">
            <v>196.3548603351955</v>
          </cell>
          <cell r="M33">
            <v>240.73067262569833</v>
          </cell>
          <cell r="N33">
            <v>271.39137787709495</v>
          </cell>
          <cell r="O33">
            <v>288.58488134078215</v>
          </cell>
        </row>
        <row r="34">
          <cell r="B34" t="str">
            <v>Net Income</v>
          </cell>
          <cell r="H34">
            <v>44.321655418994411</v>
          </cell>
          <cell r="I34">
            <v>130.22748603351957</v>
          </cell>
          <cell r="J34">
            <v>248.88847374301676</v>
          </cell>
          <cell r="K34">
            <v>403.2514860335196</v>
          </cell>
          <cell r="L34">
            <v>498.7065921787709</v>
          </cell>
          <cell r="M34">
            <v>583.6894391061453</v>
          </cell>
          <cell r="N34">
            <v>678.52594055865916</v>
          </cell>
          <cell r="O34">
            <v>716.93735329608944</v>
          </cell>
        </row>
        <row r="35">
          <cell r="B35" t="str">
            <v>Shares Outstanding</v>
          </cell>
          <cell r="H35">
            <v>532.90985748061826</v>
          </cell>
          <cell r="I35">
            <v>526.28758665809255</v>
          </cell>
          <cell r="J35">
            <v>520.0788934550003</v>
          </cell>
          <cell r="K35">
            <v>514.39027052012125</v>
          </cell>
          <cell r="L35">
            <v>509.05321088398051</v>
          </cell>
          <cell r="M35">
            <v>504.26395292909609</v>
          </cell>
          <cell r="N35">
            <v>499.87697018558663</v>
          </cell>
          <cell r="O35">
            <v>495.90200028742942</v>
          </cell>
        </row>
        <row r="36">
          <cell r="B36" t="str">
            <v>Accretive EPS</v>
          </cell>
          <cell r="H36">
            <v>8.316914164156998E-2</v>
          </cell>
          <cell r="I36">
            <v>0.24744548291640217</v>
          </cell>
          <cell r="J36">
            <v>0.47855907416198917</v>
          </cell>
          <cell r="K36">
            <v>0.78394073361025152</v>
          </cell>
          <cell r="L36">
            <v>0.9796747796026225</v>
          </cell>
          <cell r="M36">
            <v>1.1575077609963866</v>
          </cell>
          <cell r="N36">
            <v>1.3573858789828754</v>
          </cell>
          <cell r="O36">
            <v>1.445723858505402</v>
          </cell>
        </row>
        <row r="37">
          <cell r="B37" t="str">
            <v>Model EPS</v>
          </cell>
          <cell r="H37">
            <v>5.9197160312166224</v>
          </cell>
          <cell r="I37">
            <v>6.7278990297263608</v>
          </cell>
          <cell r="J37">
            <v>7.2979105974996905</v>
          </cell>
          <cell r="K37">
            <v>8.086358481731498</v>
          </cell>
          <cell r="L37">
            <v>8.6334305752194442</v>
          </cell>
          <cell r="M37">
            <v>9.4063913392402032</v>
          </cell>
          <cell r="N37">
            <v>9.7914627309818378</v>
          </cell>
          <cell r="O37">
            <v>10.414111102199115</v>
          </cell>
        </row>
        <row r="38">
          <cell r="B38" t="str">
            <v>MON EPS</v>
          </cell>
          <cell r="H38">
            <v>6.0028851728581927</v>
          </cell>
          <cell r="I38">
            <v>6.9753445126427627</v>
          </cell>
          <cell r="J38">
            <v>7.7764696716616797</v>
          </cell>
          <cell r="K38">
            <v>8.870299215341749</v>
          </cell>
          <cell r="L38">
            <v>9.613105354822066</v>
          </cell>
          <cell r="M38">
            <v>10.56389910023659</v>
          </cell>
          <cell r="N38">
            <v>11.148848609964713</v>
          </cell>
          <cell r="O38">
            <v>11.859834960704518</v>
          </cell>
        </row>
        <row r="42">
          <cell r="B42" t="str">
            <v>Base Case</v>
          </cell>
        </row>
        <row r="44">
          <cell r="B44" t="str">
            <v>Incremental HighYield Value</v>
          </cell>
          <cell r="H44">
            <v>14.301675977653632</v>
          </cell>
          <cell r="I44">
            <v>14.301675977653632</v>
          </cell>
          <cell r="J44">
            <v>14.301675977653632</v>
          </cell>
          <cell r="K44">
            <v>17.877094972067042</v>
          </cell>
          <cell r="L44">
            <v>21.452513966480449</v>
          </cell>
          <cell r="M44">
            <v>25.027932960893857</v>
          </cell>
          <cell r="N44">
            <v>28.603351955307264</v>
          </cell>
          <cell r="O44">
            <v>30.03351955307263</v>
          </cell>
        </row>
        <row r="45">
          <cell r="B45" t="str">
            <v>Increase</v>
          </cell>
          <cell r="H45">
            <v>0</v>
          </cell>
          <cell r="I45">
            <v>0</v>
          </cell>
          <cell r="J45">
            <v>0</v>
          </cell>
          <cell r="K45">
            <v>0.25</v>
          </cell>
          <cell r="L45">
            <v>0.19999999999999996</v>
          </cell>
          <cell r="M45">
            <v>0.16666666666666674</v>
          </cell>
          <cell r="N45">
            <v>0.14285714285714279</v>
          </cell>
          <cell r="O45">
            <v>0.05</v>
          </cell>
        </row>
        <row r="47">
          <cell r="B47" t="str">
            <v>Higher Yielding Acres</v>
          </cell>
        </row>
        <row r="48">
          <cell r="B48" t="str">
            <v>Brazil</v>
          </cell>
          <cell r="H48">
            <v>5</v>
          </cell>
          <cell r="I48">
            <v>16</v>
          </cell>
          <cell r="J48">
            <v>33</v>
          </cell>
          <cell r="K48">
            <v>45</v>
          </cell>
          <cell r="L48">
            <v>45</v>
          </cell>
          <cell r="M48">
            <v>45</v>
          </cell>
          <cell r="N48">
            <v>45</v>
          </cell>
          <cell r="O48">
            <v>45</v>
          </cell>
        </row>
        <row r="49">
          <cell r="B49" t="str">
            <v>Argentina</v>
          </cell>
          <cell r="H49">
            <v>4</v>
          </cell>
          <cell r="I49">
            <v>14</v>
          </cell>
          <cell r="J49">
            <v>21</v>
          </cell>
          <cell r="K49">
            <v>25</v>
          </cell>
          <cell r="L49">
            <v>25</v>
          </cell>
          <cell r="M49">
            <v>25</v>
          </cell>
          <cell r="N49">
            <v>25</v>
          </cell>
          <cell r="O49">
            <v>25</v>
          </cell>
          <cell r="S49" t="str">
            <v>Base Case</v>
          </cell>
          <cell r="T49" t="str">
            <v>Calculations</v>
          </cell>
          <cell r="U49" t="str">
            <v>Bull</v>
          </cell>
          <cell r="V49" t="str">
            <v>Bear</v>
          </cell>
        </row>
        <row r="50">
          <cell r="B50" t="str">
            <v>US</v>
          </cell>
          <cell r="H50">
            <v>8</v>
          </cell>
          <cell r="I50">
            <v>20</v>
          </cell>
          <cell r="J50">
            <v>40</v>
          </cell>
          <cell r="K50">
            <v>50</v>
          </cell>
          <cell r="L50">
            <v>50</v>
          </cell>
          <cell r="M50">
            <v>50</v>
          </cell>
          <cell r="N50">
            <v>50</v>
          </cell>
          <cell r="O50">
            <v>50</v>
          </cell>
          <cell r="Q50" t="str">
            <v>A</v>
          </cell>
          <cell r="R50" t="str">
            <v>Soybean Price (bushel)</v>
          </cell>
          <cell r="S50">
            <v>8</v>
          </cell>
          <cell r="T50" t="str">
            <v>Assumption</v>
          </cell>
          <cell r="U50">
            <v>8</v>
          </cell>
          <cell r="V50">
            <v>8</v>
          </cell>
        </row>
        <row r="51">
          <cell r="Q51" t="str">
            <v>B</v>
          </cell>
          <cell r="R51" t="str">
            <v>Average Yield Improvement</v>
          </cell>
          <cell r="S51">
            <v>4</v>
          </cell>
          <cell r="T51" t="str">
            <v>Assumption</v>
          </cell>
          <cell r="U51">
            <v>5</v>
          </cell>
          <cell r="V51">
            <v>3</v>
          </cell>
        </row>
        <row r="52">
          <cell r="B52" t="str">
            <v>Bull Case</v>
          </cell>
          <cell r="Q52" t="str">
            <v>C</v>
          </cell>
          <cell r="R52" t="str">
            <v>Farmer Productivity Revenue</v>
          </cell>
          <cell r="S52">
            <v>32</v>
          </cell>
          <cell r="T52" t="str">
            <v>A * B</v>
          </cell>
          <cell r="U52">
            <v>40</v>
          </cell>
          <cell r="V52">
            <v>24</v>
          </cell>
        </row>
        <row r="53">
          <cell r="Q53" t="str">
            <v>D</v>
          </cell>
          <cell r="R53" t="str">
            <v>Trait Retail Price</v>
          </cell>
          <cell r="S53">
            <v>14.301675977653632</v>
          </cell>
          <cell r="T53" t="str">
            <v>K / J</v>
          </cell>
          <cell r="U53">
            <v>17.877094972067038</v>
          </cell>
          <cell r="V53">
            <v>10.726256983240225</v>
          </cell>
          <cell r="AF53" t="str">
            <v>pricing</v>
          </cell>
          <cell r="AG53">
            <v>1</v>
          </cell>
        </row>
        <row r="54">
          <cell r="B54" t="str">
            <v>Incremental HighYield Value</v>
          </cell>
          <cell r="H54">
            <v>17.877094972067038</v>
          </cell>
          <cell r="I54">
            <v>17.877094972067038</v>
          </cell>
          <cell r="J54">
            <v>17.877094972067038</v>
          </cell>
          <cell r="K54">
            <v>22.346368715083798</v>
          </cell>
          <cell r="L54">
            <v>26.815642458100555</v>
          </cell>
          <cell r="M54">
            <v>31.284916201117316</v>
          </cell>
          <cell r="N54">
            <v>35.754189944134076</v>
          </cell>
          <cell r="O54">
            <v>37.541899441340782</v>
          </cell>
          <cell r="Q54" t="str">
            <v>E</v>
          </cell>
          <cell r="R54" t="str">
            <v>Trait Gross Profit</v>
          </cell>
          <cell r="S54">
            <v>17.69832402234637</v>
          </cell>
          <cell r="T54" t="str">
            <v>C - D</v>
          </cell>
          <cell r="U54">
            <v>22.122905027932962</v>
          </cell>
          <cell r="V54">
            <v>13.273743016759775</v>
          </cell>
          <cell r="AE54" t="str">
            <v>Year</v>
          </cell>
          <cell r="AF54" t="str">
            <v>Acres</v>
          </cell>
          <cell r="AG54">
            <v>1</v>
          </cell>
        </row>
        <row r="55">
          <cell r="B55" t="str">
            <v>Increase</v>
          </cell>
          <cell r="H55">
            <v>0</v>
          </cell>
          <cell r="I55">
            <v>0</v>
          </cell>
          <cell r="J55">
            <v>0</v>
          </cell>
          <cell r="K55">
            <v>0.25</v>
          </cell>
          <cell r="L55">
            <v>0.19999999999999996</v>
          </cell>
          <cell r="M55">
            <v>0.16666666666666674</v>
          </cell>
          <cell r="N55">
            <v>0.14285714285714279</v>
          </cell>
          <cell r="O55">
            <v>0.05</v>
          </cell>
          <cell r="Q55" t="str">
            <v>F</v>
          </cell>
          <cell r="R55" t="str">
            <v>Average Input Cost Savings</v>
          </cell>
          <cell r="S55">
            <v>0</v>
          </cell>
          <cell r="T55" t="str">
            <v>Assumption</v>
          </cell>
          <cell r="U55">
            <v>0</v>
          </cell>
          <cell r="V55">
            <v>0</v>
          </cell>
          <cell r="AE55">
            <v>2009</v>
          </cell>
          <cell r="AF55" t="str">
            <v>Base</v>
          </cell>
          <cell r="AG55">
            <v>1</v>
          </cell>
        </row>
        <row r="56">
          <cell r="Q56" t="str">
            <v>G</v>
          </cell>
          <cell r="R56" t="str">
            <v>Total Farmer Gross Profit</v>
          </cell>
          <cell r="S56">
            <v>17.69832402234637</v>
          </cell>
          <cell r="T56" t="str">
            <v>E + F</v>
          </cell>
          <cell r="U56">
            <v>22.122905027932962</v>
          </cell>
          <cell r="V56">
            <v>13.273743016759775</v>
          </cell>
          <cell r="AE56">
            <v>2010</v>
          </cell>
          <cell r="AF56" t="str">
            <v>Bull</v>
          </cell>
          <cell r="AG56">
            <v>2</v>
          </cell>
        </row>
        <row r="57">
          <cell r="B57" t="str">
            <v>Higher Yielding Acres</v>
          </cell>
          <cell r="AE57">
            <v>2011</v>
          </cell>
          <cell r="AF57" t="str">
            <v>Bear</v>
          </cell>
          <cell r="AG57">
            <v>3</v>
          </cell>
        </row>
        <row r="58">
          <cell r="B58" t="str">
            <v>Brazil</v>
          </cell>
          <cell r="H58">
            <v>8</v>
          </cell>
          <cell r="I58">
            <v>20</v>
          </cell>
          <cell r="J58">
            <v>45</v>
          </cell>
          <cell r="K58">
            <v>45</v>
          </cell>
          <cell r="L58">
            <v>45</v>
          </cell>
          <cell r="M58">
            <v>45</v>
          </cell>
          <cell r="N58">
            <v>45</v>
          </cell>
          <cell r="O58">
            <v>45</v>
          </cell>
          <cell r="Q58" t="str">
            <v>H</v>
          </cell>
          <cell r="R58" t="str">
            <v>Trait Retail Price</v>
          </cell>
          <cell r="S58">
            <v>14.301675977653632</v>
          </cell>
          <cell r="T58" t="str">
            <v>K / J</v>
          </cell>
          <cell r="U58">
            <v>17.877094972067038</v>
          </cell>
          <cell r="V58">
            <v>10.726256983240221</v>
          </cell>
          <cell r="AE58">
            <v>2012</v>
          </cell>
        </row>
        <row r="59">
          <cell r="B59" t="str">
            <v>Argentina</v>
          </cell>
          <cell r="H59">
            <v>8</v>
          </cell>
          <cell r="I59">
            <v>18</v>
          </cell>
          <cell r="J59">
            <v>25</v>
          </cell>
          <cell r="K59">
            <v>25</v>
          </cell>
          <cell r="L59">
            <v>25</v>
          </cell>
          <cell r="M59">
            <v>25</v>
          </cell>
          <cell r="N59">
            <v>25</v>
          </cell>
          <cell r="O59">
            <v>25</v>
          </cell>
          <cell r="Q59" t="str">
            <v>J</v>
          </cell>
          <cell r="R59" t="str">
            <v>Retail Capture</v>
          </cell>
          <cell r="S59">
            <v>0.75</v>
          </cell>
          <cell r="T59" t="str">
            <v>Assumption</v>
          </cell>
          <cell r="U59">
            <v>0.75</v>
          </cell>
          <cell r="V59">
            <v>0.75</v>
          </cell>
          <cell r="AE59">
            <v>2013</v>
          </cell>
        </row>
        <row r="60">
          <cell r="B60" t="str">
            <v>US</v>
          </cell>
          <cell r="H60">
            <v>10</v>
          </cell>
          <cell r="I60">
            <v>26</v>
          </cell>
          <cell r="J60">
            <v>45</v>
          </cell>
          <cell r="K60">
            <v>55</v>
          </cell>
          <cell r="L60">
            <v>55</v>
          </cell>
          <cell r="M60">
            <v>55</v>
          </cell>
          <cell r="N60">
            <v>55</v>
          </cell>
          <cell r="O60">
            <v>55</v>
          </cell>
          <cell r="Q60" t="str">
            <v>K</v>
          </cell>
          <cell r="R60" t="str">
            <v>Monsanto Revenue</v>
          </cell>
          <cell r="S60">
            <v>10.726256983240225</v>
          </cell>
          <cell r="T60" t="str">
            <v>L + M</v>
          </cell>
          <cell r="U60">
            <v>13.407821229050278</v>
          </cell>
          <cell r="V60">
            <v>8.0446927374301662</v>
          </cell>
          <cell r="AE60">
            <v>2014</v>
          </cell>
        </row>
        <row r="61">
          <cell r="Q61" t="str">
            <v>L</v>
          </cell>
          <cell r="R61" t="str">
            <v>Monsanto COGS</v>
          </cell>
          <cell r="S61">
            <v>1.8770949720670398</v>
          </cell>
          <cell r="T61" t="str">
            <v>K * (1 - N)</v>
          </cell>
          <cell r="U61">
            <v>2.3463687150837993</v>
          </cell>
          <cell r="V61">
            <v>1.4078212290502794</v>
          </cell>
          <cell r="AE61">
            <v>2015</v>
          </cell>
        </row>
        <row r="62">
          <cell r="B62" t="str">
            <v>Bear Case</v>
          </cell>
          <cell r="Q62" t="str">
            <v>M</v>
          </cell>
          <cell r="R62" t="str">
            <v>Monsanto Gross Profit</v>
          </cell>
          <cell r="S62">
            <v>8.8491620111731848</v>
          </cell>
          <cell r="T62" t="str">
            <v>G * (3/2) * (1/3)</v>
          </cell>
          <cell r="U62">
            <v>11.061452513966481</v>
          </cell>
          <cell r="V62">
            <v>6.6368715083798877</v>
          </cell>
          <cell r="AE62">
            <v>2016</v>
          </cell>
        </row>
        <row r="63">
          <cell r="Q63" t="str">
            <v>N</v>
          </cell>
          <cell r="R63" t="str">
            <v>Monsanto Gross Profit Margin</v>
          </cell>
          <cell r="S63">
            <v>0.82499999999999996</v>
          </cell>
          <cell r="T63" t="str">
            <v>Assumption</v>
          </cell>
          <cell r="U63">
            <v>0.82499999999999996</v>
          </cell>
          <cell r="V63">
            <v>0.82499999999999996</v>
          </cell>
        </row>
        <row r="64">
          <cell r="B64" t="str">
            <v>Incremental HighYield Value</v>
          </cell>
          <cell r="H64">
            <v>10.726256983240221</v>
          </cell>
          <cell r="I64">
            <v>10.726256983240221</v>
          </cell>
          <cell r="J64">
            <v>10.726256983240221</v>
          </cell>
          <cell r="K64">
            <v>10.726256983240221</v>
          </cell>
          <cell r="L64">
            <v>10.726256983240221</v>
          </cell>
          <cell r="M64">
            <v>10.726256983240221</v>
          </cell>
          <cell r="N64">
            <v>10.726256983240221</v>
          </cell>
          <cell r="O64">
            <v>10.726256983240221</v>
          </cell>
        </row>
        <row r="65">
          <cell r="B65" t="str">
            <v>Increase</v>
          </cell>
          <cell r="H65">
            <v>0</v>
          </cell>
          <cell r="I65">
            <v>0</v>
          </cell>
          <cell r="J65">
            <v>0</v>
          </cell>
          <cell r="K65">
            <v>0</v>
          </cell>
          <cell r="L65">
            <v>0</v>
          </cell>
          <cell r="M65">
            <v>0</v>
          </cell>
          <cell r="N65">
            <v>0</v>
          </cell>
          <cell r="O65">
            <v>0</v>
          </cell>
        </row>
        <row r="67">
          <cell r="B67" t="str">
            <v>Higher Yielding Acres</v>
          </cell>
        </row>
        <row r="68">
          <cell r="B68" t="str">
            <v>Brazil</v>
          </cell>
          <cell r="H68">
            <v>0</v>
          </cell>
          <cell r="I68">
            <v>0</v>
          </cell>
          <cell r="J68">
            <v>0</v>
          </cell>
          <cell r="K68">
            <v>0</v>
          </cell>
          <cell r="L68">
            <v>0</v>
          </cell>
          <cell r="M68">
            <v>0</v>
          </cell>
          <cell r="N68">
            <v>0</v>
          </cell>
          <cell r="O68">
            <v>0</v>
          </cell>
        </row>
        <row r="69">
          <cell r="B69" t="str">
            <v>Argentina</v>
          </cell>
          <cell r="H69">
            <v>0</v>
          </cell>
          <cell r="I69">
            <v>0</v>
          </cell>
          <cell r="J69">
            <v>0</v>
          </cell>
          <cell r="K69">
            <v>0</v>
          </cell>
          <cell r="L69">
            <v>0</v>
          </cell>
          <cell r="M69">
            <v>0</v>
          </cell>
          <cell r="N69">
            <v>0</v>
          </cell>
          <cell r="O69">
            <v>0</v>
          </cell>
        </row>
        <row r="70">
          <cell r="B70" t="str">
            <v>US</v>
          </cell>
          <cell r="H70">
            <v>0</v>
          </cell>
          <cell r="I70">
            <v>6</v>
          </cell>
          <cell r="J70">
            <v>18</v>
          </cell>
          <cell r="K70">
            <v>38</v>
          </cell>
          <cell r="L70">
            <v>38</v>
          </cell>
          <cell r="M70">
            <v>38</v>
          </cell>
          <cell r="N70">
            <v>38</v>
          </cell>
          <cell r="O70">
            <v>38</v>
          </cell>
        </row>
      </sheetData>
      <sheetData sheetId="16">
        <row r="1">
          <cell r="A1" t="str">
            <v>Insect Protected Soybeans</v>
          </cell>
          <cell r="G1" t="str">
            <v>Stacked with RR2Y</v>
          </cell>
          <cell r="J1" t="str">
            <v>INITIAL TRIALS: 5% YIELD INCREASE</v>
          </cell>
        </row>
        <row r="2">
          <cell r="A2" t="str">
            <v>PHASE 3</v>
          </cell>
          <cell r="D2" t="str">
            <v>Base</v>
          </cell>
          <cell r="E2" t="str">
            <v>Acres</v>
          </cell>
          <cell r="G2" t="str">
            <v>Value set by displaced insecticide sprays and enhanced yield to farmers</v>
          </cell>
        </row>
        <row r="3">
          <cell r="A3" t="str">
            <v>Assume Launch is</v>
          </cell>
          <cell r="D3" t="str">
            <v>Base</v>
          </cell>
          <cell r="E3" t="str">
            <v>Pricing</v>
          </cell>
          <cell r="G3" t="str">
            <v>MEDIUM VALUE: $10-$30</v>
          </cell>
        </row>
        <row r="4">
          <cell r="B4">
            <v>2012</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Insect Protected Acres</v>
          </cell>
        </row>
        <row r="7">
          <cell r="B7" t="str">
            <v>Brazil</v>
          </cell>
          <cell r="G7">
            <v>8</v>
          </cell>
          <cell r="H7">
            <v>20</v>
          </cell>
          <cell r="I7">
            <v>35</v>
          </cell>
          <cell r="J7">
            <v>45</v>
          </cell>
          <cell r="K7">
            <v>45</v>
          </cell>
          <cell r="L7">
            <v>45</v>
          </cell>
          <cell r="M7">
            <v>45</v>
          </cell>
          <cell r="N7">
            <v>45</v>
          </cell>
          <cell r="O7">
            <v>45</v>
          </cell>
        </row>
        <row r="8">
          <cell r="B8" t="str">
            <v>Argentina</v>
          </cell>
          <cell r="G8">
            <v>5</v>
          </cell>
          <cell r="H8">
            <v>12</v>
          </cell>
          <cell r="I8">
            <v>20</v>
          </cell>
          <cell r="J8">
            <v>25</v>
          </cell>
          <cell r="K8">
            <v>25</v>
          </cell>
          <cell r="L8">
            <v>25</v>
          </cell>
          <cell r="M8">
            <v>25</v>
          </cell>
          <cell r="N8">
            <v>25</v>
          </cell>
          <cell r="O8">
            <v>25</v>
          </cell>
        </row>
        <row r="10">
          <cell r="B10" t="str">
            <v>MON TAKE</v>
          </cell>
          <cell r="G10">
            <v>0.75</v>
          </cell>
          <cell r="H10">
            <v>0.75</v>
          </cell>
          <cell r="I10">
            <v>0.75</v>
          </cell>
          <cell r="J10">
            <v>0.75</v>
          </cell>
          <cell r="K10">
            <v>0.75</v>
          </cell>
          <cell r="L10">
            <v>0.75</v>
          </cell>
          <cell r="M10">
            <v>0.75</v>
          </cell>
          <cell r="N10">
            <v>0.75</v>
          </cell>
          <cell r="O10">
            <v>0.75</v>
          </cell>
        </row>
        <row r="12">
          <cell r="C12">
            <v>2008</v>
          </cell>
          <cell r="D12">
            <v>2009</v>
          </cell>
          <cell r="E12">
            <v>2010</v>
          </cell>
          <cell r="F12">
            <v>2011</v>
          </cell>
          <cell r="G12">
            <v>2012</v>
          </cell>
          <cell r="H12">
            <v>2013</v>
          </cell>
          <cell r="I12">
            <v>2014</v>
          </cell>
          <cell r="J12">
            <v>2015</v>
          </cell>
          <cell r="K12">
            <v>2016</v>
          </cell>
          <cell r="L12">
            <v>2017</v>
          </cell>
          <cell r="M12">
            <v>2018</v>
          </cell>
          <cell r="N12">
            <v>2019</v>
          </cell>
          <cell r="O12">
            <v>2020</v>
          </cell>
        </row>
        <row r="13">
          <cell r="B13" t="str">
            <v>Incremental Insect Protect Pricing</v>
          </cell>
          <cell r="G13">
            <v>11.486033519553077</v>
          </cell>
          <cell r="H13">
            <v>11.486033519553077</v>
          </cell>
          <cell r="I13">
            <v>11.486033519553077</v>
          </cell>
          <cell r="J13">
            <v>14.35754189944134</v>
          </cell>
          <cell r="K13">
            <v>17.229050279329606</v>
          </cell>
          <cell r="L13">
            <v>20.100558659217871</v>
          </cell>
          <cell r="M13">
            <v>22.972067039106136</v>
          </cell>
          <cell r="N13">
            <v>24.120670391061445</v>
          </cell>
          <cell r="O13">
            <v>25.326703910614519</v>
          </cell>
        </row>
        <row r="14">
          <cell r="B14" t="str">
            <v>Increase</v>
          </cell>
          <cell r="G14">
            <v>0</v>
          </cell>
          <cell r="H14">
            <v>0</v>
          </cell>
          <cell r="I14">
            <v>0</v>
          </cell>
          <cell r="J14">
            <v>0.24999999999999956</v>
          </cell>
          <cell r="K14">
            <v>0.19999999999999973</v>
          </cell>
          <cell r="L14">
            <v>0.16666666666666652</v>
          </cell>
          <cell r="M14">
            <v>0.14285714285714279</v>
          </cell>
          <cell r="N14">
            <v>0.05</v>
          </cell>
          <cell r="O14">
            <v>0.05</v>
          </cell>
        </row>
        <row r="16">
          <cell r="B16" t="str">
            <v>Total Worldwide Acreage</v>
          </cell>
          <cell r="G16">
            <v>13</v>
          </cell>
          <cell r="H16">
            <v>32</v>
          </cell>
          <cell r="I16">
            <v>55</v>
          </cell>
          <cell r="J16">
            <v>70</v>
          </cell>
          <cell r="K16">
            <v>70</v>
          </cell>
          <cell r="L16">
            <v>70</v>
          </cell>
          <cell r="M16">
            <v>70</v>
          </cell>
          <cell r="N16">
            <v>70</v>
          </cell>
          <cell r="O16">
            <v>70</v>
          </cell>
        </row>
        <row r="18">
          <cell r="B18" t="str">
            <v>Revenue</v>
          </cell>
          <cell r="G18">
            <v>111.9888268156425</v>
          </cell>
          <cell r="H18">
            <v>275.66480446927386</v>
          </cell>
          <cell r="I18">
            <v>473.79888268156441</v>
          </cell>
          <cell r="J18">
            <v>753.77094972067039</v>
          </cell>
          <cell r="K18">
            <v>904.52513966480433</v>
          </cell>
          <cell r="L18">
            <v>1055.2793296089383</v>
          </cell>
          <cell r="M18">
            <v>1206.0335195530722</v>
          </cell>
          <cell r="N18">
            <v>1266.335195530726</v>
          </cell>
          <cell r="O18">
            <v>1329.6519553072621</v>
          </cell>
        </row>
        <row r="19">
          <cell r="B19" t="str">
            <v>COGS</v>
          </cell>
          <cell r="G19">
            <v>19.598044692737446</v>
          </cell>
          <cell r="H19">
            <v>48.241340782122933</v>
          </cell>
          <cell r="I19">
            <v>82.914804469273804</v>
          </cell>
          <cell r="J19">
            <v>124.37220670391036</v>
          </cell>
          <cell r="K19">
            <v>144.72402234636877</v>
          </cell>
          <cell r="L19">
            <v>163.56829608938506</v>
          </cell>
          <cell r="M19">
            <v>186.93519553072622</v>
          </cell>
          <cell r="N19">
            <v>196.28195530726248</v>
          </cell>
          <cell r="O19">
            <v>206.09605307262564</v>
          </cell>
        </row>
        <row r="20">
          <cell r="B20" t="str">
            <v>Gross Profit</v>
          </cell>
          <cell r="G20">
            <v>92.390782122905051</v>
          </cell>
          <cell r="H20">
            <v>227.42346368715093</v>
          </cell>
          <cell r="I20">
            <v>390.8840782122906</v>
          </cell>
          <cell r="J20">
            <v>629.39874301675979</v>
          </cell>
          <cell r="K20">
            <v>759.80111731843556</v>
          </cell>
          <cell r="L20">
            <v>891.71103351955276</v>
          </cell>
          <cell r="M20">
            <v>1019.098324022346</v>
          </cell>
          <cell r="N20">
            <v>1070.0532402234635</v>
          </cell>
          <cell r="O20">
            <v>1123.5559022346365</v>
          </cell>
        </row>
        <row r="21">
          <cell r="B21" t="str">
            <v>Gross Margin</v>
          </cell>
          <cell r="G21">
            <v>0.82499999999999996</v>
          </cell>
          <cell r="H21">
            <v>0.82499999999999996</v>
          </cell>
          <cell r="I21">
            <v>0.82499999999999996</v>
          </cell>
          <cell r="J21">
            <v>0.83500000000000008</v>
          </cell>
          <cell r="K21">
            <v>0.84</v>
          </cell>
          <cell r="L21">
            <v>0.84499999999999997</v>
          </cell>
          <cell r="M21">
            <v>0.84499999999999997</v>
          </cell>
          <cell r="N21">
            <v>0.84500000000000008</v>
          </cell>
          <cell r="O21">
            <v>0.84499999999999997</v>
          </cell>
        </row>
        <row r="23">
          <cell r="B23" t="str">
            <v>International</v>
          </cell>
          <cell r="G23">
            <v>0.82499999999999996</v>
          </cell>
          <cell r="H23">
            <v>0.82499999999999996</v>
          </cell>
          <cell r="I23">
            <v>0.82499999999999996</v>
          </cell>
          <cell r="J23">
            <v>0.83499999999999996</v>
          </cell>
          <cell r="K23">
            <v>0.84</v>
          </cell>
          <cell r="L23">
            <v>0.84499999999999997</v>
          </cell>
          <cell r="M23">
            <v>0.84499999999999997</v>
          </cell>
          <cell r="N23">
            <v>0.84499999999999997</v>
          </cell>
          <cell r="O23">
            <v>0.84499999999999997</v>
          </cell>
        </row>
        <row r="24">
          <cell r="B24" t="str">
            <v>SG&amp;A % of Sales</v>
          </cell>
          <cell r="G24">
            <v>0.17</v>
          </cell>
          <cell r="H24">
            <v>0.17</v>
          </cell>
          <cell r="I24">
            <v>0.16500000000000001</v>
          </cell>
          <cell r="J24">
            <v>0.16</v>
          </cell>
          <cell r="K24">
            <v>0.155</v>
          </cell>
          <cell r="L24">
            <v>0.15</v>
          </cell>
          <cell r="M24">
            <v>0.14499999999999999</v>
          </cell>
          <cell r="N24">
            <v>0.13999999999999999</v>
          </cell>
          <cell r="O24">
            <v>0.13499999999999998</v>
          </cell>
        </row>
        <row r="25">
          <cell r="B25" t="str">
            <v>R&amp;D % of Sales</v>
          </cell>
          <cell r="G25">
            <v>0.1</v>
          </cell>
          <cell r="H25">
            <v>0.09</v>
          </cell>
          <cell r="I25">
            <v>0.09</v>
          </cell>
          <cell r="J25">
            <v>0.09</v>
          </cell>
          <cell r="K25">
            <v>0.09</v>
          </cell>
          <cell r="L25">
            <v>0.09</v>
          </cell>
          <cell r="M25">
            <v>0.09</v>
          </cell>
          <cell r="N25">
            <v>0.09</v>
          </cell>
          <cell r="O25">
            <v>0.09</v>
          </cell>
        </row>
        <row r="26">
          <cell r="B26" t="str">
            <v>SG&amp;A</v>
          </cell>
          <cell r="G26">
            <v>19.038100558659227</v>
          </cell>
          <cell r="H26">
            <v>46.863016759776556</v>
          </cell>
          <cell r="I26">
            <v>78.176815642458138</v>
          </cell>
          <cell r="J26">
            <v>120.60335195530726</v>
          </cell>
          <cell r="K26">
            <v>140.20139664804466</v>
          </cell>
          <cell r="L26">
            <v>158.29189944134075</v>
          </cell>
          <cell r="M26">
            <v>174.87486033519545</v>
          </cell>
          <cell r="N26">
            <v>177.28692737430163</v>
          </cell>
          <cell r="O26">
            <v>179.50301396648035</v>
          </cell>
        </row>
        <row r="27">
          <cell r="B27" t="str">
            <v>R&amp;D</v>
          </cell>
          <cell r="G27">
            <v>11.19888268156425</v>
          </cell>
          <cell r="H27">
            <v>24.809832402234647</v>
          </cell>
          <cell r="I27">
            <v>42.641899441340797</v>
          </cell>
          <cell r="J27">
            <v>67.839385474860336</v>
          </cell>
          <cell r="K27">
            <v>81.407262569832383</v>
          </cell>
          <cell r="L27">
            <v>94.975139664804445</v>
          </cell>
          <cell r="M27">
            <v>108.54301675977649</v>
          </cell>
          <cell r="N27">
            <v>113.97016759776534</v>
          </cell>
          <cell r="O27">
            <v>119.66867597765359</v>
          </cell>
        </row>
        <row r="28">
          <cell r="B28" t="str">
            <v>Operating Profit</v>
          </cell>
          <cell r="G28">
            <v>62.153798882681578</v>
          </cell>
          <cell r="H28">
            <v>155.75061452513972</v>
          </cell>
          <cell r="I28">
            <v>270.06536312849164</v>
          </cell>
          <cell r="J28">
            <v>440.95600558659214</v>
          </cell>
          <cell r="K28">
            <v>538.1924581005585</v>
          </cell>
          <cell r="L28">
            <v>638.44399441340749</v>
          </cell>
          <cell r="M28">
            <v>735.68044692737408</v>
          </cell>
          <cell r="N28">
            <v>778.79614525139652</v>
          </cell>
          <cell r="O28">
            <v>824.38421229050255</v>
          </cell>
        </row>
        <row r="29">
          <cell r="B29" t="str">
            <v>Taxes</v>
          </cell>
          <cell r="G29">
            <v>18.024601675977657</v>
          </cell>
          <cell r="H29">
            <v>44.077423910614534</v>
          </cell>
          <cell r="I29">
            <v>78.31895530726257</v>
          </cell>
          <cell r="J29">
            <v>125.45198358938545</v>
          </cell>
          <cell r="K29">
            <v>157.15219776536307</v>
          </cell>
          <cell r="L29">
            <v>180.36042842178759</v>
          </cell>
          <cell r="M29">
            <v>214.81869050279323</v>
          </cell>
          <cell r="N29">
            <v>222.50205869832399</v>
          </cell>
          <cell r="O29">
            <v>236.59826892737422</v>
          </cell>
        </row>
        <row r="30">
          <cell r="B30" t="str">
            <v>Net Income</v>
          </cell>
          <cell r="G30">
            <v>44.129197206703921</v>
          </cell>
          <cell r="H30">
            <v>111.6731906145252</v>
          </cell>
          <cell r="I30">
            <v>191.74640782122907</v>
          </cell>
          <cell r="J30">
            <v>315.50402199720668</v>
          </cell>
          <cell r="K30">
            <v>381.0402603351954</v>
          </cell>
          <cell r="L30">
            <v>458.08356599161993</v>
          </cell>
          <cell r="M30">
            <v>520.86175642458079</v>
          </cell>
          <cell r="N30">
            <v>556.29408655307247</v>
          </cell>
          <cell r="O30">
            <v>587.78594336312835</v>
          </cell>
        </row>
        <row r="31">
          <cell r="B31" t="str">
            <v>Shares Outstanding</v>
          </cell>
          <cell r="G31">
            <v>540.01981986685632</v>
          </cell>
          <cell r="H31">
            <v>532.90985748061826</v>
          </cell>
          <cell r="I31">
            <v>526.28758665809255</v>
          </cell>
          <cell r="J31">
            <v>520.0788934550003</v>
          </cell>
          <cell r="K31">
            <v>514.39027052012125</v>
          </cell>
          <cell r="L31">
            <v>509.05321088398051</v>
          </cell>
          <cell r="M31">
            <v>504.26395292909609</v>
          </cell>
          <cell r="N31">
            <v>499.87697018558663</v>
          </cell>
          <cell r="O31">
            <v>495.90200028742942</v>
          </cell>
        </row>
        <row r="32">
          <cell r="B32" t="str">
            <v>Accretive EPS</v>
          </cell>
          <cell r="G32">
            <v>8.171773624454029E-2</v>
          </cell>
          <cell r="H32">
            <v>0.20955362158709312</v>
          </cell>
          <cell r="I32">
            <v>0.36433769802326504</v>
          </cell>
          <cell r="J32">
            <v>0.60664646454164473</v>
          </cell>
          <cell r="K32">
            <v>0.74076101779668158</v>
          </cell>
          <cell r="L32">
            <v>0.89987364031384687</v>
          </cell>
          <cell r="M32">
            <v>1.0329149117224694</v>
          </cell>
          <cell r="N32">
            <v>1.112862003517666</v>
          </cell>
          <cell r="O32">
            <v>1.1852864941509453</v>
          </cell>
        </row>
        <row r="33">
          <cell r="B33" t="str">
            <v>Model EPS</v>
          </cell>
          <cell r="G33">
            <v>5.9197160312166224</v>
          </cell>
          <cell r="H33">
            <v>6.7278990297263608</v>
          </cell>
          <cell r="I33">
            <v>7.2979105974996905</v>
          </cell>
          <cell r="J33">
            <v>8.086358481731498</v>
          </cell>
          <cell r="K33">
            <v>8.6334305752194442</v>
          </cell>
          <cell r="L33">
            <v>9.4063913392402032</v>
          </cell>
          <cell r="M33">
            <v>9.7914627309818378</v>
          </cell>
          <cell r="N33">
            <v>10.414111102199115</v>
          </cell>
          <cell r="O33">
            <v>10.950239758709918</v>
          </cell>
        </row>
        <row r="34">
          <cell r="B34" t="str">
            <v>MON EPS</v>
          </cell>
          <cell r="G34">
            <v>6.0014337674611626</v>
          </cell>
          <cell r="H34">
            <v>6.9374526513134542</v>
          </cell>
          <cell r="I34">
            <v>7.6622482955229554</v>
          </cell>
          <cell r="J34">
            <v>8.6930049462731418</v>
          </cell>
          <cell r="K34">
            <v>9.3741915930161266</v>
          </cell>
          <cell r="L34">
            <v>10.306264979554051</v>
          </cell>
          <cell r="M34">
            <v>10.824377642704308</v>
          </cell>
          <cell r="N34">
            <v>11.526973105716781</v>
          </cell>
          <cell r="O34">
            <v>12.135526252860863</v>
          </cell>
        </row>
        <row r="37">
          <cell r="B37" t="str">
            <v>Base Case</v>
          </cell>
        </row>
        <row r="39">
          <cell r="B39" t="str">
            <v>Incremental Insect Protect Value</v>
          </cell>
          <cell r="G39">
            <v>11.486033519553077</v>
          </cell>
          <cell r="H39">
            <v>11.486033519553077</v>
          </cell>
          <cell r="I39">
            <v>11.486033519553077</v>
          </cell>
          <cell r="J39">
            <v>14.35754189944134</v>
          </cell>
          <cell r="K39">
            <v>17.229050279329606</v>
          </cell>
          <cell r="L39">
            <v>20.100558659217871</v>
          </cell>
          <cell r="M39">
            <v>22.972067039106136</v>
          </cell>
          <cell r="N39">
            <v>24.120670391061445</v>
          </cell>
          <cell r="O39">
            <v>25.326703910614519</v>
          </cell>
        </row>
        <row r="40">
          <cell r="B40" t="str">
            <v>Increase</v>
          </cell>
          <cell r="G40">
            <v>0</v>
          </cell>
          <cell r="H40">
            <v>0</v>
          </cell>
          <cell r="I40">
            <v>0</v>
          </cell>
          <cell r="J40">
            <v>0.24999999999999956</v>
          </cell>
          <cell r="K40">
            <v>0.19999999999999973</v>
          </cell>
          <cell r="L40">
            <v>0.16666666666666652</v>
          </cell>
          <cell r="M40">
            <v>0.14285714285714279</v>
          </cell>
          <cell r="N40">
            <v>0.05</v>
          </cell>
          <cell r="O40">
            <v>0.05</v>
          </cell>
        </row>
        <row r="42">
          <cell r="B42" t="str">
            <v>Insect Protected Soybeans</v>
          </cell>
        </row>
        <row r="43">
          <cell r="B43" t="str">
            <v>Brazil</v>
          </cell>
          <cell r="G43">
            <v>8</v>
          </cell>
          <cell r="H43">
            <v>20</v>
          </cell>
          <cell r="I43">
            <v>35</v>
          </cell>
          <cell r="J43">
            <v>45</v>
          </cell>
          <cell r="K43">
            <v>45</v>
          </cell>
          <cell r="L43">
            <v>45</v>
          </cell>
          <cell r="M43">
            <v>45</v>
          </cell>
          <cell r="N43">
            <v>45</v>
          </cell>
          <cell r="O43">
            <v>45</v>
          </cell>
        </row>
        <row r="44">
          <cell r="B44" t="str">
            <v>Argentina</v>
          </cell>
          <cell r="G44">
            <v>5</v>
          </cell>
          <cell r="H44">
            <v>12</v>
          </cell>
          <cell r="I44">
            <v>20</v>
          </cell>
          <cell r="J44">
            <v>25</v>
          </cell>
          <cell r="K44">
            <v>25</v>
          </cell>
          <cell r="L44">
            <v>25</v>
          </cell>
          <cell r="M44">
            <v>25</v>
          </cell>
          <cell r="N44">
            <v>25</v>
          </cell>
          <cell r="O44">
            <v>25</v>
          </cell>
          <cell r="S44" t="str">
            <v>Base Case</v>
          </cell>
          <cell r="T44" t="str">
            <v>Calculations</v>
          </cell>
          <cell r="U44" t="str">
            <v>Bull</v>
          </cell>
          <cell r="V44" t="str">
            <v>Bear</v>
          </cell>
          <cell r="AD44" t="str">
            <v>Year</v>
          </cell>
          <cell r="AE44" t="str">
            <v>Acres</v>
          </cell>
          <cell r="AF44">
            <v>1</v>
          </cell>
        </row>
        <row r="45">
          <cell r="Q45" t="str">
            <v>A</v>
          </cell>
          <cell r="R45" t="str">
            <v>Soybean Price (bushel)</v>
          </cell>
          <cell r="S45">
            <v>8</v>
          </cell>
          <cell r="T45" t="str">
            <v>Assumption</v>
          </cell>
          <cell r="U45">
            <v>8</v>
          </cell>
          <cell r="V45">
            <v>8</v>
          </cell>
          <cell r="AD45">
            <v>2008</v>
          </cell>
          <cell r="AE45" t="str">
            <v>Pricing</v>
          </cell>
          <cell r="AF45">
            <v>1</v>
          </cell>
        </row>
        <row r="46">
          <cell r="B46" t="str">
            <v>Bull Case</v>
          </cell>
          <cell r="Q46" t="str">
            <v>B</v>
          </cell>
          <cell r="R46" t="str">
            <v>Average Yield Improvement</v>
          </cell>
          <cell r="S46">
            <v>2.5</v>
          </cell>
          <cell r="T46" t="str">
            <v>Assumption</v>
          </cell>
          <cell r="U46">
            <v>3.5</v>
          </cell>
          <cell r="V46">
            <v>1.5</v>
          </cell>
          <cell r="AD46">
            <v>2009</v>
          </cell>
          <cell r="AE46" t="str">
            <v>Base</v>
          </cell>
          <cell r="AF46">
            <v>1</v>
          </cell>
        </row>
        <row r="47">
          <cell r="Q47" t="str">
            <v>C</v>
          </cell>
          <cell r="R47" t="str">
            <v>Farmer Productivity Revenue</v>
          </cell>
          <cell r="S47">
            <v>20</v>
          </cell>
          <cell r="T47" t="str">
            <v>A * B</v>
          </cell>
          <cell r="U47">
            <v>28</v>
          </cell>
          <cell r="V47">
            <v>12</v>
          </cell>
          <cell r="AD47">
            <v>2010</v>
          </cell>
          <cell r="AE47" t="str">
            <v>Bull</v>
          </cell>
          <cell r="AF47">
            <v>2</v>
          </cell>
        </row>
        <row r="48">
          <cell r="B48" t="str">
            <v>Incremental Insect Protect Value</v>
          </cell>
          <cell r="G48">
            <v>17.608938547486037</v>
          </cell>
          <cell r="H48">
            <v>17.608938547486037</v>
          </cell>
          <cell r="I48">
            <v>17.608938547486037</v>
          </cell>
          <cell r="J48">
            <v>22.011173184357546</v>
          </cell>
          <cell r="K48">
            <v>26.413407821229054</v>
          </cell>
          <cell r="L48">
            <v>30.815642458100562</v>
          </cell>
          <cell r="M48">
            <v>35.217877094972067</v>
          </cell>
          <cell r="N48">
            <v>36.978770949720669</v>
          </cell>
          <cell r="O48">
            <v>38.827709497206705</v>
          </cell>
          <cell r="Q48" t="str">
            <v>D</v>
          </cell>
          <cell r="R48" t="str">
            <v>Trait Retail Price</v>
          </cell>
          <cell r="S48">
            <v>11.48603351955307</v>
          </cell>
          <cell r="T48" t="str">
            <v>K / J</v>
          </cell>
          <cell r="U48">
            <v>17.608938547486037</v>
          </cell>
          <cell r="V48">
            <v>10.458100558659217</v>
          </cell>
          <cell r="AD48">
            <v>2011</v>
          </cell>
          <cell r="AE48" t="str">
            <v>Bear</v>
          </cell>
          <cell r="AF48">
            <v>3</v>
          </cell>
        </row>
        <row r="49">
          <cell r="B49" t="str">
            <v>Increase</v>
          </cell>
          <cell r="G49">
            <v>0</v>
          </cell>
          <cell r="H49">
            <v>0</v>
          </cell>
          <cell r="I49">
            <v>0</v>
          </cell>
          <cell r="J49">
            <v>0.25</v>
          </cell>
          <cell r="K49">
            <v>0.19999999999999996</v>
          </cell>
          <cell r="L49">
            <v>0.16666666666666674</v>
          </cell>
          <cell r="M49">
            <v>0.14285714285714279</v>
          </cell>
          <cell r="N49">
            <v>0.05</v>
          </cell>
          <cell r="O49">
            <v>0.05</v>
          </cell>
          <cell r="Q49" t="str">
            <v>E</v>
          </cell>
          <cell r="R49" t="str">
            <v>Trait Gross Profit</v>
          </cell>
          <cell r="S49">
            <v>8.5139664804469302</v>
          </cell>
          <cell r="T49" t="str">
            <v>C - D</v>
          </cell>
          <cell r="U49">
            <v>10.391061452513963</v>
          </cell>
          <cell r="V49">
            <v>1.5418994413407834</v>
          </cell>
          <cell r="AD49">
            <v>2012</v>
          </cell>
        </row>
        <row r="50">
          <cell r="Q50" t="str">
            <v>F</v>
          </cell>
          <cell r="R50" t="str">
            <v>Average Input Cost Savings</v>
          </cell>
          <cell r="S50">
            <v>5.7</v>
          </cell>
          <cell r="T50" t="str">
            <v>Assumption</v>
          </cell>
          <cell r="U50">
            <v>11.4</v>
          </cell>
          <cell r="V50">
            <v>11.4</v>
          </cell>
          <cell r="AD50">
            <v>2013</v>
          </cell>
        </row>
        <row r="51">
          <cell r="B51" t="str">
            <v>Insect Protected Soybeans</v>
          </cell>
          <cell r="Q51" t="str">
            <v>G</v>
          </cell>
          <cell r="R51" t="str">
            <v>Total Farmer Gross Profit</v>
          </cell>
          <cell r="S51">
            <v>14.213966480446931</v>
          </cell>
          <cell r="T51" t="str">
            <v>E + F</v>
          </cell>
          <cell r="U51">
            <v>21.791061452513965</v>
          </cell>
          <cell r="V51">
            <v>12.941899441340784</v>
          </cell>
          <cell r="AD51">
            <v>2014</v>
          </cell>
        </row>
        <row r="52">
          <cell r="B52" t="str">
            <v>Brazil</v>
          </cell>
          <cell r="G52">
            <v>10</v>
          </cell>
          <cell r="H52">
            <v>25</v>
          </cell>
          <cell r="I52">
            <v>45</v>
          </cell>
          <cell r="J52">
            <v>45</v>
          </cell>
          <cell r="K52">
            <v>45</v>
          </cell>
          <cell r="L52">
            <v>45</v>
          </cell>
          <cell r="M52">
            <v>45</v>
          </cell>
          <cell r="N52">
            <v>45</v>
          </cell>
          <cell r="O52">
            <v>45</v>
          </cell>
          <cell r="AD52">
            <v>2015</v>
          </cell>
        </row>
        <row r="53">
          <cell r="B53" t="str">
            <v>Argentina</v>
          </cell>
          <cell r="G53">
            <v>8</v>
          </cell>
          <cell r="H53">
            <v>18</v>
          </cell>
          <cell r="I53">
            <v>25</v>
          </cell>
          <cell r="J53">
            <v>25</v>
          </cell>
          <cell r="K53">
            <v>25</v>
          </cell>
          <cell r="L53">
            <v>25</v>
          </cell>
          <cell r="M53">
            <v>25</v>
          </cell>
          <cell r="N53">
            <v>25</v>
          </cell>
          <cell r="O53">
            <v>25</v>
          </cell>
          <cell r="Q53" t="str">
            <v>H</v>
          </cell>
          <cell r="R53" t="str">
            <v>Trait Retail Price</v>
          </cell>
          <cell r="S53">
            <v>11.48603351955307</v>
          </cell>
          <cell r="T53" t="str">
            <v>K / J</v>
          </cell>
          <cell r="U53">
            <v>17.608938547486037</v>
          </cell>
          <cell r="V53">
            <v>10.45810055865922</v>
          </cell>
          <cell r="AD53">
            <v>2016</v>
          </cell>
        </row>
        <row r="54">
          <cell r="Q54" t="str">
            <v>J</v>
          </cell>
          <cell r="R54" t="str">
            <v>Retail Capture</v>
          </cell>
          <cell r="S54">
            <v>0.75</v>
          </cell>
          <cell r="T54" t="str">
            <v>Assumption</v>
          </cell>
          <cell r="U54">
            <v>0.75</v>
          </cell>
          <cell r="V54">
            <v>0.75</v>
          </cell>
          <cell r="AD54">
            <v>2017</v>
          </cell>
        </row>
        <row r="55">
          <cell r="B55" t="str">
            <v>Bear Case</v>
          </cell>
          <cell r="Q55" t="str">
            <v>K</v>
          </cell>
          <cell r="R55" t="str">
            <v>Monsanto Revenue</v>
          </cell>
          <cell r="S55">
            <v>8.6145251396648028</v>
          </cell>
          <cell r="T55" t="str">
            <v>L + M</v>
          </cell>
          <cell r="U55">
            <v>13.206703910614527</v>
          </cell>
          <cell r="V55">
            <v>7.8435754189944156</v>
          </cell>
        </row>
        <row r="56">
          <cell r="Q56" t="str">
            <v>L</v>
          </cell>
          <cell r="R56" t="str">
            <v>Monsanto COGS</v>
          </cell>
          <cell r="S56">
            <v>1.507541899441341</v>
          </cell>
          <cell r="T56" t="str">
            <v>K * (1 - N)</v>
          </cell>
          <cell r="U56">
            <v>2.3111731843575427</v>
          </cell>
          <cell r="V56">
            <v>1.372625698324023</v>
          </cell>
        </row>
        <row r="57">
          <cell r="B57" t="str">
            <v>Incremental Insect Protect Value</v>
          </cell>
          <cell r="G57">
            <v>10.45810055865922</v>
          </cell>
          <cell r="H57">
            <v>10.45810055865922</v>
          </cell>
          <cell r="I57">
            <v>10.45810055865922</v>
          </cell>
          <cell r="J57">
            <v>10.45810055865922</v>
          </cell>
          <cell r="K57">
            <v>10.45810055865922</v>
          </cell>
          <cell r="L57">
            <v>10.45810055865922</v>
          </cell>
          <cell r="M57">
            <v>10.45810055865922</v>
          </cell>
          <cell r="N57">
            <v>10.45810055865922</v>
          </cell>
          <cell r="O57">
            <v>10.45810055865922</v>
          </cell>
          <cell r="Q57" t="str">
            <v>M</v>
          </cell>
          <cell r="R57" t="str">
            <v>Monsanto Gross Profit</v>
          </cell>
          <cell r="S57">
            <v>7.1069832402234665</v>
          </cell>
          <cell r="T57" t="str">
            <v>G * (3/2) * (1/3)</v>
          </cell>
          <cell r="U57">
            <v>10.895530726256984</v>
          </cell>
          <cell r="V57">
            <v>6.4709497206703928</v>
          </cell>
        </row>
        <row r="58">
          <cell r="B58" t="str">
            <v>Increase</v>
          </cell>
          <cell r="G58">
            <v>0</v>
          </cell>
          <cell r="H58">
            <v>0</v>
          </cell>
          <cell r="I58">
            <v>0</v>
          </cell>
          <cell r="J58">
            <v>0</v>
          </cell>
          <cell r="K58">
            <v>0</v>
          </cell>
          <cell r="L58">
            <v>0</v>
          </cell>
          <cell r="M58">
            <v>0</v>
          </cell>
          <cell r="N58">
            <v>0</v>
          </cell>
          <cell r="O58">
            <v>0</v>
          </cell>
          <cell r="Q58" t="str">
            <v>N</v>
          </cell>
          <cell r="R58" t="str">
            <v>Monsanto Gross Profit Margin</v>
          </cell>
          <cell r="S58">
            <v>0.82499999999999996</v>
          </cell>
          <cell r="T58" t="str">
            <v>Assumption</v>
          </cell>
          <cell r="U58">
            <v>0.82499999999999996</v>
          </cell>
          <cell r="V58">
            <v>0.82499999999999996</v>
          </cell>
        </row>
        <row r="60">
          <cell r="B60" t="str">
            <v>Insect Protected Soybeans</v>
          </cell>
        </row>
        <row r="61">
          <cell r="B61" t="str">
            <v>Brazil</v>
          </cell>
          <cell r="G61">
            <v>0</v>
          </cell>
          <cell r="H61">
            <v>5</v>
          </cell>
          <cell r="I61">
            <v>14</v>
          </cell>
          <cell r="J61">
            <v>27</v>
          </cell>
          <cell r="K61">
            <v>40</v>
          </cell>
          <cell r="L61">
            <v>40</v>
          </cell>
          <cell r="M61">
            <v>40</v>
          </cell>
          <cell r="N61">
            <v>40</v>
          </cell>
          <cell r="O61">
            <v>40</v>
          </cell>
        </row>
        <row r="62">
          <cell r="B62" t="str">
            <v>Argentina</v>
          </cell>
          <cell r="G62">
            <v>0</v>
          </cell>
          <cell r="H62">
            <v>4</v>
          </cell>
          <cell r="I62">
            <v>10</v>
          </cell>
          <cell r="J62">
            <v>18</v>
          </cell>
          <cell r="K62">
            <v>18</v>
          </cell>
          <cell r="L62">
            <v>18</v>
          </cell>
          <cell r="M62">
            <v>18</v>
          </cell>
          <cell r="N62">
            <v>18</v>
          </cell>
          <cell r="O62">
            <v>18</v>
          </cell>
        </row>
      </sheetData>
      <sheetData sheetId="17">
        <row r="1">
          <cell r="A1" t="str">
            <v>Dicamba - Tolerant Soybeans</v>
          </cell>
          <cell r="F1" t="str">
            <v>Stack with RR2Y</v>
          </cell>
          <cell r="K1" t="str">
            <v>medium value trait: $10-$30</v>
          </cell>
        </row>
        <row r="2">
          <cell r="A2" t="str">
            <v>PHASE 3</v>
          </cell>
          <cell r="D2" t="str">
            <v>Base</v>
          </cell>
          <cell r="E2" t="str">
            <v>Acres</v>
          </cell>
          <cell r="F2" t="str">
            <v>2007:  1st yr SA testing, 2nd year US testing</v>
          </cell>
          <cell r="K2" t="str">
            <v>70M US Acre opportunity</v>
          </cell>
        </row>
        <row r="3">
          <cell r="A3" t="str">
            <v>Assume Launch is</v>
          </cell>
          <cell r="D3" t="str">
            <v>Base</v>
          </cell>
          <cell r="E3" t="str">
            <v>Pricing</v>
          </cell>
          <cell r="F3" t="str">
            <v>stacking dicamba tolerance will expand weed control options by use of either glyphosate or dicamba or both</v>
          </cell>
        </row>
        <row r="4">
          <cell r="B4">
            <v>2012</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Dicamba-Tolerant</v>
          </cell>
        </row>
        <row r="7">
          <cell r="B7" t="str">
            <v>Brazil</v>
          </cell>
          <cell r="G7">
            <v>5</v>
          </cell>
          <cell r="H7">
            <v>16</v>
          </cell>
          <cell r="I7">
            <v>33</v>
          </cell>
          <cell r="J7">
            <v>45</v>
          </cell>
          <cell r="K7">
            <v>45</v>
          </cell>
          <cell r="L7">
            <v>45</v>
          </cell>
          <cell r="M7">
            <v>45</v>
          </cell>
          <cell r="N7">
            <v>45</v>
          </cell>
          <cell r="O7">
            <v>45</v>
          </cell>
        </row>
        <row r="8">
          <cell r="B8" t="str">
            <v>Argentina</v>
          </cell>
          <cell r="G8">
            <v>4</v>
          </cell>
          <cell r="H8">
            <v>14</v>
          </cell>
          <cell r="I8">
            <v>21</v>
          </cell>
          <cell r="J8">
            <v>25</v>
          </cell>
          <cell r="K8">
            <v>25</v>
          </cell>
          <cell r="L8">
            <v>25</v>
          </cell>
          <cell r="M8">
            <v>25</v>
          </cell>
          <cell r="N8">
            <v>25</v>
          </cell>
          <cell r="O8">
            <v>25</v>
          </cell>
        </row>
        <row r="9">
          <cell r="B9" t="str">
            <v>US</v>
          </cell>
          <cell r="G9">
            <v>6</v>
          </cell>
          <cell r="H9">
            <v>15</v>
          </cell>
          <cell r="I9">
            <v>20</v>
          </cell>
          <cell r="J9">
            <v>25</v>
          </cell>
          <cell r="K9">
            <v>25</v>
          </cell>
          <cell r="L9">
            <v>25</v>
          </cell>
          <cell r="M9">
            <v>25</v>
          </cell>
          <cell r="N9">
            <v>25</v>
          </cell>
          <cell r="O9">
            <v>25</v>
          </cell>
        </row>
        <row r="11">
          <cell r="B11" t="str">
            <v>MON TAKE</v>
          </cell>
          <cell r="G11">
            <v>0.75</v>
          </cell>
          <cell r="H11">
            <v>0.75</v>
          </cell>
          <cell r="I11">
            <v>0.75</v>
          </cell>
          <cell r="J11">
            <v>0.75</v>
          </cell>
          <cell r="K11">
            <v>0.75</v>
          </cell>
          <cell r="L11">
            <v>0.75</v>
          </cell>
          <cell r="M11">
            <v>0.75</v>
          </cell>
          <cell r="N11">
            <v>0.75</v>
          </cell>
          <cell r="O11">
            <v>0.75</v>
          </cell>
        </row>
        <row r="13">
          <cell r="C13">
            <v>2008</v>
          </cell>
          <cell r="D13">
            <v>2009</v>
          </cell>
          <cell r="E13">
            <v>2010</v>
          </cell>
          <cell r="F13">
            <v>2011</v>
          </cell>
          <cell r="G13">
            <v>2012</v>
          </cell>
          <cell r="H13">
            <v>2013</v>
          </cell>
          <cell r="I13">
            <v>2014</v>
          </cell>
          <cell r="J13">
            <v>2015</v>
          </cell>
          <cell r="K13">
            <v>2016</v>
          </cell>
          <cell r="L13">
            <v>2017</v>
          </cell>
          <cell r="M13">
            <v>2018</v>
          </cell>
          <cell r="N13">
            <v>2019</v>
          </cell>
          <cell r="O13">
            <v>2020</v>
          </cell>
        </row>
        <row r="14">
          <cell r="B14" t="str">
            <v>Incremental Dicamba Pricing</v>
          </cell>
          <cell r="G14">
            <v>11.173184357541899</v>
          </cell>
          <cell r="H14">
            <v>11.173184357541899</v>
          </cell>
          <cell r="I14">
            <v>11.173184357541899</v>
          </cell>
          <cell r="J14">
            <v>13.966480446927374</v>
          </cell>
          <cell r="K14">
            <v>16.759776536312849</v>
          </cell>
          <cell r="L14">
            <v>17.597765363128492</v>
          </cell>
          <cell r="M14">
            <v>18.477653631284916</v>
          </cell>
          <cell r="N14">
            <v>19.401536312849164</v>
          </cell>
          <cell r="O14">
            <v>20.371613128491621</v>
          </cell>
        </row>
        <row r="15">
          <cell r="B15" t="str">
            <v>Increase</v>
          </cell>
          <cell r="G15">
            <v>0</v>
          </cell>
          <cell r="H15">
            <v>0</v>
          </cell>
          <cell r="I15">
            <v>0</v>
          </cell>
          <cell r="J15">
            <v>0.25</v>
          </cell>
          <cell r="K15">
            <v>0.19999999999999996</v>
          </cell>
          <cell r="L15">
            <v>0.05</v>
          </cell>
          <cell r="M15">
            <v>0.05</v>
          </cell>
          <cell r="N15">
            <v>0.05</v>
          </cell>
          <cell r="O15">
            <v>0.05</v>
          </cell>
        </row>
        <row r="17">
          <cell r="B17" t="str">
            <v>Total US Acreage</v>
          </cell>
          <cell r="G17">
            <v>6</v>
          </cell>
          <cell r="H17">
            <v>15</v>
          </cell>
          <cell r="I17">
            <v>20</v>
          </cell>
          <cell r="J17">
            <v>25</v>
          </cell>
          <cell r="K17">
            <v>25</v>
          </cell>
          <cell r="L17">
            <v>25</v>
          </cell>
          <cell r="M17">
            <v>25</v>
          </cell>
          <cell r="N17">
            <v>25</v>
          </cell>
          <cell r="O17">
            <v>25</v>
          </cell>
        </row>
        <row r="18">
          <cell r="B18" t="str">
            <v>Total Worldwide Acreage</v>
          </cell>
          <cell r="G18">
            <v>15</v>
          </cell>
          <cell r="H18">
            <v>45</v>
          </cell>
          <cell r="I18">
            <v>74</v>
          </cell>
          <cell r="J18">
            <v>95</v>
          </cell>
          <cell r="K18">
            <v>95</v>
          </cell>
          <cell r="L18">
            <v>95</v>
          </cell>
          <cell r="M18">
            <v>95</v>
          </cell>
          <cell r="N18">
            <v>95</v>
          </cell>
          <cell r="O18">
            <v>95</v>
          </cell>
        </row>
        <row r="20">
          <cell r="B20" t="str">
            <v>Revenue</v>
          </cell>
          <cell r="G20">
            <v>125.69832402234637</v>
          </cell>
          <cell r="H20">
            <v>377.09497206703912</v>
          </cell>
          <cell r="I20">
            <v>620.1117318435754</v>
          </cell>
          <cell r="J20">
            <v>995.1117318435754</v>
          </cell>
          <cell r="K20">
            <v>1194.1340782122904</v>
          </cell>
          <cell r="L20">
            <v>1253.840782122905</v>
          </cell>
          <cell r="M20">
            <v>1316.5328212290503</v>
          </cell>
          <cell r="N20">
            <v>1382.359462290503</v>
          </cell>
          <cell r="O20">
            <v>1451.477435405028</v>
          </cell>
        </row>
        <row r="21">
          <cell r="B21" t="str">
            <v>COGS</v>
          </cell>
          <cell r="G21">
            <v>21.997206703910607</v>
          </cell>
          <cell r="H21">
            <v>65.991620111731891</v>
          </cell>
          <cell r="I21">
            <v>108.51955307262574</v>
          </cell>
          <cell r="J21">
            <v>164.19343575418998</v>
          </cell>
          <cell r="K21">
            <v>191.0614525139664</v>
          </cell>
          <cell r="L21">
            <v>200.61452513966492</v>
          </cell>
          <cell r="M21">
            <v>210.64525139664806</v>
          </cell>
          <cell r="N21">
            <v>221.17751396648055</v>
          </cell>
          <cell r="O21">
            <v>232.23638966480462</v>
          </cell>
        </row>
        <row r="22">
          <cell r="B22" t="str">
            <v>Gross Profit</v>
          </cell>
          <cell r="G22">
            <v>103.70111731843576</v>
          </cell>
          <cell r="H22">
            <v>311.10335195530723</v>
          </cell>
          <cell r="I22">
            <v>511.59217877094966</v>
          </cell>
          <cell r="J22">
            <v>830.91829608938542</v>
          </cell>
          <cell r="K22">
            <v>1003.072625698324</v>
          </cell>
          <cell r="L22">
            <v>1053.2262569832401</v>
          </cell>
          <cell r="M22">
            <v>1105.8875698324023</v>
          </cell>
          <cell r="N22">
            <v>1161.1819483240224</v>
          </cell>
          <cell r="O22">
            <v>1219.2410457402234</v>
          </cell>
        </row>
        <row r="23">
          <cell r="B23" t="str">
            <v>Gross Margin</v>
          </cell>
          <cell r="G23">
            <v>0.82500000000000007</v>
          </cell>
          <cell r="H23">
            <v>0.82499999999999984</v>
          </cell>
          <cell r="I23">
            <v>0.82499999999999996</v>
          </cell>
          <cell r="J23">
            <v>0.83499999999999996</v>
          </cell>
          <cell r="K23">
            <v>0.84000000000000008</v>
          </cell>
          <cell r="L23">
            <v>0.83999999999999986</v>
          </cell>
          <cell r="M23">
            <v>0.84</v>
          </cell>
          <cell r="N23">
            <v>0.84</v>
          </cell>
          <cell r="O23">
            <v>0.83999999999999986</v>
          </cell>
        </row>
        <row r="25">
          <cell r="B25" t="str">
            <v>US</v>
          </cell>
          <cell r="G25">
            <v>0.82499999999999996</v>
          </cell>
          <cell r="H25">
            <v>0.82499999999999996</v>
          </cell>
          <cell r="I25">
            <v>0.82499999999999996</v>
          </cell>
          <cell r="J25">
            <v>0.83499999999999996</v>
          </cell>
          <cell r="K25">
            <v>0.84</v>
          </cell>
          <cell r="L25">
            <v>0.84</v>
          </cell>
          <cell r="M25">
            <v>0.84</v>
          </cell>
          <cell r="N25">
            <v>0.84</v>
          </cell>
          <cell r="O25">
            <v>0.84</v>
          </cell>
        </row>
        <row r="26">
          <cell r="B26" t="str">
            <v>International</v>
          </cell>
          <cell r="G26">
            <v>0.82499999999999996</v>
          </cell>
          <cell r="H26">
            <v>0.82499999999999996</v>
          </cell>
          <cell r="I26">
            <v>0.82499999999999996</v>
          </cell>
          <cell r="J26">
            <v>0.83499999999999996</v>
          </cell>
          <cell r="K26">
            <v>0.84</v>
          </cell>
          <cell r="L26">
            <v>0.84</v>
          </cell>
          <cell r="M26">
            <v>0.84</v>
          </cell>
          <cell r="N26">
            <v>0.84</v>
          </cell>
          <cell r="O26">
            <v>0.84</v>
          </cell>
        </row>
        <row r="27">
          <cell r="B27" t="str">
            <v>SG&amp;A % of Sales</v>
          </cell>
          <cell r="G27">
            <v>0.17</v>
          </cell>
          <cell r="H27">
            <v>0.17</v>
          </cell>
          <cell r="I27">
            <v>0.16500000000000001</v>
          </cell>
          <cell r="J27">
            <v>0.16</v>
          </cell>
          <cell r="K27">
            <v>0.155</v>
          </cell>
          <cell r="L27">
            <v>0.15</v>
          </cell>
          <cell r="M27">
            <v>0.14499999999999999</v>
          </cell>
          <cell r="N27">
            <v>0.13999999999999999</v>
          </cell>
          <cell r="O27">
            <v>0.13499999999999998</v>
          </cell>
        </row>
        <row r="28">
          <cell r="B28" t="str">
            <v>R&amp;D % of Sales</v>
          </cell>
          <cell r="G28">
            <v>0.1</v>
          </cell>
          <cell r="H28">
            <v>0.09</v>
          </cell>
          <cell r="I28">
            <v>0.09</v>
          </cell>
          <cell r="J28">
            <v>0.09</v>
          </cell>
          <cell r="K28">
            <v>0.09</v>
          </cell>
          <cell r="L28">
            <v>0.09</v>
          </cell>
          <cell r="M28">
            <v>0.09</v>
          </cell>
          <cell r="N28">
            <v>0.09</v>
          </cell>
          <cell r="O28">
            <v>0.09</v>
          </cell>
        </row>
        <row r="29">
          <cell r="B29" t="str">
            <v>SG&amp;A</v>
          </cell>
          <cell r="G29">
            <v>21.368715083798886</v>
          </cell>
          <cell r="H29">
            <v>64.106145251396654</v>
          </cell>
          <cell r="I29">
            <v>102.31843575418995</v>
          </cell>
          <cell r="J29">
            <v>159.21787709497207</v>
          </cell>
          <cell r="K29">
            <v>185.09078212290501</v>
          </cell>
          <cell r="L29">
            <v>188.07611731843573</v>
          </cell>
          <cell r="M29">
            <v>190.89725907821227</v>
          </cell>
          <cell r="N29">
            <v>193.53032472067039</v>
          </cell>
          <cell r="O29">
            <v>195.94945377967875</v>
          </cell>
        </row>
        <row r="30">
          <cell r="B30" t="str">
            <v>R&amp;D</v>
          </cell>
          <cell r="G30">
            <v>12.569832402234638</v>
          </cell>
          <cell r="H30">
            <v>33.938547486033521</v>
          </cell>
          <cell r="I30">
            <v>55.810055865921782</v>
          </cell>
          <cell r="J30">
            <v>89.560055865921782</v>
          </cell>
          <cell r="K30">
            <v>107.47206703910614</v>
          </cell>
          <cell r="L30">
            <v>112.84567039106145</v>
          </cell>
          <cell r="M30">
            <v>118.48795391061452</v>
          </cell>
          <cell r="N30">
            <v>124.41235160614526</v>
          </cell>
          <cell r="O30">
            <v>130.63296918645253</v>
          </cell>
        </row>
        <row r="31">
          <cell r="B31" t="str">
            <v>Operating Profit</v>
          </cell>
          <cell r="G31">
            <v>69.762569832402235</v>
          </cell>
          <cell r="H31">
            <v>213.05865921787708</v>
          </cell>
          <cell r="I31">
            <v>353.46368715083793</v>
          </cell>
          <cell r="J31">
            <v>582.14036312849157</v>
          </cell>
          <cell r="K31">
            <v>710.50977653631287</v>
          </cell>
          <cell r="L31">
            <v>752.30446927374282</v>
          </cell>
          <cell r="M31">
            <v>796.5023568435754</v>
          </cell>
          <cell r="N31">
            <v>843.23927199720674</v>
          </cell>
          <cell r="O31">
            <v>892.65862277409212</v>
          </cell>
        </row>
        <row r="32">
          <cell r="B32" t="str">
            <v>Taxes</v>
          </cell>
          <cell r="G32">
            <v>20.231145251396647</v>
          </cell>
          <cell r="H32">
            <v>60.29560055865921</v>
          </cell>
          <cell r="I32">
            <v>102.504469273743</v>
          </cell>
          <cell r="J32">
            <v>165.61893331005584</v>
          </cell>
          <cell r="K32">
            <v>207.46885474860335</v>
          </cell>
          <cell r="L32">
            <v>212.52601256983232</v>
          </cell>
          <cell r="M32">
            <v>232.57868819832399</v>
          </cell>
          <cell r="N32">
            <v>240.91346000960198</v>
          </cell>
          <cell r="O32">
            <v>256.19302473616443</v>
          </cell>
        </row>
        <row r="33">
          <cell r="B33" t="str">
            <v>Net Income</v>
          </cell>
          <cell r="G33">
            <v>49.531424581005588</v>
          </cell>
          <cell r="H33">
            <v>152.76305865921788</v>
          </cell>
          <cell r="I33">
            <v>250.95921787709494</v>
          </cell>
          <cell r="J33">
            <v>416.52142981843576</v>
          </cell>
          <cell r="K33">
            <v>503.04092178770952</v>
          </cell>
          <cell r="L33">
            <v>539.77845670391048</v>
          </cell>
          <cell r="M33">
            <v>563.92366864525138</v>
          </cell>
          <cell r="N33">
            <v>602.32581198760477</v>
          </cell>
          <cell r="O33">
            <v>636.46559803792775</v>
          </cell>
        </row>
        <row r="34">
          <cell r="B34" t="str">
            <v>Shares Outstanding</v>
          </cell>
          <cell r="G34">
            <v>540.01981986685632</v>
          </cell>
          <cell r="H34">
            <v>532.90985748061826</v>
          </cell>
          <cell r="I34">
            <v>526.28758665809255</v>
          </cell>
          <cell r="J34">
            <v>520.0788934550003</v>
          </cell>
          <cell r="K34">
            <v>514.39027052012125</v>
          </cell>
          <cell r="L34">
            <v>509.05321088398051</v>
          </cell>
          <cell r="M34">
            <v>504.26395292909609</v>
          </cell>
          <cell r="N34">
            <v>499.87697018558663</v>
          </cell>
          <cell r="O34">
            <v>495.90200028742942</v>
          </cell>
        </row>
        <row r="35">
          <cell r="B35" t="str">
            <v>Accretive EPS</v>
          </cell>
          <cell r="G35">
            <v>9.1721493839277468E-2</v>
          </cell>
          <cell r="H35">
            <v>0.28665834665063183</v>
          </cell>
          <cell r="I35">
            <v>0.47684806603681656</v>
          </cell>
          <cell r="J35">
            <v>0.80088124140433936</v>
          </cell>
          <cell r="K35">
            <v>0.97793630754147831</v>
          </cell>
          <cell r="L35">
            <v>1.0603576309175518</v>
          </cell>
          <cell r="M35">
            <v>1.1183104907055372</v>
          </cell>
          <cell r="N35">
            <v>1.2049481130606647</v>
          </cell>
          <cell r="O35">
            <v>1.2834503544430682</v>
          </cell>
        </row>
        <row r="36">
          <cell r="B36" t="str">
            <v>Model EPS</v>
          </cell>
          <cell r="G36">
            <v>5.9197160312166224</v>
          </cell>
          <cell r="H36">
            <v>6.7278990297263608</v>
          </cell>
          <cell r="I36">
            <v>7.2979105974996905</v>
          </cell>
          <cell r="J36">
            <v>8.086358481731498</v>
          </cell>
          <cell r="K36">
            <v>8.6334305752194442</v>
          </cell>
          <cell r="L36">
            <v>9.4063913392402032</v>
          </cell>
          <cell r="M36">
            <v>9.7914627309818378</v>
          </cell>
          <cell r="N36">
            <v>10.414111102199115</v>
          </cell>
          <cell r="O36">
            <v>10.950239758709918</v>
          </cell>
        </row>
        <row r="37">
          <cell r="B37" t="str">
            <v>MON EPS</v>
          </cell>
          <cell r="G37">
            <v>6.0114375250559</v>
          </cell>
          <cell r="H37">
            <v>7.0145573763769926</v>
          </cell>
          <cell r="I37">
            <v>7.7747586635365069</v>
          </cell>
          <cell r="J37">
            <v>8.8872397231358367</v>
          </cell>
          <cell r="K37">
            <v>9.6113668827609224</v>
          </cell>
          <cell r="L37">
            <v>10.466748970157756</v>
          </cell>
          <cell r="M37">
            <v>10.909773221687376</v>
          </cell>
          <cell r="N37">
            <v>11.61905921525978</v>
          </cell>
          <cell r="O37">
            <v>12.233690113152987</v>
          </cell>
        </row>
        <row r="41">
          <cell r="B41" t="str">
            <v>Base Case</v>
          </cell>
        </row>
        <row r="43">
          <cell r="B43" t="str">
            <v>Incremental Dicamba Value</v>
          </cell>
          <cell r="G43">
            <v>11.173184357541899</v>
          </cell>
          <cell r="H43">
            <v>11.173184357541899</v>
          </cell>
          <cell r="I43">
            <v>11.173184357541899</v>
          </cell>
          <cell r="J43">
            <v>13.966480446927374</v>
          </cell>
          <cell r="K43">
            <v>16.759776536312849</v>
          </cell>
          <cell r="L43">
            <v>17.597765363128492</v>
          </cell>
          <cell r="M43">
            <v>18.477653631284916</v>
          </cell>
          <cell r="N43">
            <v>19.401536312849164</v>
          </cell>
          <cell r="O43">
            <v>20.371613128491621</v>
          </cell>
        </row>
        <row r="44">
          <cell r="B44" t="str">
            <v>Increase</v>
          </cell>
          <cell r="G44">
            <v>0</v>
          </cell>
          <cell r="H44">
            <v>0</v>
          </cell>
          <cell r="I44">
            <v>0</v>
          </cell>
          <cell r="J44">
            <v>0.25</v>
          </cell>
          <cell r="K44">
            <v>0.19999999999999996</v>
          </cell>
          <cell r="L44">
            <v>0.05</v>
          </cell>
          <cell r="M44">
            <v>0.05</v>
          </cell>
          <cell r="N44">
            <v>0.05</v>
          </cell>
          <cell r="O44">
            <v>0.05</v>
          </cell>
        </row>
        <row r="45">
          <cell r="S45" t="str">
            <v>Base Case</v>
          </cell>
          <cell r="T45" t="str">
            <v>Calculations</v>
          </cell>
          <cell r="U45" t="str">
            <v>Bull</v>
          </cell>
          <cell r="V45" t="str">
            <v>Bear</v>
          </cell>
        </row>
        <row r="46">
          <cell r="B46" t="str">
            <v>Dicamba Tolerant Acres</v>
          </cell>
          <cell r="Q46" t="str">
            <v>A</v>
          </cell>
          <cell r="R46" t="str">
            <v>Soybean Price (bushel)</v>
          </cell>
          <cell r="S46">
            <v>8</v>
          </cell>
          <cell r="T46" t="str">
            <v>Assumption</v>
          </cell>
          <cell r="U46">
            <v>8</v>
          </cell>
          <cell r="V46">
            <v>8</v>
          </cell>
        </row>
        <row r="47">
          <cell r="B47" t="str">
            <v>Brazil</v>
          </cell>
          <cell r="G47">
            <v>5</v>
          </cell>
          <cell r="H47">
            <v>16</v>
          </cell>
          <cell r="I47">
            <v>33</v>
          </cell>
          <cell r="J47">
            <v>45</v>
          </cell>
          <cell r="K47">
            <v>45</v>
          </cell>
          <cell r="L47">
            <v>45</v>
          </cell>
          <cell r="M47">
            <v>45</v>
          </cell>
          <cell r="N47">
            <v>45</v>
          </cell>
          <cell r="O47">
            <v>45</v>
          </cell>
          <cell r="Q47" t="str">
            <v>B</v>
          </cell>
          <cell r="R47" t="str">
            <v>Average Yield Improvement</v>
          </cell>
          <cell r="S47">
            <v>0</v>
          </cell>
          <cell r="T47" t="str">
            <v>Assumption</v>
          </cell>
          <cell r="U47">
            <v>0</v>
          </cell>
          <cell r="V47">
            <v>0</v>
          </cell>
          <cell r="AC47" t="str">
            <v>Year</v>
          </cell>
          <cell r="AD47" t="str">
            <v>Acres</v>
          </cell>
          <cell r="AE47">
            <v>1</v>
          </cell>
        </row>
        <row r="48">
          <cell r="B48" t="str">
            <v>Argentina</v>
          </cell>
          <cell r="G48">
            <v>4</v>
          </cell>
          <cell r="H48">
            <v>14</v>
          </cell>
          <cell r="I48">
            <v>21</v>
          </cell>
          <cell r="J48">
            <v>25</v>
          </cell>
          <cell r="K48">
            <v>25</v>
          </cell>
          <cell r="L48">
            <v>25</v>
          </cell>
          <cell r="M48">
            <v>25</v>
          </cell>
          <cell r="N48">
            <v>25</v>
          </cell>
          <cell r="O48">
            <v>25</v>
          </cell>
          <cell r="Q48" t="str">
            <v>C</v>
          </cell>
          <cell r="R48" t="str">
            <v>Farmer Productivity Revenue</v>
          </cell>
          <cell r="S48">
            <v>0</v>
          </cell>
          <cell r="T48" t="str">
            <v>A * B</v>
          </cell>
          <cell r="U48">
            <v>0</v>
          </cell>
          <cell r="V48">
            <v>0</v>
          </cell>
          <cell r="AD48" t="str">
            <v>pricing</v>
          </cell>
          <cell r="AE48">
            <v>1</v>
          </cell>
        </row>
        <row r="49">
          <cell r="B49" t="str">
            <v>US</v>
          </cell>
          <cell r="G49">
            <v>6</v>
          </cell>
          <cell r="H49">
            <v>15</v>
          </cell>
          <cell r="I49">
            <v>20</v>
          </cell>
          <cell r="J49">
            <v>25</v>
          </cell>
          <cell r="K49">
            <v>25</v>
          </cell>
          <cell r="L49">
            <v>25</v>
          </cell>
          <cell r="M49">
            <v>25</v>
          </cell>
          <cell r="N49">
            <v>25</v>
          </cell>
          <cell r="O49">
            <v>25</v>
          </cell>
          <cell r="Q49" t="str">
            <v>D</v>
          </cell>
          <cell r="R49" t="str">
            <v>Trait Retail Price</v>
          </cell>
          <cell r="S49">
            <v>11.173184357541899</v>
          </cell>
          <cell r="T49" t="str">
            <v>K / J</v>
          </cell>
          <cell r="U49">
            <v>13.407821229050279</v>
          </cell>
          <cell r="V49">
            <v>8.9385474860335208</v>
          </cell>
        </row>
        <row r="50">
          <cell r="Q50" t="str">
            <v>E</v>
          </cell>
          <cell r="R50" t="str">
            <v>Trait Gross Profit</v>
          </cell>
          <cell r="S50">
            <v>-11.173184357541899</v>
          </cell>
          <cell r="T50" t="str">
            <v>C - D</v>
          </cell>
          <cell r="U50">
            <v>-13.407821229050279</v>
          </cell>
          <cell r="V50">
            <v>-8.9385474860335208</v>
          </cell>
        </row>
        <row r="51">
          <cell r="B51" t="str">
            <v>Bull Case</v>
          </cell>
          <cell r="Q51" t="str">
            <v>F</v>
          </cell>
          <cell r="R51" t="str">
            <v>Average Input Cost Savings</v>
          </cell>
          <cell r="S51">
            <v>25</v>
          </cell>
          <cell r="T51" t="str">
            <v>Assumption</v>
          </cell>
          <cell r="U51">
            <v>30</v>
          </cell>
          <cell r="V51">
            <v>20</v>
          </cell>
        </row>
        <row r="52">
          <cell r="Q52" t="str">
            <v>G</v>
          </cell>
          <cell r="R52" t="str">
            <v>Total Farmer Gross Profit</v>
          </cell>
          <cell r="S52">
            <v>13.826815642458101</v>
          </cell>
          <cell r="T52" t="str">
            <v>E + F</v>
          </cell>
          <cell r="U52">
            <v>16.592178770949722</v>
          </cell>
          <cell r="V52">
            <v>11.061452513966479</v>
          </cell>
        </row>
        <row r="53">
          <cell r="B53" t="str">
            <v>Incremental Dicamba Value</v>
          </cell>
          <cell r="G53">
            <v>13.407821229050279</v>
          </cell>
          <cell r="H53">
            <v>13.407821229050279</v>
          </cell>
          <cell r="I53">
            <v>13.407821229050279</v>
          </cell>
          <cell r="J53">
            <v>16.759776536312852</v>
          </cell>
          <cell r="K53">
            <v>20.111731843575424</v>
          </cell>
          <cell r="L53">
            <v>20.111731843575424</v>
          </cell>
          <cell r="M53">
            <v>20.111731843575424</v>
          </cell>
          <cell r="N53">
            <v>20.111731843575424</v>
          </cell>
          <cell r="O53">
            <v>20.111731843575424</v>
          </cell>
        </row>
        <row r="54">
          <cell r="B54" t="str">
            <v>Increase</v>
          </cell>
          <cell r="G54">
            <v>0</v>
          </cell>
          <cell r="H54">
            <v>0</v>
          </cell>
          <cell r="I54">
            <v>0</v>
          </cell>
          <cell r="J54">
            <v>0.25000000000000022</v>
          </cell>
          <cell r="K54">
            <v>0.19999999999999996</v>
          </cell>
          <cell r="L54">
            <v>0</v>
          </cell>
          <cell r="M54">
            <v>0</v>
          </cell>
          <cell r="N54">
            <v>0</v>
          </cell>
          <cell r="O54">
            <v>0</v>
          </cell>
          <cell r="Q54" t="str">
            <v>H</v>
          </cell>
          <cell r="R54" t="str">
            <v>Trait Retail Price</v>
          </cell>
          <cell r="S54">
            <v>11.173184357541899</v>
          </cell>
          <cell r="T54" t="str">
            <v>K / J</v>
          </cell>
          <cell r="U54">
            <v>13.407821229050279</v>
          </cell>
          <cell r="V54">
            <v>8.938547486033519</v>
          </cell>
          <cell r="AD54" t="str">
            <v>Base</v>
          </cell>
          <cell r="AE54">
            <v>1</v>
          </cell>
        </row>
        <row r="55">
          <cell r="Q55" t="str">
            <v>J</v>
          </cell>
          <cell r="R55" t="str">
            <v>Retail Capture</v>
          </cell>
          <cell r="S55">
            <v>0.75</v>
          </cell>
          <cell r="T55" t="str">
            <v>Assumption</v>
          </cell>
          <cell r="U55">
            <v>0.75</v>
          </cell>
          <cell r="V55">
            <v>0.75</v>
          </cell>
          <cell r="AC55">
            <v>2010</v>
          </cell>
          <cell r="AD55" t="str">
            <v>Bull</v>
          </cell>
          <cell r="AE55">
            <v>2</v>
          </cell>
        </row>
        <row r="56">
          <cell r="B56" t="str">
            <v>Dicamba Tolerant Acres</v>
          </cell>
          <cell r="Q56" t="str">
            <v>K</v>
          </cell>
          <cell r="R56" t="str">
            <v>Monsanto Revenue</v>
          </cell>
          <cell r="S56">
            <v>8.3798882681564244</v>
          </cell>
          <cell r="T56" t="str">
            <v>L + M</v>
          </cell>
          <cell r="U56">
            <v>10.05586592178771</v>
          </cell>
          <cell r="V56">
            <v>6.7039106145251388</v>
          </cell>
          <cell r="AC56">
            <v>2011</v>
          </cell>
          <cell r="AD56" t="str">
            <v>Bear</v>
          </cell>
          <cell r="AE56">
            <v>3</v>
          </cell>
        </row>
        <row r="57">
          <cell r="B57" t="str">
            <v>Brazil</v>
          </cell>
          <cell r="G57">
            <v>8</v>
          </cell>
          <cell r="H57">
            <v>20</v>
          </cell>
          <cell r="I57">
            <v>45</v>
          </cell>
          <cell r="J57">
            <v>45</v>
          </cell>
          <cell r="K57">
            <v>45</v>
          </cell>
          <cell r="L57">
            <v>45</v>
          </cell>
          <cell r="M57">
            <v>45</v>
          </cell>
          <cell r="N57">
            <v>45</v>
          </cell>
          <cell r="O57">
            <v>45</v>
          </cell>
          <cell r="Q57" t="str">
            <v>L</v>
          </cell>
          <cell r="R57" t="str">
            <v>Monsanto COGS</v>
          </cell>
          <cell r="S57">
            <v>1.4664804469273747</v>
          </cell>
          <cell r="T57" t="str">
            <v>K * (1 - N)</v>
          </cell>
          <cell r="U57">
            <v>1.7597765363128497</v>
          </cell>
          <cell r="V57">
            <v>1.1731843575418996</v>
          </cell>
          <cell r="AC57">
            <v>2012</v>
          </cell>
        </row>
        <row r="58">
          <cell r="B58" t="str">
            <v>Argentina</v>
          </cell>
          <cell r="G58">
            <v>8</v>
          </cell>
          <cell r="H58">
            <v>18</v>
          </cell>
          <cell r="I58">
            <v>25</v>
          </cell>
          <cell r="J58">
            <v>25</v>
          </cell>
          <cell r="K58">
            <v>25</v>
          </cell>
          <cell r="L58">
            <v>25</v>
          </cell>
          <cell r="M58">
            <v>25</v>
          </cell>
          <cell r="N58">
            <v>25</v>
          </cell>
          <cell r="O58">
            <v>25</v>
          </cell>
          <cell r="Q58" t="str">
            <v>M</v>
          </cell>
          <cell r="R58" t="str">
            <v>Monsanto Gross Profit</v>
          </cell>
          <cell r="S58">
            <v>6.9134078212290504</v>
          </cell>
          <cell r="T58" t="str">
            <v>G * (3/2) * (1/3)</v>
          </cell>
          <cell r="U58">
            <v>8.2960893854748612</v>
          </cell>
          <cell r="V58">
            <v>5.5307262569832396</v>
          </cell>
        </row>
        <row r="59">
          <cell r="B59" t="str">
            <v>US</v>
          </cell>
          <cell r="G59">
            <v>7</v>
          </cell>
          <cell r="H59">
            <v>20</v>
          </cell>
          <cell r="I59">
            <v>35</v>
          </cell>
          <cell r="J59">
            <v>55</v>
          </cell>
          <cell r="K59">
            <v>55</v>
          </cell>
          <cell r="L59">
            <v>55</v>
          </cell>
          <cell r="M59">
            <v>55</v>
          </cell>
          <cell r="N59">
            <v>55</v>
          </cell>
          <cell r="O59">
            <v>55</v>
          </cell>
          <cell r="Q59" t="str">
            <v>N</v>
          </cell>
          <cell r="R59" t="str">
            <v>Monsanto Gross Profit Margin</v>
          </cell>
          <cell r="S59">
            <v>0.82499999999999996</v>
          </cell>
          <cell r="T59" t="str">
            <v>Assumption</v>
          </cell>
          <cell r="U59">
            <v>0.82499999999999996</v>
          </cell>
          <cell r="V59">
            <v>0.82499999999999996</v>
          </cell>
        </row>
        <row r="61">
          <cell r="B61" t="str">
            <v>Bear Case</v>
          </cell>
          <cell r="AC61">
            <v>2013</v>
          </cell>
        </row>
        <row r="62">
          <cell r="AC62">
            <v>2014</v>
          </cell>
        </row>
        <row r="63">
          <cell r="B63" t="str">
            <v>Incremental Dicamba Value</v>
          </cell>
          <cell r="G63">
            <v>8.938547486033519</v>
          </cell>
          <cell r="H63">
            <v>8.938547486033519</v>
          </cell>
          <cell r="I63">
            <v>8.938547486033519</v>
          </cell>
          <cell r="J63">
            <v>8.938547486033519</v>
          </cell>
          <cell r="K63">
            <v>8.938547486033519</v>
          </cell>
          <cell r="L63">
            <v>8.938547486033519</v>
          </cell>
          <cell r="M63">
            <v>8.938547486033519</v>
          </cell>
          <cell r="N63">
            <v>8.938547486033519</v>
          </cell>
          <cell r="O63">
            <v>8.938547486033519</v>
          </cell>
        </row>
        <row r="64">
          <cell r="B64" t="str">
            <v>Increase</v>
          </cell>
          <cell r="G64">
            <v>0</v>
          </cell>
          <cell r="H64">
            <v>0</v>
          </cell>
          <cell r="I64">
            <v>0</v>
          </cell>
          <cell r="J64">
            <v>0</v>
          </cell>
          <cell r="K64">
            <v>0</v>
          </cell>
          <cell r="L64">
            <v>0</v>
          </cell>
          <cell r="M64">
            <v>0</v>
          </cell>
          <cell r="N64">
            <v>0</v>
          </cell>
          <cell r="O64">
            <v>0</v>
          </cell>
        </row>
        <row r="66">
          <cell r="B66" t="str">
            <v>Dicamba Tolerant Acres</v>
          </cell>
        </row>
        <row r="67">
          <cell r="B67" t="str">
            <v>Brazil</v>
          </cell>
          <cell r="G67">
            <v>0</v>
          </cell>
          <cell r="H67">
            <v>0</v>
          </cell>
          <cell r="I67">
            <v>0</v>
          </cell>
          <cell r="J67">
            <v>0</v>
          </cell>
          <cell r="K67">
            <v>0</v>
          </cell>
          <cell r="L67">
            <v>0</v>
          </cell>
          <cell r="M67">
            <v>0</v>
          </cell>
          <cell r="N67">
            <v>0</v>
          </cell>
          <cell r="O67">
            <v>0</v>
          </cell>
        </row>
        <row r="68">
          <cell r="B68" t="str">
            <v>Argentina</v>
          </cell>
          <cell r="G68">
            <v>0</v>
          </cell>
          <cell r="H68">
            <v>0</v>
          </cell>
          <cell r="I68">
            <v>0</v>
          </cell>
          <cell r="J68">
            <v>0</v>
          </cell>
          <cell r="K68">
            <v>0</v>
          </cell>
          <cell r="L68">
            <v>0</v>
          </cell>
          <cell r="M68">
            <v>0</v>
          </cell>
          <cell r="N68">
            <v>0</v>
          </cell>
          <cell r="O68">
            <v>0</v>
          </cell>
        </row>
        <row r="69">
          <cell r="B69" t="str">
            <v>US</v>
          </cell>
          <cell r="G69">
            <v>0</v>
          </cell>
          <cell r="H69">
            <v>4</v>
          </cell>
          <cell r="I69">
            <v>9</v>
          </cell>
          <cell r="J69">
            <v>14</v>
          </cell>
          <cell r="K69">
            <v>15</v>
          </cell>
          <cell r="L69">
            <v>15</v>
          </cell>
          <cell r="M69">
            <v>15</v>
          </cell>
          <cell r="N69">
            <v>15</v>
          </cell>
          <cell r="O69">
            <v>15</v>
          </cell>
        </row>
      </sheetData>
      <sheetData sheetId="18">
        <row r="1">
          <cell r="A1" t="str">
            <v>Roundup Ready 2 Yield with Higher Yielding Canola</v>
          </cell>
          <cell r="G1" t="str">
            <v>2nd generation weed control trait aimed at increasing yield by 15-20%</v>
          </cell>
        </row>
        <row r="2">
          <cell r="A2" t="str">
            <v>PHASE 2</v>
          </cell>
          <cell r="D2" t="str">
            <v>Base</v>
          </cell>
          <cell r="E2" t="str">
            <v>Acres</v>
          </cell>
          <cell r="G2" t="str">
            <v>will be stacked with Roundup Ready 2 Yield Canola</v>
          </cell>
        </row>
        <row r="3">
          <cell r="A3" t="str">
            <v>Assume Launch is</v>
          </cell>
          <cell r="D3" t="str">
            <v>Base</v>
          </cell>
          <cell r="E3" t="str">
            <v>Pricing</v>
          </cell>
          <cell r="G3" t="str">
            <v>medium value: $10-$30/acre</v>
          </cell>
        </row>
        <row r="4">
          <cell r="B4">
            <v>2013</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Higher Yield Canola</v>
          </cell>
        </row>
        <row r="7">
          <cell r="B7" t="str">
            <v>US</v>
          </cell>
          <cell r="H7">
            <v>0.5</v>
          </cell>
          <cell r="I7">
            <v>1.2</v>
          </cell>
          <cell r="J7">
            <v>1.5</v>
          </cell>
          <cell r="K7">
            <v>2</v>
          </cell>
          <cell r="L7">
            <v>2</v>
          </cell>
          <cell r="M7">
            <v>2</v>
          </cell>
          <cell r="N7">
            <v>2</v>
          </cell>
          <cell r="O7">
            <v>2</v>
          </cell>
        </row>
        <row r="8">
          <cell r="B8" t="str">
            <v>Canada</v>
          </cell>
          <cell r="H8">
            <v>4</v>
          </cell>
          <cell r="I8">
            <v>8</v>
          </cell>
          <cell r="J8">
            <v>9</v>
          </cell>
          <cell r="K8">
            <v>9</v>
          </cell>
          <cell r="L8">
            <v>9</v>
          </cell>
          <cell r="M8">
            <v>9</v>
          </cell>
          <cell r="N8">
            <v>9</v>
          </cell>
          <cell r="O8">
            <v>9</v>
          </cell>
        </row>
        <row r="10">
          <cell r="B10" t="str">
            <v>MON TAKE</v>
          </cell>
          <cell r="H10">
            <v>0.75</v>
          </cell>
          <cell r="I10">
            <v>0.75</v>
          </cell>
          <cell r="J10">
            <v>0.75</v>
          </cell>
          <cell r="K10">
            <v>0.75</v>
          </cell>
          <cell r="L10">
            <v>0.75</v>
          </cell>
          <cell r="M10">
            <v>0.75</v>
          </cell>
          <cell r="N10">
            <v>0.75</v>
          </cell>
          <cell r="O10">
            <v>0.75</v>
          </cell>
        </row>
        <row r="12">
          <cell r="C12">
            <v>2008</v>
          </cell>
          <cell r="D12">
            <v>2009</v>
          </cell>
          <cell r="E12">
            <v>2010</v>
          </cell>
          <cell r="F12">
            <v>2011</v>
          </cell>
          <cell r="G12">
            <v>2012</v>
          </cell>
          <cell r="H12">
            <v>2013</v>
          </cell>
          <cell r="I12">
            <v>2014</v>
          </cell>
          <cell r="J12">
            <v>2015</v>
          </cell>
          <cell r="K12">
            <v>2016</v>
          </cell>
          <cell r="L12">
            <v>2017</v>
          </cell>
          <cell r="M12">
            <v>2018</v>
          </cell>
          <cell r="N12">
            <v>2019</v>
          </cell>
          <cell r="O12">
            <v>2020</v>
          </cell>
        </row>
        <row r="13">
          <cell r="B13" t="str">
            <v>Incremental Higher Yield Canola Pricing</v>
          </cell>
          <cell r="H13">
            <v>20</v>
          </cell>
          <cell r="I13">
            <v>21</v>
          </cell>
          <cell r="J13">
            <v>22.05</v>
          </cell>
          <cell r="K13">
            <v>27.186616161616165</v>
          </cell>
          <cell r="L13">
            <v>32.323232323232325</v>
          </cell>
          <cell r="M13">
            <v>38.430356378693261</v>
          </cell>
          <cell r="N13">
            <v>40.351874197627929</v>
          </cell>
          <cell r="O13">
            <v>42.369467907509325</v>
          </cell>
        </row>
        <row r="14">
          <cell r="B14" t="str">
            <v>Increase</v>
          </cell>
          <cell r="H14">
            <v>0</v>
          </cell>
          <cell r="I14">
            <v>0.05</v>
          </cell>
          <cell r="J14">
            <v>0.05</v>
          </cell>
          <cell r="K14">
            <v>0.05</v>
          </cell>
          <cell r="L14">
            <v>0.18893915046582266</v>
          </cell>
          <cell r="M14">
            <v>0.18893915046582266</v>
          </cell>
          <cell r="N14">
            <v>0.05</v>
          </cell>
          <cell r="O14">
            <v>0.05</v>
          </cell>
        </row>
        <row r="16">
          <cell r="B16" t="str">
            <v>Total Worldwide Acreage</v>
          </cell>
          <cell r="H16">
            <v>4.5</v>
          </cell>
          <cell r="I16">
            <v>9.1999999999999993</v>
          </cell>
          <cell r="J16">
            <v>10.5</v>
          </cell>
          <cell r="K16">
            <v>11</v>
          </cell>
          <cell r="L16">
            <v>11</v>
          </cell>
          <cell r="M16">
            <v>11</v>
          </cell>
          <cell r="N16">
            <v>11</v>
          </cell>
          <cell r="O16">
            <v>11</v>
          </cell>
        </row>
        <row r="18">
          <cell r="B18" t="str">
            <v>Revenue</v>
          </cell>
          <cell r="H18">
            <v>67.5</v>
          </cell>
          <cell r="I18">
            <v>144.89999999999998</v>
          </cell>
          <cell r="J18">
            <v>173.64375000000001</v>
          </cell>
          <cell r="K18">
            <v>224.28958333333335</v>
          </cell>
          <cell r="L18">
            <v>266.66666666666669</v>
          </cell>
          <cell r="M18">
            <v>317.05044012421939</v>
          </cell>
          <cell r="N18">
            <v>332.90296213043041</v>
          </cell>
          <cell r="O18">
            <v>349.54811023695191</v>
          </cell>
        </row>
        <row r="19">
          <cell r="B19" t="str">
            <v>Monsanto revenue (60%)</v>
          </cell>
          <cell r="H19">
            <v>40.5</v>
          </cell>
          <cell r="I19">
            <v>86.939999999999984</v>
          </cell>
          <cell r="J19">
            <v>104.18625</v>
          </cell>
          <cell r="K19">
            <v>134.57375000000002</v>
          </cell>
          <cell r="L19">
            <v>160</v>
          </cell>
          <cell r="M19">
            <v>190.23026407453162</v>
          </cell>
          <cell r="N19">
            <v>199.74177727825824</v>
          </cell>
          <cell r="O19">
            <v>209.72886614217114</v>
          </cell>
        </row>
        <row r="20">
          <cell r="B20" t="str">
            <v>COGS</v>
          </cell>
          <cell r="H20">
            <v>34.087499999999999</v>
          </cell>
          <cell r="I20">
            <v>72.739799999999988</v>
          </cell>
          <cell r="J20">
            <v>86.648231250000009</v>
          </cell>
          <cell r="K20">
            <v>111.24763333333334</v>
          </cell>
          <cell r="L20">
            <v>131.4666666666667</v>
          </cell>
          <cell r="M20">
            <v>155.35471566086753</v>
          </cell>
          <cell r="N20">
            <v>163.1224514439109</v>
          </cell>
          <cell r="O20">
            <v>171.27857401610646</v>
          </cell>
        </row>
        <row r="21">
          <cell r="B21" t="str">
            <v>Gross Profit</v>
          </cell>
          <cell r="H21">
            <v>33.412500000000001</v>
          </cell>
          <cell r="I21">
            <v>72.160199999999989</v>
          </cell>
          <cell r="J21">
            <v>86.995518750000002</v>
          </cell>
          <cell r="K21">
            <v>113.04195000000001</v>
          </cell>
          <cell r="L21">
            <v>135.19999999999999</v>
          </cell>
          <cell r="M21">
            <v>161.69572446335187</v>
          </cell>
          <cell r="N21">
            <v>169.78051068651951</v>
          </cell>
          <cell r="O21">
            <v>178.26953622084545</v>
          </cell>
        </row>
        <row r="22">
          <cell r="B22" t="str">
            <v>Gross Margin</v>
          </cell>
          <cell r="H22">
            <v>0.495</v>
          </cell>
          <cell r="I22">
            <v>0.498</v>
          </cell>
          <cell r="J22">
            <v>0.501</v>
          </cell>
          <cell r="K22">
            <v>0.504</v>
          </cell>
          <cell r="L22">
            <v>0.5069999999999999</v>
          </cell>
          <cell r="M22">
            <v>0.5099999999999999</v>
          </cell>
          <cell r="N22">
            <v>0.51</v>
          </cell>
          <cell r="O22">
            <v>0.5099999999999999</v>
          </cell>
        </row>
        <row r="23">
          <cell r="H23">
            <v>0.82499999999999996</v>
          </cell>
          <cell r="I23">
            <v>0.83</v>
          </cell>
          <cell r="J23">
            <v>0.83499999999999996</v>
          </cell>
          <cell r="K23">
            <v>0.84</v>
          </cell>
          <cell r="L23">
            <v>0.84499999999999997</v>
          </cell>
          <cell r="M23">
            <v>0.85</v>
          </cell>
          <cell r="N23">
            <v>0.85</v>
          </cell>
          <cell r="O23">
            <v>0.85</v>
          </cell>
        </row>
        <row r="24">
          <cell r="B24" t="str">
            <v>SG&amp;A % of Sales</v>
          </cell>
          <cell r="H24">
            <v>0.17</v>
          </cell>
          <cell r="I24">
            <v>0.17</v>
          </cell>
          <cell r="J24">
            <v>0.16500000000000001</v>
          </cell>
          <cell r="K24">
            <v>0.16</v>
          </cell>
          <cell r="L24">
            <v>0.155</v>
          </cell>
          <cell r="M24">
            <v>0.15</v>
          </cell>
          <cell r="N24">
            <v>0.14499999999999999</v>
          </cell>
          <cell r="O24">
            <v>0.13999999999999999</v>
          </cell>
        </row>
        <row r="25">
          <cell r="B25" t="str">
            <v>R&amp;D % of Sales</v>
          </cell>
          <cell r="H25">
            <v>0.1</v>
          </cell>
          <cell r="I25">
            <v>0.09</v>
          </cell>
          <cell r="J25">
            <v>0.09</v>
          </cell>
          <cell r="K25">
            <v>0.09</v>
          </cell>
          <cell r="L25">
            <v>0.09</v>
          </cell>
          <cell r="M25">
            <v>0.09</v>
          </cell>
          <cell r="N25">
            <v>0.09</v>
          </cell>
          <cell r="O25">
            <v>0.09</v>
          </cell>
        </row>
        <row r="26">
          <cell r="B26" t="str">
            <v>SG&amp;A</v>
          </cell>
          <cell r="H26">
            <v>6.8850000000000007</v>
          </cell>
          <cell r="I26">
            <v>14.345099999999999</v>
          </cell>
          <cell r="J26">
            <v>16.669800000000002</v>
          </cell>
          <cell r="K26">
            <v>20.858931250000001</v>
          </cell>
          <cell r="L26">
            <v>24</v>
          </cell>
          <cell r="M26">
            <v>27.583388290807083</v>
          </cell>
          <cell r="N26">
            <v>27.963848818956151</v>
          </cell>
          <cell r="O26">
            <v>28.3133969291931</v>
          </cell>
        </row>
        <row r="27">
          <cell r="B27" t="str">
            <v>R&amp;D</v>
          </cell>
          <cell r="H27">
            <v>3.645</v>
          </cell>
          <cell r="I27">
            <v>7.8245999999999984</v>
          </cell>
          <cell r="J27">
            <v>9.3767624999999999</v>
          </cell>
          <cell r="K27">
            <v>12.111637500000001</v>
          </cell>
          <cell r="L27">
            <v>14.399999999999999</v>
          </cell>
          <cell r="M27">
            <v>17.120723766707844</v>
          </cell>
          <cell r="N27">
            <v>17.976759955043242</v>
          </cell>
          <cell r="O27">
            <v>18.875597952795403</v>
          </cell>
        </row>
        <row r="28">
          <cell r="B28" t="str">
            <v>Operating Profit</v>
          </cell>
          <cell r="H28">
            <v>22.8825</v>
          </cell>
          <cell r="I28">
            <v>49.99049999999999</v>
          </cell>
          <cell r="J28">
            <v>60.948956249999995</v>
          </cell>
          <cell r="K28">
            <v>80.071381250000016</v>
          </cell>
          <cell r="L28">
            <v>96.799999999999983</v>
          </cell>
          <cell r="M28">
            <v>116.99161240583695</v>
          </cell>
          <cell r="N28">
            <v>123.83990191252013</v>
          </cell>
          <cell r="O28">
            <v>131.08054133885696</v>
          </cell>
        </row>
        <row r="29">
          <cell r="B29" t="str">
            <v>Taxes</v>
          </cell>
          <cell r="H29">
            <v>6.4757474999999998</v>
          </cell>
          <cell r="I29">
            <v>14.497244999999996</v>
          </cell>
          <cell r="J29">
            <v>17.339978053124998</v>
          </cell>
          <cell r="K29">
            <v>23.380843325000004</v>
          </cell>
          <cell r="L29">
            <v>27.345999999999993</v>
          </cell>
          <cell r="M29">
            <v>34.161550822504388</v>
          </cell>
          <cell r="N29">
            <v>35.381059976407002</v>
          </cell>
          <cell r="O29">
            <v>37.620115364251944</v>
          </cell>
        </row>
        <row r="30">
          <cell r="B30" t="str">
            <v>Net Income</v>
          </cell>
          <cell r="H30">
            <v>16.4067525</v>
          </cell>
          <cell r="I30">
            <v>35.493254999999991</v>
          </cell>
          <cell r="J30">
            <v>43.608978196875</v>
          </cell>
          <cell r="K30">
            <v>56.690537925000015</v>
          </cell>
          <cell r="L30">
            <v>69.453999999999994</v>
          </cell>
          <cell r="M30">
            <v>82.830061583332565</v>
          </cell>
          <cell r="N30">
            <v>88.458841936113132</v>
          </cell>
          <cell r="O30">
            <v>93.460425974605016</v>
          </cell>
        </row>
        <row r="31">
          <cell r="B31" t="str">
            <v>Shares Outstanding</v>
          </cell>
          <cell r="H31">
            <v>532.90985748061826</v>
          </cell>
          <cell r="I31">
            <v>526.28758665809255</v>
          </cell>
          <cell r="J31">
            <v>520.0788934550003</v>
          </cell>
          <cell r="K31">
            <v>514.39027052012125</v>
          </cell>
          <cell r="L31">
            <v>509.05321088398051</v>
          </cell>
          <cell r="M31">
            <v>504.26395292909609</v>
          </cell>
          <cell r="N31">
            <v>499.87697018558663</v>
          </cell>
          <cell r="O31">
            <v>495.90200028742942</v>
          </cell>
        </row>
        <row r="32">
          <cell r="B32" t="str">
            <v>Accretive EPS</v>
          </cell>
          <cell r="H32">
            <v>3.078710643027786E-2</v>
          </cell>
          <cell r="I32">
            <v>6.7440798338757893E-2</v>
          </cell>
          <cell r="J32">
            <v>8.3850697933866944E-2</v>
          </cell>
          <cell r="K32">
            <v>0.11020919557377684</v>
          </cell>
          <cell r="L32">
            <v>0.13643760321124743</v>
          </cell>
          <cell r="M32">
            <v>0.16425933502127446</v>
          </cell>
          <cell r="N32">
            <v>0.17696122688603055</v>
          </cell>
          <cell r="O32">
            <v>0.18846551520347665</v>
          </cell>
        </row>
        <row r="33">
          <cell r="B33" t="str">
            <v>Model EPS</v>
          </cell>
          <cell r="H33">
            <v>6.7278990297263608</v>
          </cell>
          <cell r="I33">
            <v>7.2979105974996905</v>
          </cell>
          <cell r="J33">
            <v>8.086358481731498</v>
          </cell>
          <cell r="K33">
            <v>8.6334305752194442</v>
          </cell>
          <cell r="L33">
            <v>9.4063913392402032</v>
          </cell>
          <cell r="M33">
            <v>9.7914627309818378</v>
          </cell>
          <cell r="N33">
            <v>10.414111102199115</v>
          </cell>
          <cell r="O33">
            <v>10.950239758709918</v>
          </cell>
        </row>
        <row r="34">
          <cell r="B34" t="str">
            <v>MON EPS</v>
          </cell>
          <cell r="H34">
            <v>6.7586861361566388</v>
          </cell>
          <cell r="I34">
            <v>7.3653513958384487</v>
          </cell>
          <cell r="J34">
            <v>8.1702091796653651</v>
          </cell>
          <cell r="K34">
            <v>8.7436397707932212</v>
          </cell>
          <cell r="L34">
            <v>9.5428289424514503</v>
          </cell>
          <cell r="M34">
            <v>9.955722066003112</v>
          </cell>
          <cell r="N34">
            <v>10.591072329085145</v>
          </cell>
          <cell r="O34">
            <v>11.138705273913395</v>
          </cell>
        </row>
        <row r="37">
          <cell r="B37" t="str">
            <v>Base Case</v>
          </cell>
        </row>
        <row r="39">
          <cell r="B39" t="str">
            <v>Incremental Higher Yield Canola</v>
          </cell>
          <cell r="H39">
            <v>20</v>
          </cell>
          <cell r="I39">
            <v>21</v>
          </cell>
          <cell r="J39">
            <v>22.05</v>
          </cell>
          <cell r="K39">
            <v>27.186616161616165</v>
          </cell>
          <cell r="L39">
            <v>32.323232323232325</v>
          </cell>
          <cell r="M39">
            <v>38.430356378693261</v>
          </cell>
          <cell r="N39">
            <v>40.351874197627929</v>
          </cell>
          <cell r="O39">
            <v>42.369467907509325</v>
          </cell>
        </row>
        <row r="40">
          <cell r="B40" t="str">
            <v>Increase</v>
          </cell>
          <cell r="H40">
            <v>0</v>
          </cell>
          <cell r="I40">
            <v>0.05</v>
          </cell>
          <cell r="J40">
            <v>0.05</v>
          </cell>
          <cell r="K40">
            <v>0.05</v>
          </cell>
          <cell r="L40">
            <v>0.18893915046582266</v>
          </cell>
          <cell r="M40">
            <v>0.18893915046582266</v>
          </cell>
          <cell r="N40">
            <v>0.05</v>
          </cell>
          <cell r="O40">
            <v>0.05</v>
          </cell>
          <cell r="R40" t="str">
            <v>yield = pounds/acre</v>
          </cell>
        </row>
        <row r="41">
          <cell r="R41" t="str">
            <v>2005 = 1419 pounds/acre</v>
          </cell>
        </row>
        <row r="42">
          <cell r="B42" t="str">
            <v>RR2Y w/ Higher Yield Canola Acres</v>
          </cell>
        </row>
        <row r="43">
          <cell r="B43" t="str">
            <v>US</v>
          </cell>
          <cell r="H43">
            <v>0.5</v>
          </cell>
          <cell r="I43">
            <v>1.2</v>
          </cell>
          <cell r="J43">
            <v>1.5</v>
          </cell>
          <cell r="K43">
            <v>2</v>
          </cell>
          <cell r="L43">
            <v>2</v>
          </cell>
          <cell r="M43">
            <v>2</v>
          </cell>
          <cell r="N43">
            <v>2</v>
          </cell>
          <cell r="O43">
            <v>2</v>
          </cell>
        </row>
        <row r="44">
          <cell r="B44" t="str">
            <v>Canada</v>
          </cell>
          <cell r="H44">
            <v>4</v>
          </cell>
          <cell r="I44">
            <v>8</v>
          </cell>
          <cell r="J44">
            <v>9</v>
          </cell>
          <cell r="K44">
            <v>9</v>
          </cell>
          <cell r="L44">
            <v>9</v>
          </cell>
          <cell r="M44">
            <v>9</v>
          </cell>
          <cell r="N44">
            <v>9</v>
          </cell>
          <cell r="O44">
            <v>9</v>
          </cell>
          <cell r="AD44" t="str">
            <v>Year</v>
          </cell>
          <cell r="AE44" t="str">
            <v>Acres</v>
          </cell>
          <cell r="AF44">
            <v>1</v>
          </cell>
        </row>
        <row r="45">
          <cell r="AD45">
            <v>2008</v>
          </cell>
          <cell r="AE45" t="str">
            <v>Pricing</v>
          </cell>
          <cell r="AF45">
            <v>1</v>
          </cell>
        </row>
        <row r="46">
          <cell r="B46" t="str">
            <v>Bull Case</v>
          </cell>
          <cell r="AD46">
            <v>2009</v>
          </cell>
          <cell r="AE46" t="str">
            <v>Base</v>
          </cell>
          <cell r="AF46">
            <v>1</v>
          </cell>
        </row>
        <row r="47">
          <cell r="AD47">
            <v>2010</v>
          </cell>
          <cell r="AE47" t="str">
            <v>Bull</v>
          </cell>
          <cell r="AF47">
            <v>2</v>
          </cell>
        </row>
        <row r="48">
          <cell r="B48" t="str">
            <v>Incremental Higher Yield Canola</v>
          </cell>
          <cell r="H48">
            <v>25</v>
          </cell>
          <cell r="I48">
            <v>26.75</v>
          </cell>
          <cell r="J48">
            <v>28.622500000000002</v>
          </cell>
          <cell r="K48">
            <v>30.626075000000004</v>
          </cell>
          <cell r="L48">
            <v>40.404040404040408</v>
          </cell>
          <cell r="M48">
            <v>43.232323232323239</v>
          </cell>
          <cell r="N48">
            <v>46.258585858585867</v>
          </cell>
          <cell r="O48">
            <v>49.496686868686879</v>
          </cell>
          <cell r="AD48">
            <v>2011</v>
          </cell>
          <cell r="AE48" t="str">
            <v>Bear</v>
          </cell>
          <cell r="AF48">
            <v>3</v>
          </cell>
        </row>
        <row r="49">
          <cell r="B49" t="str">
            <v>Increase</v>
          </cell>
          <cell r="H49">
            <v>0</v>
          </cell>
          <cell r="I49">
            <v>7.0000000000000007E-2</v>
          </cell>
          <cell r="J49">
            <v>7.0000000000000007E-2</v>
          </cell>
          <cell r="K49">
            <v>7.0000000000000007E-2</v>
          </cell>
          <cell r="L49">
            <v>0.31926929598521525</v>
          </cell>
          <cell r="M49">
            <v>7.0000000000000007E-2</v>
          </cell>
          <cell r="N49">
            <v>7.0000000000000007E-2</v>
          </cell>
          <cell r="O49">
            <v>7.0000000000000007E-2</v>
          </cell>
          <cell r="AD49">
            <v>2012</v>
          </cell>
        </row>
        <row r="50">
          <cell r="AD50">
            <v>2013</v>
          </cell>
        </row>
        <row r="51">
          <cell r="B51" t="str">
            <v>RR2Y w/ Higher Yield Canola Acres</v>
          </cell>
          <cell r="AD51">
            <v>2014</v>
          </cell>
        </row>
        <row r="52">
          <cell r="B52" t="str">
            <v>US</v>
          </cell>
          <cell r="H52">
            <v>0.7</v>
          </cell>
          <cell r="I52">
            <v>1.3</v>
          </cell>
          <cell r="J52">
            <v>1.9</v>
          </cell>
          <cell r="K52">
            <v>2</v>
          </cell>
          <cell r="L52">
            <v>2</v>
          </cell>
          <cell r="M52">
            <v>2</v>
          </cell>
          <cell r="N52">
            <v>2</v>
          </cell>
          <cell r="O52">
            <v>2</v>
          </cell>
          <cell r="AD52">
            <v>2015</v>
          </cell>
        </row>
        <row r="53">
          <cell r="B53" t="str">
            <v>Canada</v>
          </cell>
          <cell r="H53">
            <v>5</v>
          </cell>
          <cell r="I53">
            <v>9</v>
          </cell>
          <cell r="J53">
            <v>12</v>
          </cell>
          <cell r="K53">
            <v>12</v>
          </cell>
          <cell r="L53">
            <v>12</v>
          </cell>
          <cell r="M53">
            <v>12</v>
          </cell>
          <cell r="N53">
            <v>12</v>
          </cell>
          <cell r="O53">
            <v>12</v>
          </cell>
          <cell r="Q53" t="str">
            <v>Trait Retail Price</v>
          </cell>
          <cell r="R53">
            <v>20</v>
          </cell>
          <cell r="S53">
            <v>25</v>
          </cell>
          <cell r="T53">
            <v>20</v>
          </cell>
          <cell r="V53" t="str">
            <v>A</v>
          </cell>
          <cell r="W53" t="str">
            <v>Trait Retail Price</v>
          </cell>
          <cell r="X53">
            <v>20</v>
          </cell>
          <cell r="Y53" t="str">
            <v>Assumption</v>
          </cell>
          <cell r="AD53">
            <v>2016</v>
          </cell>
        </row>
        <row r="54">
          <cell r="Q54" t="str">
            <v>Retail Capture</v>
          </cell>
          <cell r="R54">
            <v>0.75</v>
          </cell>
          <cell r="S54">
            <v>0.75</v>
          </cell>
          <cell r="T54">
            <v>0.75</v>
          </cell>
          <cell r="V54" t="str">
            <v>B</v>
          </cell>
          <cell r="W54" t="str">
            <v>Monsanto Retail Capture</v>
          </cell>
          <cell r="X54">
            <v>0.63</v>
          </cell>
          <cell r="Y54" t="str">
            <v>Assumption</v>
          </cell>
          <cell r="AD54">
            <v>2017</v>
          </cell>
        </row>
        <row r="55">
          <cell r="B55" t="str">
            <v>Bear Case</v>
          </cell>
          <cell r="Q55" t="str">
            <v>Monsanto Revenue</v>
          </cell>
          <cell r="R55">
            <v>15</v>
          </cell>
          <cell r="S55">
            <v>18.75</v>
          </cell>
          <cell r="T55">
            <v>15</v>
          </cell>
          <cell r="V55" t="str">
            <v>C</v>
          </cell>
          <cell r="W55" t="str">
            <v>Monsanto Revenue</v>
          </cell>
          <cell r="X55">
            <v>12.6</v>
          </cell>
          <cell r="Y55" t="str">
            <v>A * B</v>
          </cell>
        </row>
        <row r="56">
          <cell r="Q56" t="str">
            <v>Monsanto COGS</v>
          </cell>
          <cell r="R56">
            <v>2.6250000000000009</v>
          </cell>
          <cell r="S56">
            <v>3.2812500000000009</v>
          </cell>
          <cell r="T56">
            <v>2.6250000000000009</v>
          </cell>
          <cell r="V56" t="str">
            <v>D</v>
          </cell>
          <cell r="W56" t="str">
            <v>Monsanto COGS</v>
          </cell>
          <cell r="X56">
            <v>6.3629999999999995</v>
          </cell>
          <cell r="Y56" t="str">
            <v>C - E</v>
          </cell>
        </row>
        <row r="57">
          <cell r="B57" t="str">
            <v>Incremental Higher Yield Canola</v>
          </cell>
          <cell r="H57">
            <v>10</v>
          </cell>
          <cell r="I57">
            <v>10</v>
          </cell>
          <cell r="J57">
            <v>10</v>
          </cell>
          <cell r="K57">
            <v>10</v>
          </cell>
          <cell r="L57">
            <v>10</v>
          </cell>
          <cell r="M57">
            <v>10</v>
          </cell>
          <cell r="N57">
            <v>10</v>
          </cell>
          <cell r="O57">
            <v>10</v>
          </cell>
          <cell r="Q57" t="str">
            <v>Monsanto Gross Profit</v>
          </cell>
          <cell r="R57">
            <v>12.375</v>
          </cell>
          <cell r="S57">
            <v>0</v>
          </cell>
          <cell r="T57">
            <v>0</v>
          </cell>
          <cell r="V57" t="str">
            <v>E</v>
          </cell>
          <cell r="W57" t="str">
            <v>Monsanto Gross Profit</v>
          </cell>
          <cell r="X57">
            <v>6.2370000000000001</v>
          </cell>
          <cell r="Y57" t="str">
            <v>C * F</v>
          </cell>
        </row>
        <row r="58">
          <cell r="B58" t="str">
            <v>Increase</v>
          </cell>
          <cell r="H58">
            <v>0</v>
          </cell>
          <cell r="I58">
            <v>0</v>
          </cell>
          <cell r="J58">
            <v>0</v>
          </cell>
          <cell r="K58">
            <v>0</v>
          </cell>
          <cell r="L58">
            <v>0</v>
          </cell>
          <cell r="M58">
            <v>0</v>
          </cell>
          <cell r="N58">
            <v>0</v>
          </cell>
          <cell r="O58">
            <v>0</v>
          </cell>
          <cell r="Q58" t="str">
            <v>Monsanto Gross Profit Margin</v>
          </cell>
          <cell r="R58">
            <v>0.82499999999999996</v>
          </cell>
          <cell r="S58">
            <v>0.82499999999999996</v>
          </cell>
          <cell r="T58">
            <v>0.82499999999999996</v>
          </cell>
          <cell r="V58" t="str">
            <v>F</v>
          </cell>
          <cell r="W58" t="str">
            <v>Monsanto Gross Profit Margin</v>
          </cell>
          <cell r="X58">
            <v>0.495</v>
          </cell>
          <cell r="Y58" t="str">
            <v>Assumption</v>
          </cell>
        </row>
        <row r="60">
          <cell r="B60" t="str">
            <v>RR2Y w/ Higher Yield Canola Acres</v>
          </cell>
        </row>
        <row r="61">
          <cell r="B61" t="str">
            <v>US</v>
          </cell>
          <cell r="H61">
            <v>0</v>
          </cell>
          <cell r="I61">
            <v>0.4</v>
          </cell>
          <cell r="J61">
            <v>0.7</v>
          </cell>
          <cell r="K61">
            <v>1</v>
          </cell>
          <cell r="L61">
            <v>1</v>
          </cell>
          <cell r="M61">
            <v>1</v>
          </cell>
          <cell r="N61">
            <v>1</v>
          </cell>
          <cell r="O61">
            <v>1</v>
          </cell>
        </row>
        <row r="62">
          <cell r="B62" t="str">
            <v>Canada</v>
          </cell>
          <cell r="H62">
            <v>0</v>
          </cell>
          <cell r="I62">
            <v>3</v>
          </cell>
          <cell r="J62">
            <v>6</v>
          </cell>
          <cell r="K62">
            <v>8</v>
          </cell>
          <cell r="L62">
            <v>8</v>
          </cell>
          <cell r="M62">
            <v>8</v>
          </cell>
          <cell r="N62">
            <v>8</v>
          </cell>
          <cell r="O62">
            <v>8</v>
          </cell>
        </row>
      </sheetData>
      <sheetData sheetId="19">
        <row r="1">
          <cell r="A1" t="str">
            <v>Drought Tolerant Cotton</v>
          </cell>
        </row>
        <row r="2">
          <cell r="A2" t="str">
            <v>PHASE 1</v>
          </cell>
          <cell r="D2" t="str">
            <v>Base</v>
          </cell>
          <cell r="E2" t="str">
            <v>Acres</v>
          </cell>
        </row>
        <row r="3">
          <cell r="A3" t="str">
            <v>Assume Launch is</v>
          </cell>
          <cell r="D3" t="str">
            <v>Base</v>
          </cell>
          <cell r="E3" t="str">
            <v>Pricing</v>
          </cell>
        </row>
        <row r="4">
          <cell r="B4">
            <v>2015</v>
          </cell>
        </row>
        <row r="5">
          <cell r="C5">
            <v>2008</v>
          </cell>
          <cell r="D5">
            <v>2009</v>
          </cell>
          <cell r="E5">
            <v>2010</v>
          </cell>
          <cell r="F5">
            <v>2011</v>
          </cell>
          <cell r="G5">
            <v>2012</v>
          </cell>
          <cell r="H5">
            <v>2013</v>
          </cell>
          <cell r="I5">
            <v>2014</v>
          </cell>
          <cell r="J5">
            <v>2015</v>
          </cell>
          <cell r="K5">
            <v>2016</v>
          </cell>
          <cell r="L5">
            <v>2017</v>
          </cell>
          <cell r="M5">
            <v>2018</v>
          </cell>
          <cell r="N5">
            <v>2019</v>
          </cell>
          <cell r="O5">
            <v>2020</v>
          </cell>
        </row>
        <row r="6">
          <cell r="B6" t="str">
            <v>Drought Cotton Acres</v>
          </cell>
        </row>
        <row r="7">
          <cell r="B7" t="str">
            <v>US</v>
          </cell>
          <cell r="J7">
            <v>2</v>
          </cell>
          <cell r="K7">
            <v>6</v>
          </cell>
          <cell r="L7">
            <v>8</v>
          </cell>
          <cell r="M7">
            <v>8</v>
          </cell>
          <cell r="N7">
            <v>8</v>
          </cell>
          <cell r="O7">
            <v>8</v>
          </cell>
        </row>
        <row r="8">
          <cell r="B8" t="str">
            <v>Brazil</v>
          </cell>
          <cell r="J8">
            <v>0</v>
          </cell>
          <cell r="K8">
            <v>0</v>
          </cell>
          <cell r="L8">
            <v>0</v>
          </cell>
          <cell r="M8">
            <v>0</v>
          </cell>
          <cell r="N8">
            <v>0</v>
          </cell>
          <cell r="O8">
            <v>0</v>
          </cell>
        </row>
        <row r="9">
          <cell r="B9" t="str">
            <v>Australia</v>
          </cell>
          <cell r="J9">
            <v>0</v>
          </cell>
          <cell r="K9">
            <v>0</v>
          </cell>
          <cell r="L9">
            <v>0</v>
          </cell>
          <cell r="M9">
            <v>0</v>
          </cell>
          <cell r="N9">
            <v>0</v>
          </cell>
          <cell r="O9">
            <v>0</v>
          </cell>
        </row>
        <row r="10">
          <cell r="B10" t="str">
            <v>India</v>
          </cell>
          <cell r="J10">
            <v>0</v>
          </cell>
          <cell r="K10">
            <v>0</v>
          </cell>
          <cell r="L10">
            <v>0</v>
          </cell>
          <cell r="M10">
            <v>0</v>
          </cell>
          <cell r="N10">
            <v>0</v>
          </cell>
          <cell r="O10">
            <v>0</v>
          </cell>
        </row>
        <row r="12">
          <cell r="B12" t="str">
            <v>MON TAKE</v>
          </cell>
          <cell r="J12">
            <v>0.78744992927864221</v>
          </cell>
          <cell r="K12">
            <v>0.78770834512022636</v>
          </cell>
          <cell r="L12">
            <v>0.78796676096181051</v>
          </cell>
          <cell r="M12">
            <v>0.78822517680339454</v>
          </cell>
          <cell r="N12">
            <v>0.7884835926449788</v>
          </cell>
          <cell r="O12">
            <v>0.78874200848656306</v>
          </cell>
        </row>
        <row r="14">
          <cell r="C14">
            <v>2008</v>
          </cell>
          <cell r="D14">
            <v>2009</v>
          </cell>
          <cell r="E14">
            <v>2010</v>
          </cell>
          <cell r="F14">
            <v>2011</v>
          </cell>
          <cell r="G14">
            <v>2012</v>
          </cell>
          <cell r="H14">
            <v>2013</v>
          </cell>
          <cell r="I14">
            <v>2014</v>
          </cell>
          <cell r="J14">
            <v>2015</v>
          </cell>
          <cell r="K14">
            <v>2016</v>
          </cell>
          <cell r="L14">
            <v>2017</v>
          </cell>
          <cell r="M14">
            <v>2018</v>
          </cell>
          <cell r="N14">
            <v>2019</v>
          </cell>
          <cell r="O14">
            <v>2020</v>
          </cell>
        </row>
        <row r="15">
          <cell r="B15" t="str">
            <v>Incremental Drought Pricing</v>
          </cell>
          <cell r="J15">
            <v>20</v>
          </cell>
          <cell r="K15">
            <v>20</v>
          </cell>
          <cell r="L15">
            <v>20</v>
          </cell>
          <cell r="M15">
            <v>20</v>
          </cell>
          <cell r="N15">
            <v>20</v>
          </cell>
          <cell r="O15">
            <v>20</v>
          </cell>
        </row>
        <row r="16">
          <cell r="B16" t="str">
            <v>Increase</v>
          </cell>
          <cell r="J16">
            <v>0</v>
          </cell>
          <cell r="K16">
            <v>0</v>
          </cell>
          <cell r="L16">
            <v>0</v>
          </cell>
          <cell r="M16">
            <v>0</v>
          </cell>
          <cell r="N16">
            <v>0</v>
          </cell>
          <cell r="O16">
            <v>0</v>
          </cell>
        </row>
        <row r="18">
          <cell r="B18" t="str">
            <v>Total US Acreage</v>
          </cell>
          <cell r="J18">
            <v>2</v>
          </cell>
          <cell r="K18">
            <v>6</v>
          </cell>
          <cell r="L18">
            <v>8</v>
          </cell>
          <cell r="M18">
            <v>8</v>
          </cell>
          <cell r="N18">
            <v>8</v>
          </cell>
          <cell r="O18">
            <v>8</v>
          </cell>
        </row>
        <row r="19">
          <cell r="B19" t="str">
            <v>Total WorldWide Acreage</v>
          </cell>
          <cell r="J19">
            <v>2</v>
          </cell>
          <cell r="K19">
            <v>6</v>
          </cell>
          <cell r="L19">
            <v>8</v>
          </cell>
          <cell r="M19">
            <v>8</v>
          </cell>
          <cell r="N19">
            <v>8</v>
          </cell>
          <cell r="O19">
            <v>8</v>
          </cell>
        </row>
        <row r="21">
          <cell r="B21" t="str">
            <v>Revenue</v>
          </cell>
          <cell r="J21">
            <v>31.497997171145688</v>
          </cell>
          <cell r="K21">
            <v>94.525001414427152</v>
          </cell>
          <cell r="L21">
            <v>126.07468175388968</v>
          </cell>
          <cell r="M21">
            <v>126.11602828854313</v>
          </cell>
          <cell r="N21">
            <v>126.15737482319661</v>
          </cell>
          <cell r="O21">
            <v>126.19872135785009</v>
          </cell>
        </row>
        <row r="22">
          <cell r="B22" t="str">
            <v>Monsanto Revenue (60%)</v>
          </cell>
          <cell r="J22">
            <v>18.89879830268741</v>
          </cell>
          <cell r="K22">
            <v>56.715000848656288</v>
          </cell>
          <cell r="L22">
            <v>75.644809052333798</v>
          </cell>
          <cell r="M22">
            <v>75.669616973125883</v>
          </cell>
          <cell r="N22">
            <v>75.694424893917954</v>
          </cell>
          <cell r="O22">
            <v>75.719232814710054</v>
          </cell>
        </row>
        <row r="23">
          <cell r="B23" t="str">
            <v>COGS</v>
          </cell>
          <cell r="J23">
            <v>15.623006596888263</v>
          </cell>
          <cell r="K23">
            <v>46.884400701555869</v>
          </cell>
          <cell r="L23">
            <v>62.533042149929287</v>
          </cell>
          <cell r="M23">
            <v>62.553550031117396</v>
          </cell>
          <cell r="N23">
            <v>62.574057912305527</v>
          </cell>
          <cell r="O23">
            <v>62.594565793493643</v>
          </cell>
        </row>
        <row r="24">
          <cell r="B24" t="str">
            <v>Gross Profit</v>
          </cell>
          <cell r="J24">
            <v>15.874990574257424</v>
          </cell>
          <cell r="K24">
            <v>47.640600712871283</v>
          </cell>
          <cell r="L24">
            <v>63.541639603960391</v>
          </cell>
          <cell r="M24">
            <v>63.562478257425738</v>
          </cell>
          <cell r="N24">
            <v>63.583316910891078</v>
          </cell>
          <cell r="O24">
            <v>63.604155564356446</v>
          </cell>
        </row>
        <row r="25">
          <cell r="B25" t="str">
            <v>Gross Margin</v>
          </cell>
          <cell r="J25">
            <v>0.84</v>
          </cell>
          <cell r="K25">
            <v>0.84</v>
          </cell>
          <cell r="L25">
            <v>0.84</v>
          </cell>
          <cell r="M25">
            <v>0.84</v>
          </cell>
          <cell r="N25">
            <v>0.84</v>
          </cell>
          <cell r="O25">
            <v>0.84</v>
          </cell>
        </row>
        <row r="26">
          <cell r="B26" t="str">
            <v>SG&amp;A % of Sales</v>
          </cell>
          <cell r="J26">
            <v>0.16</v>
          </cell>
          <cell r="K26">
            <v>0.155</v>
          </cell>
          <cell r="L26">
            <v>0.15</v>
          </cell>
          <cell r="M26">
            <v>0.14499999999999999</v>
          </cell>
          <cell r="N26">
            <v>0.13999999999999999</v>
          </cell>
          <cell r="O26">
            <v>0.13499999999999998</v>
          </cell>
        </row>
        <row r="27">
          <cell r="B27" t="str">
            <v>R&amp;D % of Sales</v>
          </cell>
          <cell r="J27">
            <v>0.09</v>
          </cell>
          <cell r="K27">
            <v>0.09</v>
          </cell>
          <cell r="L27">
            <v>0.09</v>
          </cell>
          <cell r="M27">
            <v>0.09</v>
          </cell>
          <cell r="N27">
            <v>0.09</v>
          </cell>
          <cell r="O27">
            <v>0.09</v>
          </cell>
        </row>
        <row r="28">
          <cell r="B28" t="str">
            <v>SG&amp;A</v>
          </cell>
          <cell r="J28">
            <v>3.0238077284299858</v>
          </cell>
          <cell r="K28">
            <v>8.790825131541725</v>
          </cell>
          <cell r="L28">
            <v>11.34672135785007</v>
          </cell>
          <cell r="M28">
            <v>10.972094461103252</v>
          </cell>
          <cell r="N28">
            <v>10.597219485148512</v>
          </cell>
          <cell r="O28">
            <v>10.222096429985855</v>
          </cell>
        </row>
        <row r="29">
          <cell r="B29" t="str">
            <v>R&amp;D</v>
          </cell>
          <cell r="J29">
            <v>1.7008918472418668</v>
          </cell>
          <cell r="K29">
            <v>5.1043500763790659</v>
          </cell>
          <cell r="L29">
            <v>6.8080328147100415</v>
          </cell>
          <cell r="M29">
            <v>6.8102655275813291</v>
          </cell>
          <cell r="N29">
            <v>6.8124982404526158</v>
          </cell>
          <cell r="O29">
            <v>6.8147309533239042</v>
          </cell>
        </row>
        <row r="30">
          <cell r="B30" t="str">
            <v>Operating Profit</v>
          </cell>
          <cell r="J30">
            <v>11.150290998585572</v>
          </cell>
          <cell r="K30">
            <v>33.745425504950497</v>
          </cell>
          <cell r="L30">
            <v>45.38688543140028</v>
          </cell>
          <cell r="M30">
            <v>45.780118268741155</v>
          </cell>
          <cell r="N30">
            <v>46.173599185289945</v>
          </cell>
          <cell r="O30">
            <v>46.56732818104669</v>
          </cell>
        </row>
        <row r="31">
          <cell r="B31" t="str">
            <v>Taxes</v>
          </cell>
          <cell r="J31">
            <v>3.1722577890975949</v>
          </cell>
          <cell r="K31">
            <v>9.8536642474455451</v>
          </cell>
          <cell r="L31">
            <v>12.821795134370578</v>
          </cell>
          <cell r="M31">
            <v>13.367794534472417</v>
          </cell>
          <cell r="N31">
            <v>13.191797287237337</v>
          </cell>
          <cell r="O31">
            <v>13.364823187960399</v>
          </cell>
        </row>
        <row r="32">
          <cell r="B32" t="str">
            <v>Net Income</v>
          </cell>
          <cell r="J32">
            <v>7.9780332094879771</v>
          </cell>
          <cell r="K32">
            <v>23.891761257504953</v>
          </cell>
          <cell r="L32">
            <v>32.565090297029698</v>
          </cell>
          <cell r="M32">
            <v>32.412323734268739</v>
          </cell>
          <cell r="N32">
            <v>32.981801898052609</v>
          </cell>
          <cell r="O32">
            <v>33.202504993086293</v>
          </cell>
        </row>
        <row r="33">
          <cell r="B33" t="str">
            <v>Shares Outstanding</v>
          </cell>
          <cell r="J33">
            <v>520.0788934550003</v>
          </cell>
          <cell r="K33">
            <v>514.39027052012125</v>
          </cell>
          <cell r="L33">
            <v>509.05321088398051</v>
          </cell>
          <cell r="M33">
            <v>504.26395292909609</v>
          </cell>
          <cell r="N33">
            <v>499.87697018558663</v>
          </cell>
          <cell r="O33">
            <v>495.90200028742942</v>
          </cell>
        </row>
        <row r="34">
          <cell r="B34" t="str">
            <v>Accretive EPS</v>
          </cell>
          <cell r="J34">
            <v>1.5340044193080245E-2</v>
          </cell>
          <cell r="K34">
            <v>4.6446759642920554E-2</v>
          </cell>
          <cell r="L34">
            <v>6.397187877565845E-2</v>
          </cell>
          <cell r="M34">
            <v>6.4276503497814358E-2</v>
          </cell>
          <cell r="N34">
            <v>6.597983877074319E-2</v>
          </cell>
          <cell r="O34">
            <v>6.6953762989142643E-2</v>
          </cell>
        </row>
        <row r="35">
          <cell r="B35" t="str">
            <v>Model EPS</v>
          </cell>
          <cell r="J35">
            <v>8.086358481731498</v>
          </cell>
          <cell r="K35">
            <v>8.6334305752194442</v>
          </cell>
          <cell r="L35">
            <v>9.4063913392402032</v>
          </cell>
          <cell r="M35">
            <v>9.7914627309818378</v>
          </cell>
          <cell r="N35">
            <v>10.414111102199115</v>
          </cell>
          <cell r="O35">
            <v>10.950239758709918</v>
          </cell>
        </row>
        <row r="36">
          <cell r="B36" t="str">
            <v>MON EPS</v>
          </cell>
          <cell r="J36">
            <v>8.1016985259245775</v>
          </cell>
          <cell r="K36">
            <v>8.6798773348623648</v>
          </cell>
          <cell r="L36">
            <v>9.4703632180158621</v>
          </cell>
          <cell r="M36">
            <v>9.8557392344796515</v>
          </cell>
          <cell r="N36">
            <v>10.480090940969859</v>
          </cell>
          <cell r="O36">
            <v>11.01719352169906</v>
          </cell>
        </row>
        <row r="40">
          <cell r="B40" t="str">
            <v>Base Case</v>
          </cell>
          <cell r="Q40" t="str">
            <v>A</v>
          </cell>
          <cell r="R40" t="str">
            <v>Trait Retail Price</v>
          </cell>
          <cell r="S40">
            <v>20</v>
          </cell>
          <cell r="T40" t="str">
            <v>Assumption</v>
          </cell>
        </row>
        <row r="41">
          <cell r="Q41" t="str">
            <v>B</v>
          </cell>
          <cell r="R41" t="str">
            <v>Retail Capture</v>
          </cell>
          <cell r="S41">
            <v>0.75</v>
          </cell>
          <cell r="T41" t="str">
            <v>Assumption</v>
          </cell>
        </row>
        <row r="42">
          <cell r="B42" t="str">
            <v>Incremental Drought Value</v>
          </cell>
          <cell r="J42">
            <v>20</v>
          </cell>
          <cell r="K42">
            <v>20</v>
          </cell>
          <cell r="L42">
            <v>20</v>
          </cell>
          <cell r="M42">
            <v>20</v>
          </cell>
          <cell r="N42">
            <v>20</v>
          </cell>
          <cell r="O42">
            <v>20</v>
          </cell>
          <cell r="Q42" t="str">
            <v>C</v>
          </cell>
          <cell r="R42" t="str">
            <v>Monsanto Revenue</v>
          </cell>
          <cell r="S42">
            <v>15</v>
          </cell>
          <cell r="T42" t="str">
            <v>A * B</v>
          </cell>
        </row>
        <row r="43">
          <cell r="B43" t="str">
            <v>Increase</v>
          </cell>
          <cell r="J43">
            <v>0</v>
          </cell>
          <cell r="K43">
            <v>0</v>
          </cell>
          <cell r="L43">
            <v>0</v>
          </cell>
          <cell r="M43">
            <v>0</v>
          </cell>
          <cell r="N43">
            <v>0</v>
          </cell>
          <cell r="O43">
            <v>0</v>
          </cell>
          <cell r="Q43" t="str">
            <v>D</v>
          </cell>
          <cell r="R43" t="str">
            <v>Monsanto COGS</v>
          </cell>
          <cell r="S43">
            <v>2.4000000000000004</v>
          </cell>
          <cell r="T43" t="str">
            <v>C - E</v>
          </cell>
        </row>
        <row r="45">
          <cell r="B45" t="str">
            <v>Drought Acres</v>
          </cell>
          <cell r="Q45" t="str">
            <v>E</v>
          </cell>
          <cell r="R45" t="str">
            <v>Monsanto Gross Profit</v>
          </cell>
          <cell r="S45">
            <v>12.6</v>
          </cell>
          <cell r="T45" t="str">
            <v>C * F</v>
          </cell>
        </row>
        <row r="46">
          <cell r="B46" t="str">
            <v>US</v>
          </cell>
          <cell r="J46">
            <v>2</v>
          </cell>
          <cell r="K46">
            <v>6</v>
          </cell>
          <cell r="L46">
            <v>8</v>
          </cell>
          <cell r="M46">
            <v>8</v>
          </cell>
          <cell r="N46">
            <v>8</v>
          </cell>
          <cell r="O46">
            <v>8</v>
          </cell>
          <cell r="Q46" t="str">
            <v>F</v>
          </cell>
          <cell r="R46" t="str">
            <v>Monsanto Gross Profit Margin</v>
          </cell>
          <cell r="S46">
            <v>0.84</v>
          </cell>
          <cell r="T46" t="str">
            <v>Assumption</v>
          </cell>
        </row>
        <row r="47">
          <cell r="B47" t="str">
            <v>Brazil</v>
          </cell>
          <cell r="J47">
            <v>0</v>
          </cell>
          <cell r="K47">
            <v>0</v>
          </cell>
          <cell r="L47">
            <v>0</v>
          </cell>
          <cell r="M47">
            <v>0</v>
          </cell>
          <cell r="N47">
            <v>0</v>
          </cell>
          <cell r="O47">
            <v>0</v>
          </cell>
        </row>
        <row r="48">
          <cell r="B48" t="str">
            <v>Australia</v>
          </cell>
          <cell r="J48">
            <v>0</v>
          </cell>
          <cell r="K48">
            <v>0</v>
          </cell>
          <cell r="L48">
            <v>0</v>
          </cell>
          <cell r="M48">
            <v>0</v>
          </cell>
          <cell r="N48">
            <v>0</v>
          </cell>
          <cell r="O48">
            <v>0</v>
          </cell>
        </row>
        <row r="49">
          <cell r="B49" t="str">
            <v>India</v>
          </cell>
          <cell r="J49">
            <v>0</v>
          </cell>
          <cell r="K49">
            <v>0</v>
          </cell>
          <cell r="L49">
            <v>0</v>
          </cell>
          <cell r="M49">
            <v>0</v>
          </cell>
          <cell r="N49">
            <v>0</v>
          </cell>
          <cell r="O49">
            <v>0</v>
          </cell>
        </row>
        <row r="51">
          <cell r="B51" t="str">
            <v>Bull Case</v>
          </cell>
        </row>
        <row r="53">
          <cell r="B53" t="str">
            <v>Incremental Drought Value</v>
          </cell>
          <cell r="J53">
            <v>30</v>
          </cell>
          <cell r="K53">
            <v>30</v>
          </cell>
          <cell r="L53">
            <v>30</v>
          </cell>
          <cell r="M53">
            <v>30</v>
          </cell>
          <cell r="N53">
            <v>30</v>
          </cell>
          <cell r="O53">
            <v>30</v>
          </cell>
        </row>
        <row r="54">
          <cell r="B54" t="str">
            <v>Increase</v>
          </cell>
          <cell r="J54">
            <v>0</v>
          </cell>
          <cell r="K54">
            <v>0</v>
          </cell>
          <cell r="L54">
            <v>0</v>
          </cell>
          <cell r="M54">
            <v>0</v>
          </cell>
          <cell r="N54">
            <v>0</v>
          </cell>
          <cell r="O54">
            <v>0</v>
          </cell>
          <cell r="AD54" t="str">
            <v>Year</v>
          </cell>
          <cell r="AE54" t="str">
            <v>Acres</v>
          </cell>
          <cell r="AF54">
            <v>1</v>
          </cell>
        </row>
        <row r="56">
          <cell r="B56" t="str">
            <v>Drought Acres</v>
          </cell>
        </row>
        <row r="57">
          <cell r="B57" t="str">
            <v>US</v>
          </cell>
          <cell r="J57">
            <v>3</v>
          </cell>
          <cell r="K57">
            <v>7</v>
          </cell>
          <cell r="L57">
            <v>10</v>
          </cell>
          <cell r="M57">
            <v>10</v>
          </cell>
          <cell r="N57">
            <v>10</v>
          </cell>
          <cell r="O57">
            <v>10</v>
          </cell>
          <cell r="AD57">
            <v>2008</v>
          </cell>
          <cell r="AE57" t="str">
            <v>Pricing</v>
          </cell>
          <cell r="AF57">
            <v>1</v>
          </cell>
        </row>
        <row r="58">
          <cell r="B58" t="str">
            <v>Brazil</v>
          </cell>
          <cell r="J58">
            <v>0.5</v>
          </cell>
          <cell r="K58">
            <v>1</v>
          </cell>
          <cell r="L58">
            <v>2</v>
          </cell>
          <cell r="M58">
            <v>2</v>
          </cell>
          <cell r="N58">
            <v>2</v>
          </cell>
          <cell r="O58">
            <v>2</v>
          </cell>
        </row>
        <row r="59">
          <cell r="B59" t="str">
            <v>Australia</v>
          </cell>
          <cell r="J59">
            <v>0.2</v>
          </cell>
          <cell r="K59">
            <v>0.4</v>
          </cell>
          <cell r="L59">
            <v>0.6</v>
          </cell>
          <cell r="M59">
            <v>0.6</v>
          </cell>
          <cell r="N59">
            <v>0.6</v>
          </cell>
          <cell r="O59">
            <v>0.6</v>
          </cell>
        </row>
        <row r="60">
          <cell r="B60" t="str">
            <v>India</v>
          </cell>
          <cell r="J60">
            <v>3</v>
          </cell>
          <cell r="K60">
            <v>7</v>
          </cell>
          <cell r="L60">
            <v>11</v>
          </cell>
          <cell r="M60">
            <v>11</v>
          </cell>
          <cell r="N60">
            <v>11</v>
          </cell>
          <cell r="O60">
            <v>11</v>
          </cell>
        </row>
        <row r="61">
          <cell r="AD61">
            <v>2009</v>
          </cell>
          <cell r="AE61" t="str">
            <v>Base</v>
          </cell>
          <cell r="AF61">
            <v>1</v>
          </cell>
        </row>
        <row r="62">
          <cell r="B62" t="str">
            <v>Bear Case</v>
          </cell>
          <cell r="AD62">
            <v>2010</v>
          </cell>
          <cell r="AE62" t="str">
            <v>Bull</v>
          </cell>
          <cell r="AF62">
            <v>2</v>
          </cell>
        </row>
        <row r="63">
          <cell r="AD63">
            <v>2011</v>
          </cell>
          <cell r="AE63" t="str">
            <v>Bear</v>
          </cell>
          <cell r="AF63">
            <v>3</v>
          </cell>
        </row>
        <row r="64">
          <cell r="B64" t="str">
            <v>Incremental Drought Value</v>
          </cell>
          <cell r="J64">
            <v>10</v>
          </cell>
          <cell r="K64">
            <v>10</v>
          </cell>
          <cell r="L64">
            <v>10</v>
          </cell>
          <cell r="M64">
            <v>10</v>
          </cell>
          <cell r="N64">
            <v>10</v>
          </cell>
          <cell r="O64">
            <v>10</v>
          </cell>
          <cell r="AD64">
            <v>2012</v>
          </cell>
        </row>
        <row r="65">
          <cell r="B65" t="str">
            <v>Increase</v>
          </cell>
          <cell r="J65">
            <v>0</v>
          </cell>
          <cell r="K65">
            <v>0</v>
          </cell>
          <cell r="L65">
            <v>0</v>
          </cell>
          <cell r="M65">
            <v>0</v>
          </cell>
          <cell r="N65">
            <v>0</v>
          </cell>
          <cell r="O65">
            <v>0</v>
          </cell>
          <cell r="AD65">
            <v>2013</v>
          </cell>
        </row>
        <row r="67">
          <cell r="B67" t="str">
            <v>Drought Acres</v>
          </cell>
          <cell r="AD67">
            <v>2014</v>
          </cell>
        </row>
        <row r="68">
          <cell r="B68" t="str">
            <v>US</v>
          </cell>
          <cell r="J68">
            <v>0</v>
          </cell>
          <cell r="K68">
            <v>1</v>
          </cell>
          <cell r="L68">
            <v>3</v>
          </cell>
          <cell r="M68">
            <v>4</v>
          </cell>
          <cell r="N68">
            <v>5</v>
          </cell>
          <cell r="O68">
            <v>5</v>
          </cell>
          <cell r="AD68">
            <v>2015</v>
          </cell>
        </row>
        <row r="69">
          <cell r="B69" t="str">
            <v>Brazil</v>
          </cell>
          <cell r="J69">
            <v>0</v>
          </cell>
          <cell r="K69">
            <v>0</v>
          </cell>
          <cell r="L69">
            <v>0</v>
          </cell>
          <cell r="M69">
            <v>0</v>
          </cell>
          <cell r="N69">
            <v>0</v>
          </cell>
          <cell r="O69">
            <v>0</v>
          </cell>
        </row>
        <row r="70">
          <cell r="B70" t="str">
            <v>Australia</v>
          </cell>
          <cell r="J70">
            <v>0</v>
          </cell>
          <cell r="K70">
            <v>0</v>
          </cell>
          <cell r="L70">
            <v>0</v>
          </cell>
          <cell r="M70">
            <v>0</v>
          </cell>
          <cell r="N70">
            <v>0</v>
          </cell>
          <cell r="O70">
            <v>0</v>
          </cell>
        </row>
        <row r="71">
          <cell r="B71" t="str">
            <v>India</v>
          </cell>
          <cell r="J71">
            <v>0</v>
          </cell>
          <cell r="K71">
            <v>0</v>
          </cell>
          <cell r="L71">
            <v>0</v>
          </cell>
          <cell r="M71">
            <v>0</v>
          </cell>
          <cell r="N71">
            <v>0</v>
          </cell>
          <cell r="O71">
            <v>0</v>
          </cell>
        </row>
        <row r="72">
          <cell r="AD72">
            <v>2016</v>
          </cell>
        </row>
        <row r="73">
          <cell r="R73">
            <v>2017</v>
          </cell>
        </row>
      </sheetData>
      <sheetData sheetId="20"/>
      <sheetData sheetId="21"/>
      <sheetData sheetId="22" refreshError="1"/>
      <sheetData sheetId="23" refreshError="1"/>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h 1 and 5"/>
      <sheetName val="exh 3"/>
      <sheetName val="exh 4"/>
      <sheetName val="exh 11"/>
      <sheetName val="exh 10"/>
      <sheetName val="exh 12"/>
      <sheetName val="exh 14"/>
      <sheetName val="supply chain services"/>
      <sheetName val="exh 15"/>
      <sheetName val="exh 9"/>
      <sheetName val="ImpliedValueGap"/>
      <sheetName val="Recommendations"/>
      <sheetName val="PeerGroupBenchmark_ALT"/>
    </sheetNames>
    <sheetDataSet>
      <sheetData sheetId="0" refreshError="1"/>
      <sheetData sheetId="1" refreshError="1"/>
      <sheetData sheetId="2"/>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or yardstick_2"/>
      <sheetName val="Sector yardstick_OLD"/>
      <sheetName val="PeerGroupBenchmark_ALT (2)"/>
      <sheetName val="PeerGroupBenchmark"/>
      <sheetName val="PeerGroupBenchmarking_OLD"/>
      <sheetName val="Front page benchmarks_9x3"/>
      <sheetName val="Front page benchmarks_6x3"/>
      <sheetName val="Front page benchmarks_6x5"/>
      <sheetName val="Benchmarks_All_gray1"/>
      <sheetName val="Benchmarks_All_gray2"/>
      <sheetName val="Benchmarks_All_1"/>
      <sheetName val="Benchmarks_All_2"/>
      <sheetName val="Benchmarks_All_ALT_1 (3)"/>
      <sheetName val="Benchmarks_All_ALT_1"/>
      <sheetName val="Benchmarks_All_ALT_1 (2)"/>
      <sheetName val="Benchmarks_All_B1"/>
      <sheetName val="Benchmarks_All_B2"/>
      <sheetName val="Benchmarks_All (ALT)"/>
      <sheetName val="#REF"/>
    </sheetNames>
    <sheetDataSet>
      <sheetData sheetId="0"/>
      <sheetData sheetId="1" refreshError="1">
        <row r="1">
          <cell r="B1" t="str">
            <v>Rolta India Ltd.</v>
          </cell>
        </row>
        <row r="2">
          <cell r="B2" t="str">
            <v xml:space="preserve">relative to </v>
          </cell>
        </row>
        <row r="3">
          <cell r="B3" t="str">
            <v>Information Technology</v>
          </cell>
        </row>
        <row r="5">
          <cell r="D5" t="str">
            <v>Rolta India Ltd.</v>
          </cell>
          <cell r="J5" t="str">
            <v>Peer
median</v>
          </cell>
        </row>
        <row r="6">
          <cell r="D6" t="str">
            <v>Percentile range (vs. peers)</v>
          </cell>
        </row>
        <row r="7">
          <cell r="C7" t="str">
            <v xml:space="preserve">  0       20       40       60       80    100%</v>
          </cell>
        </row>
        <row r="8">
          <cell r="B8" t="str">
            <v>Valuation</v>
          </cell>
        </row>
        <row r="9">
          <cell r="B9" t="str">
            <v>P/E (FY1)</v>
          </cell>
          <cell r="G9" t="str">
            <v>13.5x</v>
          </cell>
          <cell r="J9" t="str">
            <v>10.2x</v>
          </cell>
        </row>
        <row r="10">
          <cell r="B10" t="str">
            <v>P/E (FY2)</v>
          </cell>
          <cell r="E10" t="str">
            <v>13.5x</v>
          </cell>
          <cell r="J10" t="str">
            <v>10.2x</v>
          </cell>
        </row>
        <row r="11">
          <cell r="B11" t="str">
            <v>EV/Ebitda</v>
          </cell>
          <cell r="F11" t="str">
            <v>13.5x</v>
          </cell>
          <cell r="J11" t="str">
            <v>10.2x</v>
          </cell>
        </row>
        <row r="12">
          <cell r="B12" t="str">
            <v>EV/Ebitda</v>
          </cell>
          <cell r="F12" t="str">
            <v>13.5x</v>
          </cell>
          <cell r="J12" t="str">
            <v>10.2x</v>
          </cell>
        </row>
        <row r="13">
          <cell r="B13" t="str">
            <v>Profitability</v>
          </cell>
        </row>
        <row r="14">
          <cell r="B14" t="str">
            <v>ROA</v>
          </cell>
          <cell r="F14">
            <v>0.40600000000000003</v>
          </cell>
          <cell r="J14">
            <v>0.25700000000000001</v>
          </cell>
        </row>
        <row r="15">
          <cell r="B15" t="str">
            <v>ROE</v>
          </cell>
          <cell r="E15">
            <v>0.40600000000000003</v>
          </cell>
          <cell r="J15">
            <v>0.25700000000000001</v>
          </cell>
        </row>
        <row r="16">
          <cell r="B16" t="str">
            <v>Net inc. margin</v>
          </cell>
          <cell r="H16">
            <v>0.40600000000000003</v>
          </cell>
          <cell r="J16">
            <v>0.25700000000000001</v>
          </cell>
        </row>
        <row r="17">
          <cell r="B17" t="str">
            <v>Net inc. margin</v>
          </cell>
          <cell r="H17">
            <v>0.40600000000000003</v>
          </cell>
          <cell r="J17">
            <v>0.25700000000000001</v>
          </cell>
        </row>
        <row r="18">
          <cell r="B18" t="str">
            <v>Leverage</v>
          </cell>
        </row>
        <row r="19">
          <cell r="B19" t="str">
            <v>Debt/Assets</v>
          </cell>
          <cell r="E19">
            <v>0.40600000000000003</v>
          </cell>
          <cell r="J19">
            <v>0.25700000000000001</v>
          </cell>
        </row>
        <row r="20">
          <cell r="B20" t="str">
            <v>Debt/Equity</v>
          </cell>
          <cell r="G20">
            <v>0.40600000000000003</v>
          </cell>
          <cell r="J20">
            <v>0.25700000000000001</v>
          </cell>
        </row>
        <row r="21">
          <cell r="B21" t="str">
            <v>Total Debt/EBIDA</v>
          </cell>
          <cell r="D21">
            <v>0.40600000000000003</v>
          </cell>
          <cell r="J21">
            <v>0.25700000000000001</v>
          </cell>
        </row>
        <row r="22">
          <cell r="B22" t="str">
            <v>Total Debt/EBIDA</v>
          </cell>
          <cell r="D22">
            <v>0.40600000000000003</v>
          </cell>
          <cell r="J22">
            <v>0.25700000000000001</v>
          </cell>
        </row>
        <row r="23">
          <cell r="B23" t="str">
            <v>Growth</v>
          </cell>
        </row>
        <row r="24">
          <cell r="B24" t="str">
            <v>EPS 1yr fwd</v>
          </cell>
          <cell r="D24" t="str">
            <v>13.5x</v>
          </cell>
          <cell r="J24" t="str">
            <v>10.2x</v>
          </cell>
        </row>
        <row r="25">
          <cell r="B25" t="str">
            <v>EPS 2yrs fwd</v>
          </cell>
          <cell r="G25" t="str">
            <v>13.5x</v>
          </cell>
          <cell r="J25" t="str">
            <v>10.2x</v>
          </cell>
        </row>
        <row r="26">
          <cell r="B26" t="str">
            <v>EV/Ebitda</v>
          </cell>
          <cell r="G26" t="str">
            <v>13.5x</v>
          </cell>
          <cell r="J26" t="str">
            <v>10.2x</v>
          </cell>
        </row>
        <row r="27">
          <cell r="B27" t="str">
            <v>EV/Ebitda</v>
          </cell>
          <cell r="G27" t="str">
            <v>13.5x</v>
          </cell>
          <cell r="J27" t="str">
            <v>10.2x</v>
          </cell>
        </row>
        <row r="28">
          <cell r="B28" t="str">
            <v>Cash</v>
          </cell>
        </row>
        <row r="29">
          <cell r="B29" t="str">
            <v>FCF/Market Cap</v>
          </cell>
          <cell r="E29">
            <v>0.40600000000000003</v>
          </cell>
          <cell r="J29">
            <v>0.25700000000000001</v>
          </cell>
        </row>
        <row r="30">
          <cell r="B30" t="str">
            <v>FCF/Sales</v>
          </cell>
          <cell r="G30">
            <v>0.40600000000000003</v>
          </cell>
          <cell r="J30">
            <v>0.25700000000000001</v>
          </cell>
        </row>
        <row r="31">
          <cell r="B31" t="str">
            <v>Net inc. margin</v>
          </cell>
          <cell r="D31">
            <v>0.40600000000000003</v>
          </cell>
          <cell r="J31">
            <v>0.25700000000000001</v>
          </cell>
        </row>
        <row r="32">
          <cell r="B32" t="str">
            <v>Net inc. margin</v>
          </cell>
          <cell r="D32">
            <v>0.40600000000000003</v>
          </cell>
          <cell r="J32">
            <v>0.25700000000000001</v>
          </cell>
        </row>
        <row r="33">
          <cell r="B33" t="str">
            <v>Liquidity</v>
          </cell>
        </row>
        <row r="34">
          <cell r="B34" t="str">
            <v>Cash ratio</v>
          </cell>
          <cell r="G34">
            <v>0.40600000000000003</v>
          </cell>
          <cell r="J34">
            <v>0.25700000000000001</v>
          </cell>
        </row>
        <row r="35">
          <cell r="B35" t="str">
            <v>Quick Ratio</v>
          </cell>
          <cell r="E35">
            <v>0.40600000000000003</v>
          </cell>
          <cell r="J35">
            <v>0.25700000000000001</v>
          </cell>
        </row>
        <row r="36">
          <cell r="B36" t="str">
            <v>Total Debt/EBIDA</v>
          </cell>
          <cell r="G36">
            <v>0.40600000000000003</v>
          </cell>
          <cell r="J36">
            <v>0.25700000000000001</v>
          </cell>
        </row>
        <row r="37">
          <cell r="B37" t="str">
            <v>Total Debt/EBIDA</v>
          </cell>
          <cell r="G37">
            <v>0.40600000000000003</v>
          </cell>
          <cell r="J37">
            <v>0.25700000000000001</v>
          </cell>
        </row>
        <row r="38">
          <cell r="B38" t="str">
            <v>Liquidity</v>
          </cell>
        </row>
        <row r="39">
          <cell r="B39" t="str">
            <v>Cash ratio</v>
          </cell>
          <cell r="G39">
            <v>0.40600000000000003</v>
          </cell>
          <cell r="J39">
            <v>0.25700000000000001</v>
          </cell>
        </row>
        <row r="40">
          <cell r="B40" t="str">
            <v>Quick Ratio</v>
          </cell>
          <cell r="E40">
            <v>0.40600000000000003</v>
          </cell>
          <cell r="J40">
            <v>0.25700000000000001</v>
          </cell>
        </row>
        <row r="41">
          <cell r="B41" t="str">
            <v>Total Debt/EBIDA</v>
          </cell>
          <cell r="G41">
            <v>0.40600000000000003</v>
          </cell>
          <cell r="J41">
            <v>0.25700000000000001</v>
          </cell>
        </row>
        <row r="42">
          <cell r="B42" t="str">
            <v>Total Debt/EBIDA</v>
          </cell>
          <cell r="G42">
            <v>0.40600000000000003</v>
          </cell>
          <cell r="J42">
            <v>0.25700000000000001</v>
          </cell>
        </row>
        <row r="45">
          <cell r="E45" t="str">
            <v></v>
          </cell>
        </row>
        <row r="46">
          <cell r="E46" t="str">
            <v></v>
          </cell>
        </row>
        <row r="47">
          <cell r="E47" t="str">
            <v></v>
          </cell>
        </row>
        <row r="48">
          <cell r="E48" t="str">
            <v></v>
          </cell>
        </row>
        <row r="55">
          <cell r="E55" t="str">
            <v></v>
          </cell>
          <cell r="F55" t="str">
            <v></v>
          </cell>
        </row>
        <row r="56">
          <cell r="E56" t="str">
            <v></v>
          </cell>
          <cell r="F56" t="str">
            <v></v>
          </cell>
        </row>
      </sheetData>
      <sheetData sheetId="2"/>
      <sheetData sheetId="3" refreshError="1"/>
      <sheetData sheetId="4"/>
      <sheetData sheetId="5" refreshError="1">
        <row r="1">
          <cell r="B1" t="str">
            <v>Rolta India Ltd.</v>
          </cell>
        </row>
        <row r="2">
          <cell r="B2" t="str">
            <v xml:space="preserve">relative to </v>
          </cell>
        </row>
        <row r="3">
          <cell r="B3" t="str">
            <v>Information Technology</v>
          </cell>
        </row>
        <row r="5">
          <cell r="D5" t="str">
            <v>Rolta India Ltd.</v>
          </cell>
          <cell r="J5" t="str">
            <v>Peer
median</v>
          </cell>
        </row>
        <row r="6">
          <cell r="D6" t="str">
            <v>Percentile range (vs. peers)</v>
          </cell>
        </row>
        <row r="7">
          <cell r="C7" t="str">
            <v xml:space="preserve">  0      20      40      60      80   100%</v>
          </cell>
        </row>
        <row r="8">
          <cell r="B8" t="str">
            <v>Valuation</v>
          </cell>
        </row>
        <row r="9">
          <cell r="B9" t="str">
            <v>P/E (FY1)</v>
          </cell>
          <cell r="G9" t="str">
            <v>13.5x</v>
          </cell>
          <cell r="J9" t="str">
            <v>10.2x</v>
          </cell>
        </row>
        <row r="10">
          <cell r="B10" t="str">
            <v>P/E (FY2)</v>
          </cell>
          <cell r="E10" t="str">
            <v>13.5x</v>
          </cell>
          <cell r="J10" t="str">
            <v>10.2x</v>
          </cell>
        </row>
        <row r="11">
          <cell r="B11" t="str">
            <v>EV/Ebitda</v>
          </cell>
          <cell r="F11" t="str">
            <v>13.5x</v>
          </cell>
          <cell r="J11" t="str">
            <v>10.2x</v>
          </cell>
        </row>
        <row r="12">
          <cell r="B12" t="str">
            <v>Profitability</v>
          </cell>
        </row>
        <row r="13">
          <cell r="B13" t="str">
            <v>ROA</v>
          </cell>
          <cell r="F13">
            <v>0.40600000000000003</v>
          </cell>
          <cell r="J13">
            <v>0.25700000000000001</v>
          </cell>
        </row>
        <row r="14">
          <cell r="B14" t="str">
            <v>ROE</v>
          </cell>
          <cell r="E14">
            <v>0.40600000000000003</v>
          </cell>
          <cell r="J14">
            <v>0.25700000000000001</v>
          </cell>
        </row>
        <row r="15">
          <cell r="B15" t="str">
            <v>Net inc. margin</v>
          </cell>
          <cell r="H15">
            <v>0.40600000000000003</v>
          </cell>
          <cell r="J15">
            <v>0.25700000000000001</v>
          </cell>
        </row>
        <row r="16">
          <cell r="B16" t="str">
            <v>Leverage</v>
          </cell>
        </row>
        <row r="17">
          <cell r="B17" t="str">
            <v>Debt/Assets</v>
          </cell>
          <cell r="E17">
            <v>0.40600000000000003</v>
          </cell>
          <cell r="J17">
            <v>0.25700000000000001</v>
          </cell>
        </row>
        <row r="18">
          <cell r="B18" t="str">
            <v>Debt/Equity</v>
          </cell>
          <cell r="G18">
            <v>0.40600000000000003</v>
          </cell>
          <cell r="J18">
            <v>0.25700000000000001</v>
          </cell>
        </row>
        <row r="19">
          <cell r="B19" t="str">
            <v>Total Debt/EBIDA</v>
          </cell>
          <cell r="D19">
            <v>0.40600000000000003</v>
          </cell>
          <cell r="J19">
            <v>0.25700000000000001</v>
          </cell>
        </row>
        <row r="20">
          <cell r="B20" t="str">
            <v>Growth</v>
          </cell>
        </row>
        <row r="21">
          <cell r="B21" t="str">
            <v>EPS 1yr fwd</v>
          </cell>
          <cell r="D21" t="str">
            <v>13.5x</v>
          </cell>
          <cell r="J21" t="str">
            <v>10.2x</v>
          </cell>
        </row>
        <row r="22">
          <cell r="B22" t="str">
            <v>EPS 2yrs fwd</v>
          </cell>
          <cell r="G22" t="str">
            <v>13.5x</v>
          </cell>
          <cell r="J22" t="str">
            <v>10.2x</v>
          </cell>
        </row>
        <row r="23">
          <cell r="B23" t="str">
            <v>EV/Ebitda</v>
          </cell>
          <cell r="G23" t="str">
            <v>13.5x</v>
          </cell>
          <cell r="J23" t="str">
            <v>10.2x</v>
          </cell>
        </row>
        <row r="24">
          <cell r="B24" t="str">
            <v>Cash</v>
          </cell>
        </row>
        <row r="25">
          <cell r="B25" t="str">
            <v>FCF/Market Cap</v>
          </cell>
          <cell r="E25">
            <v>0.40600000000000003</v>
          </cell>
          <cell r="J25">
            <v>0.25700000000000001</v>
          </cell>
        </row>
        <row r="26">
          <cell r="B26" t="str">
            <v>FCF/Sales</v>
          </cell>
          <cell r="G26">
            <v>0.40600000000000003</v>
          </cell>
          <cell r="J26">
            <v>0.25700000000000001</v>
          </cell>
        </row>
        <row r="27">
          <cell r="B27" t="str">
            <v>Net inc. margin</v>
          </cell>
          <cell r="D27">
            <v>0.40600000000000003</v>
          </cell>
          <cell r="J27">
            <v>0.25700000000000001</v>
          </cell>
        </row>
        <row r="28">
          <cell r="B28" t="str">
            <v>Liquidity</v>
          </cell>
        </row>
        <row r="29">
          <cell r="B29" t="str">
            <v>Cash ratio</v>
          </cell>
          <cell r="G29">
            <v>0.40600000000000003</v>
          </cell>
          <cell r="J29">
            <v>0.25700000000000001</v>
          </cell>
        </row>
        <row r="30">
          <cell r="B30" t="str">
            <v>Quick Ratio</v>
          </cell>
          <cell r="E30">
            <v>0.40600000000000003</v>
          </cell>
          <cell r="J30">
            <v>0.25700000000000001</v>
          </cell>
        </row>
        <row r="31">
          <cell r="B31" t="str">
            <v>Total Debt/EBIDA</v>
          </cell>
          <cell r="G31">
            <v>0.40600000000000003</v>
          </cell>
          <cell r="J31">
            <v>0.25700000000000001</v>
          </cell>
        </row>
        <row r="32">
          <cell r="B32" t="str">
            <v>Liquidity</v>
          </cell>
        </row>
        <row r="33">
          <cell r="B33" t="str">
            <v>Cash ratio</v>
          </cell>
          <cell r="G33">
            <v>0.40600000000000003</v>
          </cell>
          <cell r="J33">
            <v>0.25700000000000001</v>
          </cell>
        </row>
        <row r="34">
          <cell r="B34" t="str">
            <v>Quick Ratio</v>
          </cell>
          <cell r="E34">
            <v>0.40600000000000003</v>
          </cell>
          <cell r="J34">
            <v>0.25700000000000001</v>
          </cell>
        </row>
        <row r="35">
          <cell r="B35" t="str">
            <v>Total Debt/EBIDA</v>
          </cell>
          <cell r="G35">
            <v>0.40600000000000003</v>
          </cell>
          <cell r="J35">
            <v>0.25700000000000001</v>
          </cell>
        </row>
        <row r="36">
          <cell r="B36" t="str">
            <v>Cash</v>
          </cell>
        </row>
        <row r="37">
          <cell r="B37" t="str">
            <v>FCF/Market Cap</v>
          </cell>
          <cell r="E37">
            <v>0.40600000000000003</v>
          </cell>
          <cell r="J37">
            <v>0.25700000000000001</v>
          </cell>
        </row>
        <row r="38">
          <cell r="B38" t="str">
            <v>FCF/Sales</v>
          </cell>
          <cell r="G38">
            <v>0.40600000000000003</v>
          </cell>
          <cell r="J38">
            <v>0.25700000000000001</v>
          </cell>
        </row>
        <row r="39">
          <cell r="B39" t="str">
            <v>Net inc. margin</v>
          </cell>
          <cell r="D39">
            <v>0.40600000000000003</v>
          </cell>
          <cell r="J39">
            <v>0.25700000000000001</v>
          </cell>
        </row>
        <row r="40">
          <cell r="B40" t="str">
            <v>Growth</v>
          </cell>
        </row>
        <row r="41">
          <cell r="B41" t="str">
            <v>EPS 1yr fwd</v>
          </cell>
          <cell r="D41" t="str">
            <v>13.5x</v>
          </cell>
          <cell r="J41" t="str">
            <v>10.2x</v>
          </cell>
        </row>
        <row r="42">
          <cell r="B42" t="str">
            <v>EPS 2yrs fwd</v>
          </cell>
          <cell r="G42" t="str">
            <v>13.5x</v>
          </cell>
          <cell r="J42" t="str">
            <v>10.2x</v>
          </cell>
        </row>
        <row r="43">
          <cell r="B43" t="str">
            <v>EV/Ebitda</v>
          </cell>
          <cell r="G43" t="str">
            <v>13.5x</v>
          </cell>
          <cell r="J43" t="str">
            <v>10.2x</v>
          </cell>
        </row>
        <row r="46">
          <cell r="E46" t="str">
            <v></v>
          </cell>
        </row>
        <row r="47">
          <cell r="E47" t="str">
            <v></v>
          </cell>
        </row>
        <row r="48">
          <cell r="E48" t="str">
            <v></v>
          </cell>
        </row>
        <row r="49">
          <cell r="E49" t="str">
            <v></v>
          </cell>
        </row>
        <row r="56">
          <cell r="E56" t="str">
            <v></v>
          </cell>
          <cell r="F56" t="str">
            <v></v>
          </cell>
        </row>
        <row r="57">
          <cell r="E57" t="str">
            <v></v>
          </cell>
          <cell r="F57" t="str">
            <v></v>
          </cell>
        </row>
      </sheetData>
      <sheetData sheetId="6" refreshError="1">
        <row r="1">
          <cell r="B1" t="str">
            <v>Rolta India Ltd.</v>
          </cell>
        </row>
        <row r="2">
          <cell r="B2" t="str">
            <v xml:space="preserve">relative to </v>
          </cell>
        </row>
        <row r="3">
          <cell r="B3" t="str">
            <v>Information Technology</v>
          </cell>
        </row>
        <row r="5">
          <cell r="D5" t="str">
            <v>Rolta India Ltd.</v>
          </cell>
          <cell r="J5" t="str">
            <v>Peer
median</v>
          </cell>
        </row>
        <row r="6">
          <cell r="D6" t="str">
            <v>Percentile range (vs. peers)</v>
          </cell>
        </row>
        <row r="7">
          <cell r="C7" t="str">
            <v xml:space="preserve">  0      20      40      60      80   100%</v>
          </cell>
        </row>
        <row r="8">
          <cell r="B8" t="str">
            <v>Valuation</v>
          </cell>
        </row>
        <row r="9">
          <cell r="B9" t="str">
            <v>P/E (FY1)</v>
          </cell>
          <cell r="G9" t="str">
            <v>13.5x</v>
          </cell>
          <cell r="J9" t="str">
            <v>10.2x</v>
          </cell>
        </row>
        <row r="10">
          <cell r="B10" t="str">
            <v>P/E (FY2)</v>
          </cell>
          <cell r="E10" t="str">
            <v>13.5x</v>
          </cell>
          <cell r="J10" t="str">
            <v>10.2x</v>
          </cell>
        </row>
        <row r="11">
          <cell r="B11" t="str">
            <v>EV/Ebitda</v>
          </cell>
          <cell r="F11" t="str">
            <v>13.5x</v>
          </cell>
          <cell r="J11" t="str">
            <v>10.2x</v>
          </cell>
        </row>
        <row r="12">
          <cell r="B12" t="str">
            <v>Profitability</v>
          </cell>
        </row>
        <row r="13">
          <cell r="B13" t="str">
            <v>ROA</v>
          </cell>
          <cell r="F13">
            <v>0.40600000000000003</v>
          </cell>
          <cell r="J13">
            <v>0.25700000000000001</v>
          </cell>
        </row>
        <row r="14">
          <cell r="B14" t="str">
            <v>ROE</v>
          </cell>
          <cell r="E14">
            <v>0.40600000000000003</v>
          </cell>
          <cell r="J14">
            <v>0.25700000000000001</v>
          </cell>
        </row>
        <row r="15">
          <cell r="B15" t="str">
            <v>Net inc. margin</v>
          </cell>
          <cell r="H15">
            <v>0.40600000000000003</v>
          </cell>
          <cell r="J15">
            <v>0.25700000000000001</v>
          </cell>
        </row>
        <row r="16">
          <cell r="B16" t="str">
            <v>Leverage</v>
          </cell>
        </row>
        <row r="17">
          <cell r="B17" t="str">
            <v>Debt/Assets</v>
          </cell>
          <cell r="E17">
            <v>0.40600000000000003</v>
          </cell>
          <cell r="J17">
            <v>0.25700000000000001</v>
          </cell>
        </row>
        <row r="18">
          <cell r="B18" t="str">
            <v>Debt/Equity</v>
          </cell>
          <cell r="G18">
            <v>0.40600000000000003</v>
          </cell>
          <cell r="J18">
            <v>0.25700000000000001</v>
          </cell>
        </row>
        <row r="19">
          <cell r="B19" t="str">
            <v>Total Debt/EBIDA</v>
          </cell>
          <cell r="D19">
            <v>0.40600000000000003</v>
          </cell>
          <cell r="J19">
            <v>0.25700000000000001</v>
          </cell>
        </row>
        <row r="20">
          <cell r="B20" t="str">
            <v>Growth</v>
          </cell>
        </row>
        <row r="21">
          <cell r="B21" t="str">
            <v>EPS 1yr fwd</v>
          </cell>
          <cell r="D21" t="str">
            <v>13.5x</v>
          </cell>
          <cell r="J21" t="str">
            <v>10.2x</v>
          </cell>
        </row>
        <row r="22">
          <cell r="B22" t="str">
            <v>EPS 2yrs fwd</v>
          </cell>
          <cell r="G22" t="str">
            <v>13.5x</v>
          </cell>
          <cell r="J22" t="str">
            <v>10.2x</v>
          </cell>
        </row>
        <row r="23">
          <cell r="B23" t="str">
            <v>EV/Ebitda</v>
          </cell>
          <cell r="G23" t="str">
            <v>13.5x</v>
          </cell>
          <cell r="J23" t="str">
            <v>10.2x</v>
          </cell>
        </row>
        <row r="24">
          <cell r="B24" t="str">
            <v>Cash</v>
          </cell>
        </row>
        <row r="25">
          <cell r="B25" t="str">
            <v>FCF/Market Cap</v>
          </cell>
          <cell r="E25">
            <v>0.40600000000000003</v>
          </cell>
          <cell r="J25">
            <v>0.25700000000000001</v>
          </cell>
        </row>
        <row r="26">
          <cell r="B26" t="str">
            <v>FCF/Sales</v>
          </cell>
          <cell r="G26">
            <v>0.40600000000000003</v>
          </cell>
          <cell r="J26">
            <v>0.25700000000000001</v>
          </cell>
        </row>
        <row r="27">
          <cell r="B27" t="str">
            <v>Net inc. margin</v>
          </cell>
          <cell r="D27">
            <v>0.40600000000000003</v>
          </cell>
          <cell r="J27">
            <v>0.25700000000000001</v>
          </cell>
        </row>
        <row r="28">
          <cell r="B28" t="str">
            <v>Liquidity</v>
          </cell>
        </row>
        <row r="29">
          <cell r="B29" t="str">
            <v>Cash ratio</v>
          </cell>
          <cell r="G29">
            <v>0.40600000000000003</v>
          </cell>
          <cell r="J29">
            <v>0.25700000000000001</v>
          </cell>
        </row>
        <row r="30">
          <cell r="B30" t="str">
            <v>Quick Ratio</v>
          </cell>
          <cell r="E30">
            <v>0.40600000000000003</v>
          </cell>
          <cell r="J30">
            <v>0.25700000000000001</v>
          </cell>
        </row>
        <row r="31">
          <cell r="B31" t="str">
            <v>Total Debt/EBIDA</v>
          </cell>
          <cell r="G31">
            <v>0.40600000000000003</v>
          </cell>
          <cell r="J31">
            <v>0.25700000000000001</v>
          </cell>
        </row>
        <row r="34">
          <cell r="E34" t="str">
            <v></v>
          </cell>
        </row>
        <row r="35">
          <cell r="E35" t="str">
            <v></v>
          </cell>
        </row>
        <row r="36">
          <cell r="E36" t="str">
            <v></v>
          </cell>
        </row>
        <row r="37">
          <cell r="E37" t="str">
            <v></v>
          </cell>
        </row>
        <row r="44">
          <cell r="E44" t="str">
            <v></v>
          </cell>
          <cell r="F44" t="str">
            <v></v>
          </cell>
        </row>
        <row r="45">
          <cell r="E45" t="str">
            <v></v>
          </cell>
          <cell r="F45" t="str">
            <v></v>
          </cell>
        </row>
      </sheetData>
      <sheetData sheetId="7" refreshError="1">
        <row r="1">
          <cell r="B1" t="str">
            <v>Rolta India Ltd.</v>
          </cell>
        </row>
        <row r="2">
          <cell r="B2" t="str">
            <v xml:space="preserve">relative to </v>
          </cell>
        </row>
        <row r="3">
          <cell r="B3" t="str">
            <v>Information Technology</v>
          </cell>
        </row>
        <row r="5">
          <cell r="D5" t="str">
            <v>Rolta India Ltd.</v>
          </cell>
          <cell r="J5" t="str">
            <v>Peer
median</v>
          </cell>
        </row>
        <row r="6">
          <cell r="D6" t="str">
            <v>Percentile range (vs. peers)</v>
          </cell>
        </row>
        <row r="7">
          <cell r="C7" t="str">
            <v xml:space="preserve">  0      20      40      60      80   100%</v>
          </cell>
        </row>
        <row r="8">
          <cell r="B8" t="str">
            <v>Valuation</v>
          </cell>
        </row>
        <row r="9">
          <cell r="B9" t="str">
            <v>P/E (FY1)</v>
          </cell>
          <cell r="G9" t="str">
            <v>13.5x</v>
          </cell>
          <cell r="J9" t="str">
            <v>10.2x</v>
          </cell>
        </row>
        <row r="10">
          <cell r="B10" t="str">
            <v>P/E (FY2)</v>
          </cell>
          <cell r="E10" t="str">
            <v>13.5x</v>
          </cell>
          <cell r="J10" t="str">
            <v>10.2x</v>
          </cell>
        </row>
        <row r="11">
          <cell r="B11" t="str">
            <v>EV/Ebitda</v>
          </cell>
          <cell r="F11" t="str">
            <v>13.5x</v>
          </cell>
          <cell r="J11" t="str">
            <v>10.2x</v>
          </cell>
        </row>
        <row r="12">
          <cell r="B12" t="str">
            <v>P/E (FY2)</v>
          </cell>
          <cell r="E12" t="str">
            <v>13.5x</v>
          </cell>
          <cell r="J12" t="str">
            <v>10.2x</v>
          </cell>
        </row>
        <row r="13">
          <cell r="B13" t="str">
            <v>EV/Ebitda</v>
          </cell>
          <cell r="F13" t="str">
            <v>13.5x</v>
          </cell>
          <cell r="J13" t="str">
            <v>10.2x</v>
          </cell>
        </row>
        <row r="14">
          <cell r="B14" t="str">
            <v>Profitability</v>
          </cell>
        </row>
        <row r="15">
          <cell r="B15" t="str">
            <v>ROA</v>
          </cell>
          <cell r="F15">
            <v>0.40600000000000003</v>
          </cell>
          <cell r="J15">
            <v>0.25700000000000001</v>
          </cell>
        </row>
        <row r="16">
          <cell r="B16" t="str">
            <v>ROE</v>
          </cell>
          <cell r="E16">
            <v>0.40600000000000003</v>
          </cell>
          <cell r="J16">
            <v>0.25700000000000001</v>
          </cell>
        </row>
        <row r="17">
          <cell r="B17" t="str">
            <v>Net inc. margin</v>
          </cell>
          <cell r="H17">
            <v>0.40600000000000003</v>
          </cell>
          <cell r="J17">
            <v>0.25700000000000001</v>
          </cell>
        </row>
        <row r="18">
          <cell r="B18" t="str">
            <v>ROE</v>
          </cell>
          <cell r="E18">
            <v>0.40600000000000003</v>
          </cell>
          <cell r="J18">
            <v>0.25700000000000001</v>
          </cell>
        </row>
        <row r="19">
          <cell r="B19" t="str">
            <v>Net inc. margin</v>
          </cell>
          <cell r="H19">
            <v>0.40600000000000003</v>
          </cell>
          <cell r="J19">
            <v>0.25700000000000001</v>
          </cell>
        </row>
        <row r="20">
          <cell r="B20" t="str">
            <v>Leverage</v>
          </cell>
        </row>
        <row r="21">
          <cell r="B21" t="str">
            <v>Debt/Assets</v>
          </cell>
          <cell r="E21">
            <v>0.40600000000000003</v>
          </cell>
          <cell r="J21">
            <v>0.25700000000000001</v>
          </cell>
        </row>
        <row r="22">
          <cell r="B22" t="str">
            <v>Debt/Equity</v>
          </cell>
          <cell r="G22">
            <v>0.40600000000000003</v>
          </cell>
          <cell r="J22">
            <v>0.25700000000000001</v>
          </cell>
        </row>
        <row r="23">
          <cell r="B23" t="str">
            <v>Total Debt/EBIDA</v>
          </cell>
          <cell r="D23">
            <v>0.40600000000000003</v>
          </cell>
          <cell r="J23">
            <v>0.25700000000000001</v>
          </cell>
        </row>
        <row r="24">
          <cell r="B24" t="str">
            <v>Debt/Equity</v>
          </cell>
          <cell r="G24">
            <v>0.40600000000000003</v>
          </cell>
          <cell r="J24">
            <v>0.25700000000000001</v>
          </cell>
        </row>
        <row r="25">
          <cell r="B25" t="str">
            <v>Total Debt/EBIDA</v>
          </cell>
          <cell r="D25">
            <v>0.40600000000000003</v>
          </cell>
          <cell r="J25">
            <v>0.25700000000000001</v>
          </cell>
        </row>
        <row r="26">
          <cell r="B26" t="str">
            <v>Growth</v>
          </cell>
        </row>
        <row r="27">
          <cell r="B27" t="str">
            <v>EPS 1yr fwd</v>
          </cell>
          <cell r="D27" t="str">
            <v>13.5x</v>
          </cell>
          <cell r="J27" t="str">
            <v>10.2x</v>
          </cell>
        </row>
        <row r="28">
          <cell r="B28" t="str">
            <v>EPS 2yrs fwd</v>
          </cell>
          <cell r="G28" t="str">
            <v>13.5x</v>
          </cell>
          <cell r="J28" t="str">
            <v>10.2x</v>
          </cell>
        </row>
        <row r="29">
          <cell r="B29" t="str">
            <v>EV/Ebitda</v>
          </cell>
          <cell r="G29" t="str">
            <v>13.5x</v>
          </cell>
          <cell r="J29" t="str">
            <v>10.2x</v>
          </cell>
        </row>
        <row r="30">
          <cell r="B30" t="str">
            <v>EPS 2yrs fwd</v>
          </cell>
          <cell r="G30" t="str">
            <v>13.5x</v>
          </cell>
          <cell r="J30" t="str">
            <v>10.2x</v>
          </cell>
        </row>
        <row r="31">
          <cell r="B31" t="str">
            <v>EV/Ebitda</v>
          </cell>
          <cell r="G31" t="str">
            <v>13.5x</v>
          </cell>
          <cell r="J31" t="str">
            <v>10.2x</v>
          </cell>
        </row>
        <row r="32">
          <cell r="B32" t="str">
            <v>Cash</v>
          </cell>
        </row>
        <row r="33">
          <cell r="B33" t="str">
            <v>FCF/Market Cap</v>
          </cell>
          <cell r="E33">
            <v>0.40600000000000003</v>
          </cell>
          <cell r="J33">
            <v>0.25700000000000001</v>
          </cell>
        </row>
        <row r="34">
          <cell r="B34" t="str">
            <v>FCF/Sales</v>
          </cell>
          <cell r="G34">
            <v>0.40600000000000003</v>
          </cell>
          <cell r="J34">
            <v>0.25700000000000001</v>
          </cell>
        </row>
        <row r="35">
          <cell r="B35" t="str">
            <v>Net inc. margin</v>
          </cell>
          <cell r="D35">
            <v>0.40600000000000003</v>
          </cell>
          <cell r="J35">
            <v>0.25700000000000001</v>
          </cell>
        </row>
        <row r="36">
          <cell r="B36" t="str">
            <v>FCF/Sales</v>
          </cell>
          <cell r="G36">
            <v>0.40600000000000003</v>
          </cell>
          <cell r="J36">
            <v>0.25700000000000001</v>
          </cell>
        </row>
        <row r="37">
          <cell r="B37" t="str">
            <v>Net inc. margin</v>
          </cell>
          <cell r="D37">
            <v>0.40600000000000003</v>
          </cell>
          <cell r="J37">
            <v>0.25700000000000001</v>
          </cell>
        </row>
        <row r="38">
          <cell r="B38" t="str">
            <v>Liquidity</v>
          </cell>
        </row>
        <row r="39">
          <cell r="B39" t="str">
            <v>Cash ratio</v>
          </cell>
          <cell r="G39">
            <v>0.40600000000000003</v>
          </cell>
          <cell r="J39">
            <v>0.25700000000000001</v>
          </cell>
        </row>
        <row r="40">
          <cell r="B40" t="str">
            <v>Quick Ratio</v>
          </cell>
          <cell r="E40">
            <v>0.40600000000000003</v>
          </cell>
          <cell r="J40">
            <v>0.25700000000000001</v>
          </cell>
        </row>
        <row r="41">
          <cell r="B41" t="str">
            <v>Total Debt/EBIDA</v>
          </cell>
          <cell r="G41">
            <v>0.40600000000000003</v>
          </cell>
          <cell r="J41">
            <v>0.25700000000000001</v>
          </cell>
        </row>
        <row r="42">
          <cell r="B42" t="str">
            <v>Quick Ratio</v>
          </cell>
          <cell r="E42">
            <v>0.40600000000000003</v>
          </cell>
          <cell r="J42">
            <v>0.25700000000000001</v>
          </cell>
        </row>
        <row r="43">
          <cell r="B43" t="str">
            <v>Total Debt/EBIDA</v>
          </cell>
          <cell r="G43">
            <v>0.40600000000000003</v>
          </cell>
          <cell r="J43">
            <v>0.25700000000000001</v>
          </cell>
        </row>
        <row r="46">
          <cell r="E46" t="str">
            <v></v>
          </cell>
        </row>
        <row r="47">
          <cell r="E47" t="str">
            <v></v>
          </cell>
        </row>
        <row r="48">
          <cell r="E48" t="str">
            <v></v>
          </cell>
        </row>
        <row r="49">
          <cell r="E49" t="str">
            <v></v>
          </cell>
        </row>
        <row r="56">
          <cell r="E56" t="str">
            <v></v>
          </cell>
          <cell r="F56" t="str">
            <v></v>
          </cell>
        </row>
        <row r="57">
          <cell r="E57" t="str">
            <v></v>
          </cell>
          <cell r="F57" t="str">
            <v></v>
          </cell>
        </row>
      </sheetData>
      <sheetData sheetId="8" refreshError="1">
        <row r="1">
          <cell r="B1" t="str">
            <v>Rolta India Ltd.</v>
          </cell>
        </row>
        <row r="2">
          <cell r="B2" t="str">
            <v xml:space="preserve">relative to </v>
          </cell>
        </row>
        <row r="3">
          <cell r="B3" t="str">
            <v>Information Technology</v>
          </cell>
        </row>
        <row r="5">
          <cell r="D5" t="str">
            <v>Rolta India Ltd.</v>
          </cell>
        </row>
        <row r="6">
          <cell r="D6" t="str">
            <v>Percentile range (vs. peers)</v>
          </cell>
          <cell r="J6" t="str">
            <v>Peer
median</v>
          </cell>
        </row>
        <row r="7">
          <cell r="B7" t="str">
            <v>Valuation</v>
          </cell>
          <cell r="C7" t="str">
            <v xml:space="preserve">  0          20         40         60         80     100%</v>
          </cell>
        </row>
        <row r="8">
          <cell r="B8" t="str">
            <v>P/E LTM</v>
          </cell>
          <cell r="G8">
            <v>21.621870000000001</v>
          </cell>
          <cell r="J8">
            <v>13.394874999999999</v>
          </cell>
        </row>
        <row r="9">
          <cell r="B9" t="str">
            <v>P/E (FY1)</v>
          </cell>
          <cell r="H9">
            <v>20.694458166823328</v>
          </cell>
          <cell r="J9">
            <v>14.085775039027197</v>
          </cell>
        </row>
        <row r="10">
          <cell r="B10" t="str">
            <v>P/E (FY2)</v>
          </cell>
          <cell r="H10">
            <v>15.599014634957593</v>
          </cell>
          <cell r="J10">
            <v>11.178371391641534</v>
          </cell>
        </row>
        <row r="11">
          <cell r="B11" t="str">
            <v>P/Book</v>
          </cell>
          <cell r="G11">
            <v>3.5718800000000002</v>
          </cell>
          <cell r="J11">
            <v>2.86226</v>
          </cell>
        </row>
        <row r="12">
          <cell r="B12" t="str">
            <v>P/CF</v>
          </cell>
          <cell r="G12">
            <v>13.40723</v>
          </cell>
          <cell r="J12">
            <v>11.400309999999999</v>
          </cell>
        </row>
        <row r="13">
          <cell r="B13" t="str">
            <v>P/Sales</v>
          </cell>
          <cell r="H13">
            <v>5.2475399999999999</v>
          </cell>
          <cell r="J13">
            <v>1.9415499999999999</v>
          </cell>
        </row>
        <row r="14">
          <cell r="B14" t="str">
            <v>EV/Ebitda</v>
          </cell>
          <cell r="G14">
            <v>16.154547701816412</v>
          </cell>
          <cell r="J14">
            <v>10.658766575267769</v>
          </cell>
        </row>
        <row r="15">
          <cell r="B15" t="str">
            <v>EV/Sales</v>
          </cell>
          <cell r="H15">
            <v>5.0269488234878006</v>
          </cell>
          <cell r="J15">
            <v>1.5981384026862981</v>
          </cell>
        </row>
        <row r="16">
          <cell r="B16" t="str">
            <v>Performance</v>
          </cell>
          <cell r="C16" t="str">
            <v xml:space="preserve">  0          20         40         60         80     100%</v>
          </cell>
        </row>
        <row r="17">
          <cell r="B17" t="str">
            <v>Pchange 1mo</v>
          </cell>
          <cell r="E17">
            <v>-8.7999999999999995E-2</v>
          </cell>
          <cell r="J17">
            <v>-2.0876820000000001E-2</v>
          </cell>
        </row>
        <row r="18">
          <cell r="B18" t="str">
            <v>Pchange 3 mo</v>
          </cell>
          <cell r="G18">
            <v>-8.0000000000000002E-3</v>
          </cell>
          <cell r="J18">
            <v>-9.2043639999999996E-2</v>
          </cell>
        </row>
        <row r="19">
          <cell r="B19" t="str">
            <v>Pchange 6 mo</v>
          </cell>
          <cell r="G19">
            <v>-0.122</v>
          </cell>
          <cell r="J19">
            <v>-0.18910795</v>
          </cell>
        </row>
        <row r="20">
          <cell r="B20" t="str">
            <v>Pchange 12mo</v>
          </cell>
          <cell r="H20">
            <v>0.34799999999999998</v>
          </cell>
          <cell r="J20">
            <v>-0.1974312</v>
          </cell>
        </row>
        <row r="21">
          <cell r="B21" t="str">
            <v>Efficiency</v>
          </cell>
          <cell r="C21" t="str">
            <v xml:space="preserve">  0          20         40         60         80     100%</v>
          </cell>
        </row>
        <row r="22">
          <cell r="B22" t="str">
            <v>Cash Turn</v>
          </cell>
          <cell r="D22">
            <v>0.7</v>
          </cell>
          <cell r="J22">
            <v>6.6652543078164674</v>
          </cell>
        </row>
        <row r="23">
          <cell r="B23" t="str">
            <v>Fix Asset Turn</v>
          </cell>
          <cell r="D23">
            <v>0.7</v>
          </cell>
          <cell r="J23">
            <v>3.7082649999999999</v>
          </cell>
        </row>
        <row r="24">
          <cell r="B24" t="str">
            <v>Inventory Turn</v>
          </cell>
          <cell r="H24">
            <v>34.5</v>
          </cell>
          <cell r="J24">
            <v>8.0652722137025954</v>
          </cell>
        </row>
        <row r="25">
          <cell r="B25" t="str">
            <v>Total Asset Turn</v>
          </cell>
          <cell r="D25">
            <v>0.4</v>
          </cell>
          <cell r="J25">
            <v>0.86623757679812219</v>
          </cell>
        </row>
        <row r="26">
          <cell r="B26" t="str">
            <v>Work Cap Turn</v>
          </cell>
          <cell r="D26">
            <v>0.7</v>
          </cell>
          <cell r="J26">
            <v>3.0825914282517566</v>
          </cell>
        </row>
        <row r="27">
          <cell r="B27" t="str">
            <v>LTD/Work Cap</v>
          </cell>
          <cell r="H27">
            <v>0.6</v>
          </cell>
          <cell r="J27">
            <v>4.0988471674371432E-3</v>
          </cell>
        </row>
        <row r="28">
          <cell r="B28" t="str">
            <v>Cash Flow</v>
          </cell>
          <cell r="C28" t="str">
            <v xml:space="preserve">  0          20         40         60         80     100%</v>
          </cell>
        </row>
        <row r="29">
          <cell r="B29" t="str">
            <v>FCF/Market Cap</v>
          </cell>
          <cell r="E29">
            <v>5.5E-2</v>
          </cell>
          <cell r="J29">
            <v>7.0318451574141738E-2</v>
          </cell>
        </row>
        <row r="30">
          <cell r="B30" t="str">
            <v>FCF/Sales</v>
          </cell>
          <cell r="H30">
            <v>0.39</v>
          </cell>
          <cell r="J30">
            <v>0.16181539999999997</v>
          </cell>
        </row>
        <row r="31">
          <cell r="B31" t="str">
            <v>Liquidity</v>
          </cell>
          <cell r="C31" t="str">
            <v xml:space="preserve">  0          20         40         60         80     100%</v>
          </cell>
        </row>
        <row r="32">
          <cell r="B32" t="str">
            <v>Cash ratio</v>
          </cell>
          <cell r="H32">
            <v>4.5560377741247695</v>
          </cell>
          <cell r="J32">
            <v>0.43202785721958231</v>
          </cell>
        </row>
        <row r="33">
          <cell r="B33" t="str">
            <v>Quick ratio</v>
          </cell>
          <cell r="H33">
            <v>7.8753619683448957</v>
          </cell>
          <cell r="J33">
            <v>1.9167270835799803</v>
          </cell>
        </row>
        <row r="34">
          <cell r="B34" t="str">
            <v>Current ratio</v>
          </cell>
          <cell r="H34">
            <v>8.0225490376185196</v>
          </cell>
          <cell r="J34">
            <v>2.2298031944381362</v>
          </cell>
        </row>
        <row r="37">
          <cell r="E37" t="str">
            <v></v>
          </cell>
        </row>
        <row r="38">
          <cell r="E38" t="str">
            <v></v>
          </cell>
        </row>
        <row r="39">
          <cell r="E39" t="str">
            <v></v>
          </cell>
        </row>
        <row r="40">
          <cell r="E40" t="str">
            <v></v>
          </cell>
        </row>
        <row r="47">
          <cell r="E47" t="str">
            <v></v>
          </cell>
          <cell r="F47" t="str">
            <v></v>
          </cell>
        </row>
        <row r="48">
          <cell r="E48" t="str">
            <v></v>
          </cell>
          <cell r="F48" t="str">
            <v></v>
          </cell>
        </row>
      </sheetData>
      <sheetData sheetId="9" refreshError="1">
        <row r="5">
          <cell r="D5" t="str">
            <v>Rolta India Ltd.</v>
          </cell>
        </row>
        <row r="6">
          <cell r="D6" t="str">
            <v>Percentile range (vs. peers)</v>
          </cell>
          <cell r="J6" t="str">
            <v>Peer
median</v>
          </cell>
        </row>
        <row r="7">
          <cell r="B7" t="str">
            <v>Growth</v>
          </cell>
          <cell r="C7" t="str">
            <v xml:space="preserve">  0          20         40         60         80     100%</v>
          </cell>
        </row>
        <row r="8">
          <cell r="B8" t="str">
            <v>EPS  1yr fwd</v>
          </cell>
          <cell r="C8" t="str">
            <v xml:space="preserve"> </v>
          </cell>
          <cell r="G8">
            <v>0.34994434133837671</v>
          </cell>
          <cell r="J8">
            <v>0.24507583426829038</v>
          </cell>
        </row>
        <row r="9">
          <cell r="B9" t="str">
            <v>EPS  2yr fwd</v>
          </cell>
          <cell r="G9">
            <v>0.79090585867912133</v>
          </cell>
          <cell r="J9">
            <v>0.54165173182937332</v>
          </cell>
        </row>
        <row r="10">
          <cell r="B10" t="str">
            <v>EPS  1yr hist</v>
          </cell>
          <cell r="E10">
            <v>0.1436142</v>
          </cell>
          <cell r="J10">
            <v>0.39057600000000003</v>
          </cell>
        </row>
        <row r="11">
          <cell r="B11" t="str">
            <v>EPS  3yr hist</v>
          </cell>
          <cell r="F11">
            <v>0.29139809999999999</v>
          </cell>
          <cell r="J11">
            <v>0.30270160000000002</v>
          </cell>
        </row>
        <row r="12">
          <cell r="B12" t="str">
            <v>EPS  5yr hist</v>
          </cell>
          <cell r="E12">
            <v>4.9647199999999996E-2</v>
          </cell>
          <cell r="J12">
            <v>0.18435220000000002</v>
          </cell>
        </row>
        <row r="13">
          <cell r="B13" t="str">
            <v>BVPS  1yr hist</v>
          </cell>
          <cell r="E13">
            <v>0.10893827289611213</v>
          </cell>
          <cell r="J13">
            <v>0.22911630269172178</v>
          </cell>
        </row>
        <row r="14">
          <cell r="B14" t="str">
            <v>DPS  1yr hist</v>
          </cell>
          <cell r="G14">
            <v>0.25</v>
          </cell>
          <cell r="J14">
            <v>0</v>
          </cell>
        </row>
        <row r="15">
          <cell r="B15" t="str">
            <v>EBIT  1yr hist</v>
          </cell>
          <cell r="E15">
            <v>0.24485651208492287</v>
          </cell>
          <cell r="J15">
            <v>0.56850427638032031</v>
          </cell>
        </row>
        <row r="16">
          <cell r="B16" t="str">
            <v>Sales  1yr hist</v>
          </cell>
          <cell r="F16">
            <v>0.32998586132285745</v>
          </cell>
          <cell r="J16">
            <v>0.37984755351738131</v>
          </cell>
        </row>
        <row r="17">
          <cell r="B17" t="str">
            <v>Quality</v>
          </cell>
          <cell r="C17" t="str">
            <v xml:space="preserve">  0          20         40         60         80     100%</v>
          </cell>
        </row>
        <row r="18">
          <cell r="B18" t="str">
            <v>ROA</v>
          </cell>
          <cell r="F18">
            <v>0.1184658</v>
          </cell>
          <cell r="J18">
            <v>0.1272691</v>
          </cell>
        </row>
        <row r="19">
          <cell r="B19" t="str">
            <v>ROE</v>
          </cell>
          <cell r="F19">
            <v>0.17368439999999999</v>
          </cell>
          <cell r="J19">
            <v>0.21419870000000002</v>
          </cell>
        </row>
        <row r="20">
          <cell r="B20" t="str">
            <v>EBIT margin</v>
          </cell>
          <cell r="H20">
            <v>0.27416333162437756</v>
          </cell>
          <cell r="J20">
            <v>0.15357519284540136</v>
          </cell>
        </row>
        <row r="21">
          <cell r="B21" t="str">
            <v>Net inc. margin</v>
          </cell>
          <cell r="H21">
            <v>0.2426798</v>
          </cell>
          <cell r="J21">
            <v>0.11734069999999999</v>
          </cell>
        </row>
        <row r="22">
          <cell r="B22" t="str">
            <v>Payout ratio</v>
          </cell>
          <cell r="H22">
            <v>0.21082499999999998</v>
          </cell>
          <cell r="J22">
            <v>6.6231399999999996E-2</v>
          </cell>
        </row>
        <row r="23">
          <cell r="B23" t="str">
            <v>Gross mrgn</v>
          </cell>
          <cell r="G23">
            <v>0.23997453357402426</v>
          </cell>
          <cell r="J23">
            <v>0.14569958835584462</v>
          </cell>
        </row>
        <row r="24">
          <cell r="B24" t="str">
            <v>ROI</v>
          </cell>
          <cell r="E24">
            <v>0.1325161</v>
          </cell>
          <cell r="J24">
            <v>0.16856649999999998</v>
          </cell>
        </row>
        <row r="25">
          <cell r="B25" t="str">
            <v>Financial Leverage</v>
          </cell>
          <cell r="C25" t="str">
            <v xml:space="preserve">  0          20         40         60         80     100%</v>
          </cell>
        </row>
        <row r="26">
          <cell r="B26" t="str">
            <v>Debt/Assets</v>
          </cell>
          <cell r="G26">
            <v>0.33543653674062973</v>
          </cell>
          <cell r="J26">
            <v>0.1160265764825805</v>
          </cell>
        </row>
        <row r="27">
          <cell r="B27" t="str">
            <v>Debt/Equity</v>
          </cell>
          <cell r="G27">
            <v>0.5901767</v>
          </cell>
          <cell r="J27">
            <v>0.18525710000000001</v>
          </cell>
        </row>
        <row r="28">
          <cell r="B28" t="str">
            <v>Net Debt/Equity</v>
          </cell>
          <cell r="G28">
            <v>-2.0327706515882699E-2</v>
          </cell>
          <cell r="J28">
            <v>-0.16130908468463256</v>
          </cell>
        </row>
        <row r="29">
          <cell r="B29" t="str">
            <v>Capex Discipline</v>
          </cell>
          <cell r="C29" t="str">
            <v xml:space="preserve">  0          20         40         60         80     100%</v>
          </cell>
        </row>
        <row r="30">
          <cell r="B30" t="str">
            <v>Capex/Deprec</v>
          </cell>
          <cell r="E30">
            <v>2.4672570593759451</v>
          </cell>
          <cell r="J30">
            <v>3.6387113093166663</v>
          </cell>
        </row>
        <row r="31">
          <cell r="B31" t="str">
            <v>Capex/Sales</v>
          </cell>
          <cell r="H31">
            <v>0.35316068940857437</v>
          </cell>
          <cell r="J31">
            <v>9.413321561872777E-2</v>
          </cell>
        </row>
        <row r="32">
          <cell r="B32" t="str">
            <v>FCF/EPS</v>
          </cell>
          <cell r="G32">
            <v>1.6195981779699669</v>
          </cell>
          <cell r="J32">
            <v>1.3280138922417146</v>
          </cell>
        </row>
        <row r="33">
          <cell r="B33" t="str">
            <v>Depr 1yr chg</v>
          </cell>
          <cell r="H33">
            <v>0.36377146770894186</v>
          </cell>
          <cell r="J33">
            <v>0.16342412451361876</v>
          </cell>
        </row>
        <row r="34">
          <cell r="B34" t="str">
            <v>Shrs out 1yr chg</v>
          </cell>
          <cell r="G34">
            <v>2.5058357762257621E-3</v>
          </cell>
          <cell r="J34">
            <v>1.5121596156952855E-3</v>
          </cell>
        </row>
        <row r="35">
          <cell r="B35" t="str">
            <v>Capex 1yr chg</v>
          </cell>
          <cell r="G35">
            <v>0.53235599999999983</v>
          </cell>
          <cell r="J35">
            <v>-8.311700000000033E-3</v>
          </cell>
        </row>
        <row r="38">
          <cell r="E38" t="str">
            <v></v>
          </cell>
        </row>
        <row r="39">
          <cell r="E39" t="str">
            <v></v>
          </cell>
        </row>
        <row r="40">
          <cell r="E40" t="str">
            <v></v>
          </cell>
        </row>
        <row r="41">
          <cell r="E41" t="str">
            <v></v>
          </cell>
        </row>
        <row r="48">
          <cell r="E48" t="str">
            <v></v>
          </cell>
          <cell r="F48" t="str">
            <v></v>
          </cell>
        </row>
        <row r="49">
          <cell r="E49" t="str">
            <v></v>
          </cell>
          <cell r="F49" t="str">
            <v></v>
          </cell>
        </row>
      </sheetData>
      <sheetData sheetId="10" refreshError="1"/>
      <sheetData sheetId="11"/>
      <sheetData sheetId="12" refreshError="1"/>
      <sheetData sheetId="13" refreshError="1"/>
      <sheetData sheetId="14" refreshError="1"/>
      <sheetData sheetId="15"/>
      <sheetData sheetId="16" refreshError="1"/>
      <sheetData sheetId="17" refreshError="1"/>
      <sheetData sheetId="1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0"/>
      <sheetName val="2010 by segment"/>
      <sheetName val="Sheet1"/>
      <sheetName val="EPS Over Time"/>
      <sheetName val="exh 11"/>
      <sheetName val="exh 14"/>
      <sheetName val="exh 12"/>
      <sheetName val="exh 10"/>
      <sheetName val="exh 1 and 5"/>
      <sheetName val="exh 15"/>
      <sheetName val="exh 3"/>
      <sheetName val="exh 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5)"/>
      <sheetName val="Sheet1 (8)"/>
      <sheetName val="Sheet1 (10)"/>
      <sheetName val="Sheet1 (12)"/>
      <sheetName val="Sheet1 (11)"/>
      <sheetName val="Sheet1 (13)"/>
      <sheetName val="Stack"/>
      <sheetName val="HiMedLo (4)"/>
      <sheetName val="Sheet1 (6)"/>
      <sheetName val="Sheet1 (7)"/>
      <sheetName val="#REF"/>
      <sheetName val="2010 by seg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cGro"/>
      <sheetName val="Proton"/>
      <sheetName val="Graphs"/>
      <sheetName val="LINKS"/>
      <sheetName val="CapexComps"/>
      <sheetName val="AW"/>
      <sheetName val="Changes"/>
      <sheetName val="B-B"/>
      <sheetName val="Guidance"/>
      <sheetName val="Variance"/>
      <sheetName val="Cons"/>
      <sheetName val="Preview"/>
      <sheetName val="UnitModel"/>
      <sheetName val="CERN"/>
      <sheetName val="HCIT"/>
      <sheetName val="GeoOrders"/>
      <sheetName val="FX"/>
      <sheetName val="Overview"/>
      <sheetName val="Timeline"/>
      <sheetName val="DCF"/>
      <sheetName val="RevBuild"/>
      <sheetName val="ValSimple"/>
      <sheetName val="BBB"/>
      <sheetName val="Back Up"/>
      <sheetName val="NIPT_Mkt"/>
      <sheetName val="SQNM"/>
      <sheetName val="QVariance"/>
      <sheetName val="LinksQ"/>
      <sheetName val="LinksA"/>
      <sheetName val="#REF"/>
      <sheetName val="Book6"/>
      <sheetName val="Sheet1"/>
      <sheetName val="Sheet2"/>
      <sheetName val="Sheet3"/>
      <sheetName val="End_Markets"/>
      <sheetName val="OrgGro"/>
      <sheetName val="Q Variance"/>
    </sheetNames>
    <sheetDataSet>
      <sheetData sheetId="0">
        <row r="1">
          <cell r="Z1" t="str">
            <v>Violet cells are adjusted for writedown</v>
          </cell>
          <cell r="BM1" t="str">
            <v>EXTRA WEEK HERE</v>
          </cell>
          <cell r="BQ1" t="str">
            <v>EXTRA WEEK A DRAG HERE</v>
          </cell>
        </row>
        <row r="2">
          <cell r="B2" t="str">
            <v xml:space="preserve">Varian Constant Currency Sales Growth </v>
          </cell>
          <cell r="AN2" t="str">
            <v>2-Year Revenue Growth Trend</v>
          </cell>
        </row>
        <row r="3">
          <cell r="C3">
            <v>39447</v>
          </cell>
          <cell r="D3">
            <v>39538</v>
          </cell>
          <cell r="E3">
            <v>39629</v>
          </cell>
          <cell r="F3">
            <v>39721</v>
          </cell>
          <cell r="G3">
            <v>39813</v>
          </cell>
          <cell r="H3">
            <v>39903</v>
          </cell>
          <cell r="I3">
            <v>39994</v>
          </cell>
          <cell r="J3">
            <v>40086</v>
          </cell>
          <cell r="K3">
            <v>40178</v>
          </cell>
          <cell r="L3">
            <v>40268</v>
          </cell>
          <cell r="M3">
            <v>40359</v>
          </cell>
          <cell r="N3">
            <v>40451</v>
          </cell>
          <cell r="O3">
            <v>40543</v>
          </cell>
          <cell r="P3">
            <v>40633</v>
          </cell>
          <cell r="Q3">
            <v>40724</v>
          </cell>
          <cell r="R3">
            <v>40816</v>
          </cell>
          <cell r="S3">
            <v>40908.25</v>
          </cell>
          <cell r="T3">
            <v>40998.25</v>
          </cell>
          <cell r="U3">
            <v>41089.25</v>
          </cell>
          <cell r="V3">
            <v>41181.25</v>
          </cell>
          <cell r="W3">
            <v>41273.5</v>
          </cell>
          <cell r="X3">
            <v>41363.5</v>
          </cell>
          <cell r="Y3">
            <v>41454.5</v>
          </cell>
          <cell r="Z3">
            <v>41546.5</v>
          </cell>
          <cell r="AA3">
            <v>41638.75</v>
          </cell>
          <cell r="AB3">
            <v>41728.75</v>
          </cell>
          <cell r="AC3">
            <v>41819.75</v>
          </cell>
          <cell r="AD3">
            <v>41911.75</v>
          </cell>
          <cell r="AE3" t="str">
            <v>Dec-14**</v>
          </cell>
          <cell r="AF3">
            <v>42094</v>
          </cell>
          <cell r="AG3">
            <v>42185</v>
          </cell>
          <cell r="AH3">
            <v>42277</v>
          </cell>
          <cell r="AI3">
            <v>42369.25</v>
          </cell>
          <cell r="AJ3">
            <v>42459.25</v>
          </cell>
          <cell r="AK3">
            <v>42550.25</v>
          </cell>
          <cell r="AL3">
            <v>42642.25</v>
          </cell>
          <cell r="AO3">
            <v>39813</v>
          </cell>
          <cell r="AP3">
            <v>39903</v>
          </cell>
          <cell r="AQ3">
            <v>39994</v>
          </cell>
          <cell r="AR3">
            <v>40086</v>
          </cell>
          <cell r="AS3">
            <v>40178</v>
          </cell>
          <cell r="AT3">
            <v>40268</v>
          </cell>
          <cell r="AU3">
            <v>40359</v>
          </cell>
          <cell r="AV3">
            <v>40451</v>
          </cell>
          <cell r="AW3">
            <v>40543</v>
          </cell>
          <cell r="AX3">
            <v>40633</v>
          </cell>
          <cell r="AY3">
            <v>40724</v>
          </cell>
          <cell r="AZ3">
            <v>40816</v>
          </cell>
          <cell r="BA3">
            <v>40908.25</v>
          </cell>
          <cell r="BB3">
            <v>40998.25</v>
          </cell>
          <cell r="BC3">
            <v>41089.25</v>
          </cell>
          <cell r="BD3">
            <v>41181.25</v>
          </cell>
          <cell r="BE3">
            <v>41273.5</v>
          </cell>
          <cell r="BF3">
            <v>41363.5</v>
          </cell>
          <cell r="BG3">
            <v>41454.5</v>
          </cell>
          <cell r="BH3">
            <v>41546.5</v>
          </cell>
          <cell r="BI3">
            <v>41638.75</v>
          </cell>
          <cell r="BJ3">
            <v>41728.75</v>
          </cell>
          <cell r="BK3">
            <v>41819.75</v>
          </cell>
          <cell r="BL3">
            <v>41911.75</v>
          </cell>
          <cell r="BM3" t="str">
            <v>Dec-14**</v>
          </cell>
          <cell r="BN3">
            <v>42094</v>
          </cell>
          <cell r="BO3">
            <v>42185</v>
          </cell>
          <cell r="BP3">
            <v>42277</v>
          </cell>
          <cell r="BQ3">
            <v>42369.25</v>
          </cell>
          <cell r="BR3">
            <v>42459.25</v>
          </cell>
          <cell r="BS3">
            <v>42550.25</v>
          </cell>
          <cell r="BT3">
            <v>42642.25</v>
          </cell>
        </row>
        <row r="4">
          <cell r="B4" t="str">
            <v>Oncology Sys.</v>
          </cell>
          <cell r="C4">
            <v>0.11504276190003482</v>
          </cell>
          <cell r="D4">
            <v>0.15417492228378057</v>
          </cell>
          <cell r="E4">
            <v>0.179574637630279</v>
          </cell>
          <cell r="F4">
            <v>6.6298145546054399E-2</v>
          </cell>
          <cell r="G4">
            <v>0.12662695137269989</v>
          </cell>
          <cell r="H4">
            <v>9.6044050758298832E-2</v>
          </cell>
          <cell r="I4">
            <v>9.2521029452925396E-2</v>
          </cell>
          <cell r="J4">
            <v>0.1009697816083667</v>
          </cell>
          <cell r="K4">
            <v>4.6735296468503024E-2</v>
          </cell>
          <cell r="L4">
            <v>1.6991054040601944E-2</v>
          </cell>
          <cell r="M4">
            <v>6.0969299649147435E-2</v>
          </cell>
          <cell r="N4">
            <v>-1.16220677376505E-2</v>
          </cell>
          <cell r="O4">
            <v>0.06</v>
          </cell>
          <cell r="P4">
            <v>0.08</v>
          </cell>
          <cell r="Q4">
            <v>0.08</v>
          </cell>
          <cell r="R4">
            <v>4.0844948785587476E-2</v>
          </cell>
          <cell r="S4">
            <v>0.05</v>
          </cell>
          <cell r="T4">
            <v>0.11321126205946053</v>
          </cell>
          <cell r="U4">
            <v>0.11</v>
          </cell>
          <cell r="V4">
            <v>0.10306819428124764</v>
          </cell>
          <cell r="W4">
            <v>0.09</v>
          </cell>
          <cell r="X4">
            <v>2.9006013441811085E-2</v>
          </cell>
          <cell r="Y4">
            <v>2.7269399707174236E-2</v>
          </cell>
          <cell r="Z4">
            <v>6.9191662430096688E-3</v>
          </cell>
          <cell r="AA4">
            <v>4.7118062178142246E-2</v>
          </cell>
          <cell r="AB4">
            <v>5.8872464764523888E-2</v>
          </cell>
          <cell r="AC4">
            <v>1.7680384820951689E-2</v>
          </cell>
          <cell r="AD4">
            <v>6.1848624636938299E-2</v>
          </cell>
          <cell r="AE4">
            <v>6.3325662288317763E-2</v>
          </cell>
          <cell r="AF4">
            <v>3.4425136793235063E-2</v>
          </cell>
          <cell r="AG4">
            <v>7.7306295399515834E-2</v>
          </cell>
          <cell r="AH4">
            <v>4.636580322472917E-2</v>
          </cell>
          <cell r="AI4">
            <v>1.1215622334341032E-2</v>
          </cell>
          <cell r="AJ4">
            <v>2.4571728700878051E-2</v>
          </cell>
          <cell r="AK4">
            <v>1.8475214839894782E-3</v>
          </cell>
          <cell r="AL4">
            <v>2.9742048292638934E-2</v>
          </cell>
          <cell r="AN4" t="str">
            <v>Oncology Sys.</v>
          </cell>
          <cell r="AO4">
            <v>0.2416697132727347</v>
          </cell>
          <cell r="AP4">
            <v>0.25021897304207941</v>
          </cell>
          <cell r="AQ4">
            <v>0.27209566708320443</v>
          </cell>
          <cell r="AR4">
            <v>0.1672679271544211</v>
          </cell>
          <cell r="AS4">
            <v>0.17336224784120291</v>
          </cell>
          <cell r="AT4">
            <v>0.11303510479890078</v>
          </cell>
          <cell r="AU4">
            <v>0.15349032910207283</v>
          </cell>
          <cell r="AV4">
            <v>8.9347713870716203E-2</v>
          </cell>
          <cell r="AW4">
            <v>0.10673529646850302</v>
          </cell>
          <cell r="AX4">
            <v>9.6991054040601946E-2</v>
          </cell>
          <cell r="AY4">
            <v>0.14096929964914745</v>
          </cell>
          <cell r="AZ4">
            <v>2.9222881047936976E-2</v>
          </cell>
          <cell r="BA4">
            <v>0.11</v>
          </cell>
          <cell r="BB4">
            <v>0.19321126205946054</v>
          </cell>
          <cell r="BC4">
            <v>0.19</v>
          </cell>
          <cell r="BD4">
            <v>0.14391314306683511</v>
          </cell>
          <cell r="BE4">
            <v>0.14000000000000001</v>
          </cell>
          <cell r="BF4">
            <v>0.14221727550127161</v>
          </cell>
          <cell r="BG4">
            <v>0.13726939970717422</v>
          </cell>
          <cell r="BH4">
            <v>0.10998736052425731</v>
          </cell>
          <cell r="BI4">
            <v>0.13711806217814224</v>
          </cell>
          <cell r="BJ4">
            <v>8.7878478206334973E-2</v>
          </cell>
          <cell r="BK4">
            <v>4.4949784528125925E-2</v>
          </cell>
          <cell r="BL4">
            <v>6.8767790879947971E-2</v>
          </cell>
          <cell r="BM4">
            <v>0.11044372446646</v>
          </cell>
          <cell r="BN4">
            <v>9.3297601557758958E-2</v>
          </cell>
          <cell r="BO4">
            <v>9.4986680220467523E-2</v>
          </cell>
          <cell r="BP4">
            <v>0.10821442786166746</v>
          </cell>
          <cell r="BQ4">
            <v>7.4541284622658799E-2</v>
          </cell>
          <cell r="BR4">
            <v>5.8996865494113114E-2</v>
          </cell>
          <cell r="BS4">
            <v>7.9153816883505312E-2</v>
          </cell>
          <cell r="BT4">
            <v>7.6107851517368097E-2</v>
          </cell>
        </row>
        <row r="5">
          <cell r="B5" t="str">
            <v>Product</v>
          </cell>
          <cell r="C5">
            <v>0</v>
          </cell>
          <cell r="D5">
            <v>0</v>
          </cell>
          <cell r="E5">
            <v>0</v>
          </cell>
          <cell r="F5">
            <v>0</v>
          </cell>
          <cell r="G5">
            <v>0</v>
          </cell>
          <cell r="H5">
            <v>0</v>
          </cell>
          <cell r="I5">
            <v>0</v>
          </cell>
          <cell r="J5">
            <v>0</v>
          </cell>
          <cell r="K5">
            <v>6.6791101610088333E-3</v>
          </cell>
          <cell r="L5">
            <v>-3.7969387741235955E-2</v>
          </cell>
          <cell r="M5">
            <v>1.35646287583856E-2</v>
          </cell>
          <cell r="N5">
            <v>-6.5236586500203461E-2</v>
          </cell>
          <cell r="O5">
            <v>-5.1103094826255691E-2</v>
          </cell>
          <cell r="P5">
            <v>-9.698591756707689E-3</v>
          </cell>
          <cell r="Q5">
            <v>-8.1742713362587677E-3</v>
          </cell>
          <cell r="R5">
            <v>-6.7109005244180786E-2</v>
          </cell>
          <cell r="S5">
            <v>1.8185294697837542E-2</v>
          </cell>
          <cell r="T5">
            <v>9.9076304970362905E-2</v>
          </cell>
          <cell r="U5">
            <v>8.3016577847904963E-2</v>
          </cell>
          <cell r="V5">
            <v>9.3425799243234076E-2</v>
          </cell>
          <cell r="W5">
            <v>6.9341692409313677E-2</v>
          </cell>
          <cell r="X5">
            <v>-2.1768760344706983E-2</v>
          </cell>
          <cell r="Y5">
            <v>-3.0450530002135157E-4</v>
          </cell>
          <cell r="Z5">
            <v>-5.7893735022808507E-2</v>
          </cell>
          <cell r="AA5">
            <v>1.3981270825774557E-2</v>
          </cell>
          <cell r="AB5">
            <v>4.1676089731761054E-2</v>
          </cell>
          <cell r="AC5">
            <v>-2.5840215832327873E-2</v>
          </cell>
          <cell r="AD5">
            <v>4.2214871692721978E-2</v>
          </cell>
          <cell r="AE5">
            <v>-5.0450908322194343E-3</v>
          </cell>
          <cell r="AF5">
            <v>-1.2E-2</v>
          </cell>
          <cell r="AG5">
            <v>5.5E-2</v>
          </cell>
          <cell r="AH5">
            <v>0.01</v>
          </cell>
          <cell r="AI5">
            <v>-1.5879151959317023E-2</v>
          </cell>
          <cell r="AJ5">
            <v>0</v>
          </cell>
          <cell r="AK5">
            <v>-0.04</v>
          </cell>
          <cell r="AL5">
            <v>0</v>
          </cell>
          <cell r="AN5" t="str">
            <v>Product</v>
          </cell>
          <cell r="AO5">
            <v>0</v>
          </cell>
          <cell r="AP5">
            <v>0</v>
          </cell>
          <cell r="AQ5">
            <v>0</v>
          </cell>
          <cell r="AR5">
            <v>0</v>
          </cell>
          <cell r="AS5">
            <v>6.6791101610088333E-3</v>
          </cell>
          <cell r="AT5">
            <v>-3.7969387741235955E-2</v>
          </cell>
          <cell r="AU5">
            <v>1.35646287583856E-2</v>
          </cell>
          <cell r="AV5">
            <v>-6.5236586500203461E-2</v>
          </cell>
          <cell r="AW5">
            <v>-4.4423984665246857E-2</v>
          </cell>
          <cell r="AX5">
            <v>-4.7667979497943644E-2</v>
          </cell>
          <cell r="AY5">
            <v>5.3903574221268319E-3</v>
          </cell>
          <cell r="AZ5">
            <v>-0.13234559174438426</v>
          </cell>
          <cell r="BA5">
            <v>-3.2917800128418148E-2</v>
          </cell>
          <cell r="BB5">
            <v>8.9377713213655216E-2</v>
          </cell>
          <cell r="BC5">
            <v>7.4842306511646195E-2</v>
          </cell>
          <cell r="BD5">
            <v>2.631679399905329E-2</v>
          </cell>
          <cell r="BE5">
            <v>8.7526987107151219E-2</v>
          </cell>
          <cell r="BF5">
            <v>7.7307544625655922E-2</v>
          </cell>
          <cell r="BG5">
            <v>8.2712072547883611E-2</v>
          </cell>
          <cell r="BH5">
            <v>3.5532064220425569E-2</v>
          </cell>
          <cell r="BI5">
            <v>8.3322963235088227E-2</v>
          </cell>
          <cell r="BJ5">
            <v>1.9907329387054071E-2</v>
          </cell>
          <cell r="BK5">
            <v>-2.6144721132349225E-2</v>
          </cell>
          <cell r="BL5">
            <v>-1.5678863330086529E-2</v>
          </cell>
          <cell r="BM5">
            <v>8.9361799935551225E-3</v>
          </cell>
          <cell r="BN5">
            <v>2.9676089731761054E-2</v>
          </cell>
          <cell r="BO5">
            <v>2.9159784167672127E-2</v>
          </cell>
          <cell r="BP5">
            <v>5.221487169272198E-2</v>
          </cell>
          <cell r="BQ5">
            <v>-2.0924242791536457E-2</v>
          </cell>
          <cell r="BR5">
            <v>-1.2E-2</v>
          </cell>
          <cell r="BS5">
            <v>1.4999999999999999E-2</v>
          </cell>
          <cell r="BT5">
            <v>0.01</v>
          </cell>
        </row>
        <row r="6">
          <cell r="B6" t="str">
            <v>Service/Other</v>
          </cell>
          <cell r="C6">
            <v>0</v>
          </cell>
          <cell r="D6">
            <v>0</v>
          </cell>
          <cell r="E6">
            <v>0</v>
          </cell>
          <cell r="F6">
            <v>0</v>
          </cell>
          <cell r="G6">
            <v>0</v>
          </cell>
          <cell r="H6">
            <v>0</v>
          </cell>
          <cell r="I6">
            <v>0</v>
          </cell>
          <cell r="J6">
            <v>0</v>
          </cell>
          <cell r="K6">
            <v>0.16064024324637824</v>
          </cell>
          <cell r="L6">
            <v>0.20277359172876583</v>
          </cell>
          <cell r="M6">
            <v>0.19809808398951512</v>
          </cell>
          <cell r="N6">
            <v>0.17041688629266882</v>
          </cell>
          <cell r="O6">
            <v>0.33519796487279491</v>
          </cell>
          <cell r="P6">
            <v>0.32388824468036675</v>
          </cell>
          <cell r="Q6">
            <v>0.29590023927040038</v>
          </cell>
          <cell r="R6">
            <v>0.33244560753603974</v>
          </cell>
          <cell r="S6">
            <v>0.10586411589493223</v>
          </cell>
          <cell r="T6">
            <v>0.14205708225963498</v>
          </cell>
          <cell r="U6">
            <v>0.16107834008030719</v>
          </cell>
          <cell r="V6">
            <v>0.12149051772317082</v>
          </cell>
          <cell r="W6">
            <v>0.12346887977617685</v>
          </cell>
          <cell r="X6">
            <v>0.12872467222884376</v>
          </cell>
          <cell r="Y6">
            <v>7.5818495117748519E-2</v>
          </cell>
          <cell r="Z6">
            <v>0.12756850359355162</v>
          </cell>
          <cell r="AA6">
            <v>9.8182684835882716E-2</v>
          </cell>
          <cell r="AB6">
            <v>8.8142203714728681E-2</v>
          </cell>
          <cell r="AC6">
            <v>8.8884726670733993E-2</v>
          </cell>
          <cell r="AD6">
            <v>9.2304100275483636E-2</v>
          </cell>
          <cell r="AE6">
            <v>0.16050019422797218</v>
          </cell>
          <cell r="AF6">
            <v>0.11</v>
          </cell>
          <cell r="AG6">
            <v>0.11</v>
          </cell>
          <cell r="AH6">
            <v>0.1001889333765732</v>
          </cell>
          <cell r="AI6">
            <v>4.4120848040682982E-2</v>
          </cell>
          <cell r="AJ6">
            <v>0.06</v>
          </cell>
          <cell r="AK6">
            <v>0.06</v>
          </cell>
          <cell r="AL6">
            <v>7.0000000000000007E-2</v>
          </cell>
          <cell r="AN6" t="str">
            <v>Service/Other</v>
          </cell>
          <cell r="AO6">
            <v>0</v>
          </cell>
          <cell r="AP6">
            <v>0</v>
          </cell>
          <cell r="AQ6">
            <v>0</v>
          </cell>
          <cell r="AR6">
            <v>0</v>
          </cell>
          <cell r="AS6">
            <v>0.16064024324637824</v>
          </cell>
          <cell r="AT6">
            <v>0.20277359172876583</v>
          </cell>
          <cell r="AU6">
            <v>0.19809808398951512</v>
          </cell>
          <cell r="AV6">
            <v>0.17041688629266882</v>
          </cell>
          <cell r="AW6">
            <v>0.49583820811917312</v>
          </cell>
          <cell r="AX6">
            <v>0.52666183640913256</v>
          </cell>
          <cell r="AY6">
            <v>0.49399832325991549</v>
          </cell>
          <cell r="AZ6">
            <v>0.50286249382870851</v>
          </cell>
          <cell r="BA6">
            <v>0.44106208076772713</v>
          </cell>
          <cell r="BB6">
            <v>0.46594532694000174</v>
          </cell>
          <cell r="BC6">
            <v>0.45697857935070757</v>
          </cell>
          <cell r="BD6">
            <v>0.45393612525921057</v>
          </cell>
          <cell r="BE6">
            <v>0.2293329956711091</v>
          </cell>
          <cell r="BF6">
            <v>0.27078175448847874</v>
          </cell>
          <cell r="BG6">
            <v>0.23689683519805571</v>
          </cell>
          <cell r="BH6">
            <v>0.24905902131672245</v>
          </cell>
          <cell r="BI6">
            <v>0.22165156461205957</v>
          </cell>
          <cell r="BJ6">
            <v>0.21686687594357246</v>
          </cell>
          <cell r="BK6">
            <v>0.16470322178848251</v>
          </cell>
          <cell r="BL6">
            <v>0.21987260386903526</v>
          </cell>
          <cell r="BM6">
            <v>0.2586828790638549</v>
          </cell>
          <cell r="BN6">
            <v>0.19814220371472868</v>
          </cell>
          <cell r="BO6">
            <v>0.19888472667073398</v>
          </cell>
          <cell r="BP6">
            <v>0.19249303365205683</v>
          </cell>
          <cell r="BQ6">
            <v>0.20462104226865516</v>
          </cell>
          <cell r="BR6">
            <v>0.16999999999999998</v>
          </cell>
          <cell r="BS6">
            <v>0.16999999999999998</v>
          </cell>
          <cell r="BT6">
            <v>0.1701889333765732</v>
          </cell>
        </row>
        <row r="7">
          <cell r="B7" t="str">
            <v>Imaging Components</v>
          </cell>
          <cell r="C7">
            <v>0.10005157220505356</v>
          </cell>
          <cell r="D7">
            <v>0.12093644082249363</v>
          </cell>
          <cell r="E7">
            <v>0.19187932302880947</v>
          </cell>
          <cell r="F7">
            <v>0.19196419064131953</v>
          </cell>
          <cell r="G7">
            <v>0.24968219579375786</v>
          </cell>
          <cell r="H7">
            <v>0.18754731873215494</v>
          </cell>
          <cell r="I7">
            <v>-8.7294719453171132E-2</v>
          </cell>
          <cell r="J7">
            <v>0.12374058210327391</v>
          </cell>
          <cell r="K7">
            <v>2.8181129079947159E-2</v>
          </cell>
          <cell r="L7">
            <v>0.16337391094977469</v>
          </cell>
          <cell r="M7">
            <v>0.51860133074276182</v>
          </cell>
          <cell r="N7">
            <v>0.17653699718421378</v>
          </cell>
          <cell r="O7">
            <v>0.22900514471137584</v>
          </cell>
          <cell r="P7">
            <v>0.13525268077525446</v>
          </cell>
          <cell r="Q7">
            <v>0.14741037914859381</v>
          </cell>
          <cell r="R7">
            <v>7.6375736930391402E-2</v>
          </cell>
          <cell r="S7">
            <v>0.13947084161408946</v>
          </cell>
          <cell r="T7">
            <v>0.18675721561969461</v>
          </cell>
          <cell r="U7">
            <v>0.28550994601231505</v>
          </cell>
          <cell r="V7">
            <v>0.37377870758873771</v>
          </cell>
          <cell r="W7">
            <v>0.17604094858823718</v>
          </cell>
          <cell r="X7">
            <v>0.19027181688125894</v>
          </cell>
          <cell r="Y7">
            <v>4.8424962405007453E-2</v>
          </cell>
          <cell r="Z7">
            <v>0.06</v>
          </cell>
          <cell r="AA7">
            <v>8.5875393081761009E-2</v>
          </cell>
          <cell r="AB7">
            <v>3.248080426860997E-2</v>
          </cell>
          <cell r="AC7">
            <v>1.3149835957468641E-2</v>
          </cell>
          <cell r="AD7">
            <v>5.3795576808128853E-3</v>
          </cell>
          <cell r="AE7">
            <v>5.2736618718710326E-2</v>
          </cell>
          <cell r="AF7">
            <v>8.7658195684576501E-2</v>
          </cell>
          <cell r="AG7">
            <v>0.14000000000000001</v>
          </cell>
          <cell r="AH7">
            <v>0.14000000000000001</v>
          </cell>
          <cell r="AI7">
            <v>8.4120848040682983E-2</v>
          </cell>
          <cell r="AJ7">
            <v>0.04</v>
          </cell>
          <cell r="AK7">
            <v>0.04</v>
          </cell>
          <cell r="AL7">
            <v>0.04</v>
          </cell>
          <cell r="AN7" t="str">
            <v>Imaging Components</v>
          </cell>
          <cell r="AO7">
            <v>0.3497337679988114</v>
          </cell>
          <cell r="AP7">
            <v>0.30848375955464857</v>
          </cell>
          <cell r="AQ7">
            <v>0.10458460357563834</v>
          </cell>
          <cell r="AR7">
            <v>0.31570477274459341</v>
          </cell>
          <cell r="AS7">
            <v>0.27786332487370502</v>
          </cell>
          <cell r="AT7">
            <v>0.35092122968192963</v>
          </cell>
          <cell r="AU7">
            <v>0.43130661128959069</v>
          </cell>
          <cell r="AV7">
            <v>0.30027757928748766</v>
          </cell>
          <cell r="AW7">
            <v>0.25718627379132297</v>
          </cell>
          <cell r="AX7">
            <v>0.29862659172502914</v>
          </cell>
          <cell r="AY7">
            <v>0.66601170989135561</v>
          </cell>
          <cell r="AZ7">
            <v>0.25291273411460519</v>
          </cell>
          <cell r="BA7">
            <v>0.3684759863254653</v>
          </cell>
          <cell r="BB7">
            <v>0.32200989639494904</v>
          </cell>
          <cell r="BC7">
            <v>0.43292032516090884</v>
          </cell>
          <cell r="BD7">
            <v>0.45015444451912912</v>
          </cell>
          <cell r="BE7">
            <v>0.31551179020232667</v>
          </cell>
          <cell r="BF7">
            <v>0.37702903250095354</v>
          </cell>
          <cell r="BG7">
            <v>0.33393490841732248</v>
          </cell>
          <cell r="BH7">
            <v>0.43377870758873771</v>
          </cell>
          <cell r="BI7">
            <v>0.26191634166999822</v>
          </cell>
          <cell r="BJ7">
            <v>0.22275262114986891</v>
          </cell>
          <cell r="BK7">
            <v>6.1574798362476091E-2</v>
          </cell>
          <cell r="BL7">
            <v>6.5379557680812883E-2</v>
          </cell>
          <cell r="BM7">
            <v>0.13861201180047134</v>
          </cell>
          <cell r="BN7">
            <v>0.12013899995318647</v>
          </cell>
          <cell r="BO7">
            <v>0.15314983595746864</v>
          </cell>
          <cell r="BP7">
            <v>0.1453795576808129</v>
          </cell>
          <cell r="BQ7">
            <v>0.13685746675939331</v>
          </cell>
          <cell r="BR7">
            <v>0.12765819568457651</v>
          </cell>
          <cell r="BS7">
            <v>0.18000000000000002</v>
          </cell>
          <cell r="BT7">
            <v>0.18000000000000002</v>
          </cell>
        </row>
        <row r="8">
          <cell r="B8" t="str">
            <v>Other/Proton</v>
          </cell>
          <cell r="C8">
            <v>1.3000522162361698</v>
          </cell>
          <cell r="D8">
            <v>0.17168943560961333</v>
          </cell>
          <cell r="E8">
            <v>-3.3845174588135324E-2</v>
          </cell>
          <cell r="F8">
            <v>2.6197448011492028</v>
          </cell>
          <cell r="G8">
            <v>0.19229158626784562</v>
          </cell>
          <cell r="H8">
            <v>7.5708564839379072E-2</v>
          </cell>
          <cell r="I8">
            <v>-0.31509105801694259</v>
          </cell>
          <cell r="J8">
            <v>-0.15734569074661917</v>
          </cell>
          <cell r="K8">
            <v>-0.23703558896718727</v>
          </cell>
          <cell r="L8">
            <v>-0.21404744021138869</v>
          </cell>
          <cell r="M8">
            <v>0.36805794100763267</v>
          </cell>
          <cell r="N8">
            <v>0.50719808964143376</v>
          </cell>
          <cell r="O8">
            <v>-0.17514065512810034</v>
          </cell>
          <cell r="P8">
            <v>0.18842925369837241</v>
          </cell>
          <cell r="Q8">
            <v>-0.22238802068973437</v>
          </cell>
          <cell r="R8">
            <v>0.49784051849358185</v>
          </cell>
          <cell r="S8">
            <v>-0.40277680394605725</v>
          </cell>
          <cell r="T8">
            <v>-0.33640958031202528</v>
          </cell>
          <cell r="U8">
            <v>-0.57235274988666085</v>
          </cell>
          <cell r="V8">
            <v>-0.85568588767962539</v>
          </cell>
          <cell r="W8">
            <v>-0.56783590543205309</v>
          </cell>
          <cell r="X8">
            <v>0.33774834437087198</v>
          </cell>
          <cell r="Y8">
            <v>4.1136450392093203E-2</v>
          </cell>
          <cell r="Z8">
            <v>1.9439518358032863</v>
          </cell>
          <cell r="AA8">
            <v>1.1819404337321779</v>
          </cell>
          <cell r="AB8">
            <v>-0.66631251256307389</v>
          </cell>
          <cell r="AC8">
            <v>0.13964756224385419</v>
          </cell>
          <cell r="AD8">
            <v>0.29479768786126659</v>
          </cell>
          <cell r="AE8">
            <v>-1.0747921387804282E-2</v>
          </cell>
          <cell r="AF8">
            <v>0.57962427982691755</v>
          </cell>
          <cell r="AG8">
            <v>0.58198566540848229</v>
          </cell>
          <cell r="AH8">
            <v>0.58866801802616919</v>
          </cell>
          <cell r="AI8">
            <v>0.48157012020050194</v>
          </cell>
          <cell r="AJ8">
            <v>0.49043926445934766</v>
          </cell>
          <cell r="AK8">
            <v>0.47727983158121612</v>
          </cell>
          <cell r="AL8">
            <v>0.36860751974431727</v>
          </cell>
          <cell r="AN8" t="str">
            <v>Other/Proton</v>
          </cell>
          <cell r="AO8">
            <v>1.4923438025040154</v>
          </cell>
          <cell r="AP8">
            <v>0.24739800044899241</v>
          </cell>
          <cell r="AQ8">
            <v>-0.34893623260507789</v>
          </cell>
          <cell r="AR8">
            <v>2.4623991104025835</v>
          </cell>
          <cell r="AS8">
            <v>-4.4744002699341645E-2</v>
          </cell>
          <cell r="AT8">
            <v>-0.13833887537200962</v>
          </cell>
          <cell r="AU8">
            <v>5.2966882990690078E-2</v>
          </cell>
          <cell r="AV8">
            <v>0.34985239889481456</v>
          </cell>
          <cell r="AW8">
            <v>-0.41217624409528764</v>
          </cell>
          <cell r="AX8">
            <v>-2.5618186513016283E-2</v>
          </cell>
          <cell r="AY8">
            <v>0.1456699203178983</v>
          </cell>
          <cell r="AZ8">
            <v>1.0050386081350156</v>
          </cell>
          <cell r="BA8">
            <v>-0.57791745907415759</v>
          </cell>
          <cell r="BB8">
            <v>-0.14798032661365287</v>
          </cell>
          <cell r="BC8">
            <v>-0.79474077057639525</v>
          </cell>
          <cell r="BD8">
            <v>-0.35784536918604354</v>
          </cell>
          <cell r="BE8">
            <v>-0.97061270937811028</v>
          </cell>
          <cell r="BF8">
            <v>1.3387640588466976E-3</v>
          </cell>
          <cell r="BG8">
            <v>-0.53121629949456761</v>
          </cell>
          <cell r="BH8">
            <v>1.088265948123661</v>
          </cell>
          <cell r="BI8">
            <v>0.61410452830012485</v>
          </cell>
          <cell r="BJ8">
            <v>-0.32856416819220191</v>
          </cell>
          <cell r="BK8">
            <v>0.1807840126359474</v>
          </cell>
          <cell r="BL8">
            <v>2.2387495236645529</v>
          </cell>
          <cell r="BM8">
            <v>1.1711925123443736</v>
          </cell>
          <cell r="BN8">
            <v>-8.6688232736156334E-2</v>
          </cell>
          <cell r="BO8">
            <v>0.72163322765233651</v>
          </cell>
          <cell r="BP8">
            <v>0.88346570588743578</v>
          </cell>
          <cell r="BQ8">
            <v>0.47082219881269766</v>
          </cell>
          <cell r="BR8">
            <v>1.0700635442862652</v>
          </cell>
          <cell r="BS8">
            <v>1.0592654969896984</v>
          </cell>
          <cell r="BT8">
            <v>0.95727553777048646</v>
          </cell>
        </row>
        <row r="9">
          <cell r="B9" t="str">
            <v>Product</v>
          </cell>
          <cell r="C9">
            <v>1.47887323943662</v>
          </cell>
          <cell r="D9">
            <v>1.791666666666667</v>
          </cell>
          <cell r="E9">
            <v>0.7777777777777779</v>
          </cell>
          <cell r="F9">
            <v>0.28947368421052633</v>
          </cell>
          <cell r="G9">
            <v>0.21590909090909083</v>
          </cell>
          <cell r="H9">
            <v>1.990049751243772E-2</v>
          </cell>
          <cell r="I9">
            <v>-0.45192307692307687</v>
          </cell>
          <cell r="J9">
            <v>-0.19591836734693868</v>
          </cell>
          <cell r="K9">
            <v>-0.42056074766355134</v>
          </cell>
          <cell r="L9">
            <v>-0.38536585365853659</v>
          </cell>
          <cell r="M9">
            <v>0.30701754385964919</v>
          </cell>
          <cell r="N9">
            <v>0.42639593908629436</v>
          </cell>
          <cell r="O9">
            <v>-0.15322580645161288</v>
          </cell>
          <cell r="P9">
            <v>0.43650793650793673</v>
          </cell>
          <cell r="Q9">
            <v>-0.2483221476510068</v>
          </cell>
          <cell r="R9">
            <v>0.60854092526690362</v>
          </cell>
          <cell r="S9">
            <v>-0.26857142857143546</v>
          </cell>
          <cell r="T9">
            <v>-0.31424309392265604</v>
          </cell>
          <cell r="U9">
            <v>-0.50611607142857151</v>
          </cell>
          <cell r="V9">
            <v>-0.89387831858407119</v>
          </cell>
          <cell r="W9">
            <v>-0.59694010416666066</v>
          </cell>
          <cell r="X9">
            <v>0.46143310613752186</v>
          </cell>
          <cell r="Y9">
            <v>-0.18119858989423643</v>
          </cell>
          <cell r="Z9">
            <v>2.3433610607292779</v>
          </cell>
          <cell r="AA9">
            <v>1.519786787271832</v>
          </cell>
          <cell r="AB9">
            <v>-0.72435996383602785</v>
          </cell>
          <cell r="AC9">
            <v>0.36006358738849209</v>
          </cell>
          <cell r="AD9">
            <v>0.35560668699452624</v>
          </cell>
          <cell r="AE9">
            <v>-7.6923076923076872E-2</v>
          </cell>
          <cell r="AF9">
            <v>0.59</v>
          </cell>
          <cell r="AG9">
            <v>0.59</v>
          </cell>
          <cell r="AH9">
            <v>0.59</v>
          </cell>
          <cell r="AI9">
            <v>0.375</v>
          </cell>
          <cell r="AJ9">
            <v>0.35</v>
          </cell>
          <cell r="AK9">
            <v>0.35</v>
          </cell>
          <cell r="AL9">
            <v>0.35</v>
          </cell>
          <cell r="AN9" t="str">
            <v>Product</v>
          </cell>
          <cell r="AO9">
            <v>1.6947823303457108</v>
          </cell>
          <cell r="AP9">
            <v>1.8115671641791047</v>
          </cell>
          <cell r="AQ9">
            <v>0.32585470085470103</v>
          </cell>
          <cell r="AR9">
            <v>9.3555316863587645E-2</v>
          </cell>
          <cell r="AS9">
            <v>-0.20465165675446051</v>
          </cell>
          <cell r="AT9">
            <v>-0.36546535614609887</v>
          </cell>
          <cell r="AU9">
            <v>-0.14490553306342768</v>
          </cell>
          <cell r="AV9">
            <v>0.23047757173935568</v>
          </cell>
          <cell r="AW9">
            <v>-0.57378655411516422</v>
          </cell>
          <cell r="AX9">
            <v>5.1142082849400139E-2</v>
          </cell>
          <cell r="AY9">
            <v>5.8695396208642392E-2</v>
          </cell>
          <cell r="AZ9">
            <v>1.034936864353198</v>
          </cell>
          <cell r="BA9">
            <v>-0.42179723502304833</v>
          </cell>
          <cell r="BB9">
            <v>0.1222648425852807</v>
          </cell>
          <cell r="BC9">
            <v>-0.75443821907957831</v>
          </cell>
          <cell r="BD9">
            <v>-0.28533739331716756</v>
          </cell>
          <cell r="BE9">
            <v>-0.86551153273809611</v>
          </cell>
          <cell r="BF9">
            <v>0.14719001221486583</v>
          </cell>
          <cell r="BG9">
            <v>-0.68731466132280794</v>
          </cell>
          <cell r="BH9">
            <v>1.4494827421452068</v>
          </cell>
          <cell r="BI9">
            <v>0.92284668310517137</v>
          </cell>
          <cell r="BJ9">
            <v>-0.26292685769850599</v>
          </cell>
          <cell r="BK9">
            <v>0.17886499749425566</v>
          </cell>
          <cell r="BL9">
            <v>2.6989677477238043</v>
          </cell>
          <cell r="BM9">
            <v>1.4428637103487552</v>
          </cell>
          <cell r="BN9">
            <v>-0.13435996383602788</v>
          </cell>
          <cell r="BO9">
            <v>0.95006358738849206</v>
          </cell>
          <cell r="BP9">
            <v>0.94560668699452621</v>
          </cell>
          <cell r="BQ9">
            <v>0.29807692307692313</v>
          </cell>
          <cell r="BR9">
            <v>0.94</v>
          </cell>
          <cell r="BS9">
            <v>0.94</v>
          </cell>
          <cell r="BT9">
            <v>0.94</v>
          </cell>
        </row>
        <row r="10">
          <cell r="B10" t="str">
            <v>Service/Other</v>
          </cell>
          <cell r="C10">
            <v>0.7292787944025767</v>
          </cell>
          <cell r="D10">
            <v>-0.80124330858227699</v>
          </cell>
          <cell r="E10">
            <v>-0.84328221978824447</v>
          </cell>
          <cell r="F10">
            <v>-1.1960081883316322</v>
          </cell>
          <cell r="G10">
            <v>-7.5941487706205124E-2</v>
          </cell>
          <cell r="H10">
            <v>0.1689834926150775</v>
          </cell>
          <cell r="I10">
            <v>0.78858474082701036</v>
          </cell>
          <cell r="J10">
            <v>0.14403829416886871</v>
          </cell>
          <cell r="K10">
            <v>1.3597170764567146</v>
          </cell>
          <cell r="L10">
            <v>1.3303604607952573</v>
          </cell>
          <cell r="M10">
            <v>0.61217844350377537</v>
          </cell>
          <cell r="N10">
            <v>0.96158235070363052</v>
          </cell>
          <cell r="O10">
            <v>-0.23608335712246364</v>
          </cell>
          <cell r="P10">
            <v>-0.2576941476638398</v>
          </cell>
          <cell r="Q10">
            <v>-1.0300949303179596E-2</v>
          </cell>
          <cell r="R10">
            <v>0.1052937754508021</v>
          </cell>
          <cell r="S10">
            <v>-0.64125560538116932</v>
          </cell>
          <cell r="T10">
            <v>-0.42259935553169781</v>
          </cell>
          <cell r="U10">
            <v>-0.80234693877551022</v>
          </cell>
          <cell r="V10">
            <v>-0.80643859649122884</v>
          </cell>
          <cell r="W10">
            <v>-0.47682291666665866</v>
          </cell>
          <cell r="X10">
            <v>-0.23342510603466859</v>
          </cell>
          <cell r="Y10">
            <v>1.2414042333505559</v>
          </cell>
          <cell r="Z10">
            <v>0.14465693827608961</v>
          </cell>
          <cell r="AA10">
            <v>9.5072175211542209E-2</v>
          </cell>
          <cell r="AB10">
            <v>-0.32052028732285143</v>
          </cell>
          <cell r="AC10">
            <v>-0.29058411645476812</v>
          </cell>
          <cell r="AD10">
            <v>-0.47739330113231948</v>
          </cell>
          <cell r="AE10">
            <v>0.27272727272727249</v>
          </cell>
          <cell r="AF10">
            <v>0.5</v>
          </cell>
          <cell r="AG10">
            <v>0.5</v>
          </cell>
          <cell r="AH10">
            <v>0.5</v>
          </cell>
          <cell r="AI10">
            <v>1</v>
          </cell>
          <cell r="AJ10">
            <v>1</v>
          </cell>
          <cell r="AK10">
            <v>1</v>
          </cell>
          <cell r="AL10">
            <v>1</v>
          </cell>
          <cell r="AN10" t="str">
            <v>Service/Other</v>
          </cell>
          <cell r="AO10">
            <v>0.65333730669637158</v>
          </cell>
          <cell r="AP10">
            <v>-0.63225981596719949</v>
          </cell>
          <cell r="AQ10">
            <v>-5.4697478961234114E-2</v>
          </cell>
          <cell r="AR10">
            <v>-1.0519698941627635</v>
          </cell>
          <cell r="AS10">
            <v>1.2837755887505096</v>
          </cell>
          <cell r="AT10">
            <v>1.4993439534103348</v>
          </cell>
          <cell r="AU10">
            <v>1.4007631843307857</v>
          </cell>
          <cell r="AV10">
            <v>1.1056206448724992</v>
          </cell>
          <cell r="AW10">
            <v>1.1236337193342509</v>
          </cell>
          <cell r="AX10">
            <v>1.0726663131314176</v>
          </cell>
          <cell r="AY10">
            <v>0.60187749420059578</v>
          </cell>
          <cell r="AZ10">
            <v>1.0668761261544326</v>
          </cell>
          <cell r="BA10">
            <v>-0.87733896250363297</v>
          </cell>
          <cell r="BB10">
            <v>-0.68029350319553761</v>
          </cell>
          <cell r="BC10">
            <v>-0.81264788807868982</v>
          </cell>
          <cell r="BD10">
            <v>-0.70114482104042675</v>
          </cell>
          <cell r="BE10">
            <v>-1.118078522047828</v>
          </cell>
          <cell r="BF10">
            <v>-0.6560244615663664</v>
          </cell>
          <cell r="BG10">
            <v>0.43905729457504572</v>
          </cell>
          <cell r="BH10">
            <v>-0.66178165821513923</v>
          </cell>
          <cell r="BI10">
            <v>-0.38175074145511645</v>
          </cell>
          <cell r="BJ10">
            <v>-0.55394539335752002</v>
          </cell>
          <cell r="BK10">
            <v>0.95082011689578783</v>
          </cell>
          <cell r="BL10">
            <v>-0.33273636285622987</v>
          </cell>
          <cell r="BM10">
            <v>0.36779944793881469</v>
          </cell>
          <cell r="BN10">
            <v>0.17947971267714857</v>
          </cell>
          <cell r="BO10">
            <v>0.20941588354523188</v>
          </cell>
          <cell r="BP10">
            <v>2.2606698867680519E-2</v>
          </cell>
          <cell r="BQ10">
            <v>1.2727272727272725</v>
          </cell>
          <cell r="BR10">
            <v>1.5</v>
          </cell>
          <cell r="BS10">
            <v>1.5</v>
          </cell>
          <cell r="BT10">
            <v>1.5</v>
          </cell>
        </row>
        <row r="11">
          <cell r="B11" t="str">
            <v>WW Sales</v>
          </cell>
          <cell r="C11">
            <v>0.14000000000000001</v>
          </cell>
          <cell r="D11">
            <v>0.15</v>
          </cell>
          <cell r="E11">
            <v>0.17</v>
          </cell>
          <cell r="F11">
            <v>0.12</v>
          </cell>
          <cell r="G11">
            <v>0.14877358872576554</v>
          </cell>
          <cell r="H11">
            <v>0.10836824875307674</v>
          </cell>
          <cell r="I11">
            <v>4.7075218238264216E-2</v>
          </cell>
          <cell r="J11">
            <v>9.2483023584816554E-2</v>
          </cell>
          <cell r="K11">
            <v>0.03</v>
          </cell>
          <cell r="L11">
            <v>0.03</v>
          </cell>
          <cell r="M11">
            <v>0.13</v>
          </cell>
          <cell r="N11">
            <v>3.356714276052343E-2</v>
          </cell>
          <cell r="O11">
            <v>0.08</v>
          </cell>
          <cell r="P11">
            <v>0.09</v>
          </cell>
          <cell r="Q11">
            <v>0.09</v>
          </cell>
          <cell r="R11">
            <v>7.0000000000000007E-2</v>
          </cell>
          <cell r="S11">
            <v>7.0000000000000007E-2</v>
          </cell>
          <cell r="T11">
            <v>0.11079411832740882</v>
          </cell>
          <cell r="U11">
            <v>0.11</v>
          </cell>
          <cell r="V11">
            <v>0.08</v>
          </cell>
          <cell r="W11">
            <v>0.09</v>
          </cell>
          <cell r="X11">
            <v>6.6777731500763604E-2</v>
          </cell>
          <cell r="Y11">
            <v>0.04</v>
          </cell>
          <cell r="Z11">
            <v>0.03</v>
          </cell>
          <cell r="AA11">
            <v>0.06</v>
          </cell>
          <cell r="AB11">
            <v>0.03</v>
          </cell>
          <cell r="AC11">
            <v>0.02</v>
          </cell>
          <cell r="AD11">
            <v>5.4812313287440073E-2</v>
          </cell>
          <cell r="AE11">
            <v>0.06</v>
          </cell>
          <cell r="AF11">
            <v>5.0463237587136507E-2</v>
          </cell>
          <cell r="AG11">
            <v>9.6070335192784961E-2</v>
          </cell>
          <cell r="AH11">
            <v>8.0717288890475691E-2</v>
          </cell>
          <cell r="AI11">
            <v>3.3099783901401447E-2</v>
          </cell>
          <cell r="AJ11">
            <v>3.3885170316234905E-2</v>
          </cell>
          <cell r="AK11">
            <v>1.7620576305378277E-2</v>
          </cell>
          <cell r="AL11">
            <v>4.5918196421259383E-2</v>
          </cell>
          <cell r="AN11" t="str">
            <v>WW Sales</v>
          </cell>
          <cell r="AO11">
            <v>0.28877358872576553</v>
          </cell>
          <cell r="AP11">
            <v>0.25836824875307673</v>
          </cell>
          <cell r="AQ11">
            <v>0.21707521823826423</v>
          </cell>
          <cell r="AR11">
            <v>0.21248302358481655</v>
          </cell>
          <cell r="AS11">
            <v>0.17877358872576554</v>
          </cell>
          <cell r="AT11">
            <v>0.13836824875307674</v>
          </cell>
          <cell r="AU11">
            <v>0.17707521823826422</v>
          </cell>
          <cell r="AV11">
            <v>0.12605016634534</v>
          </cell>
          <cell r="AW11">
            <v>0.11</v>
          </cell>
          <cell r="AX11">
            <v>0.12</v>
          </cell>
          <cell r="AY11">
            <v>0.22</v>
          </cell>
          <cell r="AZ11">
            <v>0.10356714276052344</v>
          </cell>
          <cell r="BA11">
            <v>0.15000000000000002</v>
          </cell>
          <cell r="BB11">
            <v>0.20079411832740882</v>
          </cell>
          <cell r="BC11">
            <v>0.2</v>
          </cell>
          <cell r="BD11">
            <v>0.15000000000000002</v>
          </cell>
          <cell r="BE11">
            <v>0.16</v>
          </cell>
          <cell r="BF11">
            <v>0.17757184982817242</v>
          </cell>
          <cell r="BG11">
            <v>0.15</v>
          </cell>
          <cell r="BH11">
            <v>0.11</v>
          </cell>
          <cell r="BI11">
            <v>0.15</v>
          </cell>
          <cell r="BJ11">
            <v>9.6777731500763603E-2</v>
          </cell>
          <cell r="BK11">
            <v>0.06</v>
          </cell>
          <cell r="BL11">
            <v>8.4812313287440072E-2</v>
          </cell>
          <cell r="BM11">
            <v>0.12</v>
          </cell>
          <cell r="BN11">
            <v>8.0463237587136499E-2</v>
          </cell>
          <cell r="BO11">
            <v>0.11607033519278497</v>
          </cell>
          <cell r="BP11">
            <v>0.13552960217791576</v>
          </cell>
          <cell r="BQ11">
            <v>9.3099783901401445E-2</v>
          </cell>
          <cell r="BR11">
            <v>8.434840790337142E-2</v>
          </cell>
          <cell r="BS11">
            <v>0.11369091149816324</v>
          </cell>
          <cell r="BT11">
            <v>0.12663548531173507</v>
          </cell>
        </row>
        <row r="13">
          <cell r="B13" t="str">
            <v xml:space="preserve">Varian Order Growth </v>
          </cell>
          <cell r="AN13" t="str">
            <v>2-Year $ Order Growth Trend</v>
          </cell>
        </row>
        <row r="14">
          <cell r="C14">
            <v>39447</v>
          </cell>
          <cell r="D14">
            <v>39538</v>
          </cell>
          <cell r="E14">
            <v>39629</v>
          </cell>
          <cell r="F14">
            <v>39721</v>
          </cell>
          <cell r="G14">
            <v>39813</v>
          </cell>
          <cell r="H14">
            <v>39903</v>
          </cell>
          <cell r="I14">
            <v>39994</v>
          </cell>
          <cell r="J14">
            <v>40086</v>
          </cell>
          <cell r="K14">
            <v>40178</v>
          </cell>
          <cell r="L14">
            <v>40268</v>
          </cell>
          <cell r="M14">
            <v>40359</v>
          </cell>
          <cell r="N14">
            <v>40451</v>
          </cell>
          <cell r="O14">
            <v>40543</v>
          </cell>
          <cell r="P14">
            <v>40633</v>
          </cell>
          <cell r="Q14">
            <v>40724</v>
          </cell>
          <cell r="R14">
            <v>40816</v>
          </cell>
          <cell r="S14">
            <v>40908.25</v>
          </cell>
          <cell r="T14">
            <v>40998.25</v>
          </cell>
          <cell r="U14">
            <v>41089.25</v>
          </cell>
          <cell r="V14">
            <v>41181.25</v>
          </cell>
          <cell r="W14">
            <v>41273.5</v>
          </cell>
          <cell r="X14">
            <v>41363.5</v>
          </cell>
          <cell r="Y14">
            <v>41454.5</v>
          </cell>
          <cell r="Z14">
            <v>41546.5</v>
          </cell>
          <cell r="AA14">
            <v>41638.75</v>
          </cell>
          <cell r="AB14">
            <v>41728.75</v>
          </cell>
          <cell r="AC14">
            <v>41819.75</v>
          </cell>
          <cell r="AD14">
            <v>41911.75</v>
          </cell>
          <cell r="AE14" t="str">
            <v>Dec-14**</v>
          </cell>
          <cell r="AF14">
            <v>42094</v>
          </cell>
          <cell r="AG14">
            <v>42185</v>
          </cell>
          <cell r="AH14">
            <v>42277</v>
          </cell>
          <cell r="AI14">
            <v>42369.25</v>
          </cell>
          <cell r="AJ14">
            <v>42459.25</v>
          </cell>
          <cell r="AK14">
            <v>42550.25</v>
          </cell>
          <cell r="AL14">
            <v>42642.25</v>
          </cell>
          <cell r="AO14">
            <v>39813</v>
          </cell>
          <cell r="AP14">
            <v>39903</v>
          </cell>
          <cell r="AQ14">
            <v>39994</v>
          </cell>
          <cell r="AR14">
            <v>40086</v>
          </cell>
          <cell r="AS14">
            <v>40178</v>
          </cell>
          <cell r="AT14">
            <v>40268</v>
          </cell>
          <cell r="AU14">
            <v>40359</v>
          </cell>
          <cell r="AV14">
            <v>40451</v>
          </cell>
          <cell r="AW14">
            <v>40543</v>
          </cell>
          <cell r="AX14">
            <v>40633</v>
          </cell>
          <cell r="AY14">
            <v>40724</v>
          </cell>
          <cell r="AZ14">
            <v>40816</v>
          </cell>
          <cell r="BA14">
            <v>40908.25</v>
          </cell>
          <cell r="BB14">
            <v>40998.25</v>
          </cell>
          <cell r="BC14">
            <v>41089.25</v>
          </cell>
          <cell r="BD14">
            <v>41181.25</v>
          </cell>
          <cell r="BE14">
            <v>41273.5</v>
          </cell>
          <cell r="BF14">
            <v>41363.5</v>
          </cell>
          <cell r="BG14">
            <v>41454.5</v>
          </cell>
          <cell r="BH14">
            <v>41546.5</v>
          </cell>
          <cell r="BI14">
            <v>41638.75</v>
          </cell>
          <cell r="BJ14">
            <v>41728.75</v>
          </cell>
          <cell r="BK14">
            <v>41819.75</v>
          </cell>
          <cell r="BL14">
            <v>41911.75</v>
          </cell>
          <cell r="BM14" t="str">
            <v>Dec-14**</v>
          </cell>
          <cell r="BN14">
            <v>42094</v>
          </cell>
          <cell r="BO14">
            <v>42185</v>
          </cell>
          <cell r="BP14">
            <v>42277</v>
          </cell>
          <cell r="BQ14">
            <v>42369.25</v>
          </cell>
          <cell r="BR14">
            <v>42459.25</v>
          </cell>
          <cell r="BS14">
            <v>42550.25</v>
          </cell>
          <cell r="BT14">
            <v>42642.25</v>
          </cell>
        </row>
        <row r="15">
          <cell r="B15" t="str">
            <v>Oncology Sys. (CC%)</v>
          </cell>
          <cell r="C15">
            <v>0.18</v>
          </cell>
          <cell r="D15">
            <v>0.08</v>
          </cell>
          <cell r="E15">
            <v>0.06</v>
          </cell>
          <cell r="F15">
            <v>0.14000000000000001</v>
          </cell>
          <cell r="G15">
            <v>0.11</v>
          </cell>
          <cell r="H15">
            <v>0.1</v>
          </cell>
          <cell r="I15">
            <v>0.03</v>
          </cell>
          <cell r="J15">
            <v>0.05</v>
          </cell>
          <cell r="K15">
            <v>-0.03</v>
          </cell>
          <cell r="L15">
            <v>0.06</v>
          </cell>
          <cell r="M15">
            <v>0.11</v>
          </cell>
          <cell r="N15">
            <v>0.17</v>
          </cell>
          <cell r="O15">
            <v>5.1546391752577359E-2</v>
          </cell>
          <cell r="P15">
            <v>9.2188156236875152E-2</v>
          </cell>
          <cell r="Q15">
            <v>9.1985787603632074E-2</v>
          </cell>
          <cell r="R15">
            <v>9.2127303182579778E-2</v>
          </cell>
          <cell r="S15">
            <v>2.6112667289137859E-2</v>
          </cell>
          <cell r="T15">
            <v>5.9576455077320567E-2</v>
          </cell>
          <cell r="U15">
            <v>-8.8833798161347399E-3</v>
          </cell>
          <cell r="V15">
            <v>8.0431838100549768E-2</v>
          </cell>
          <cell r="W15">
            <v>-1.6561011859625774E-2</v>
          </cell>
          <cell r="X15">
            <v>-1.7420157610949616E-2</v>
          </cell>
          <cell r="Y15">
            <v>3.6477331943720603E-2</v>
          </cell>
          <cell r="Z15">
            <v>7.8905645072082642E-3</v>
          </cell>
          <cell r="AA15">
            <v>5.7027418807636732E-2</v>
          </cell>
          <cell r="AB15">
            <v>3.2529548332629554E-2</v>
          </cell>
          <cell r="AC15">
            <v>4.1201608848667748E-2</v>
          </cell>
          <cell r="AD15">
            <v>0.1272727272727272</v>
          </cell>
          <cell r="AE15">
            <v>0.122459839499649</v>
          </cell>
          <cell r="AF15">
            <v>8.7611129588810094E-2</v>
          </cell>
          <cell r="AG15">
            <v>4.1310748628068591E-2</v>
          </cell>
          <cell r="AH15">
            <v>-1.8552279963628654E-2</v>
          </cell>
          <cell r="AI15">
            <v>7.6259589640172917E-3</v>
          </cell>
          <cell r="AJ15">
            <v>1.7551821833486723E-2</v>
          </cell>
          <cell r="AK15">
            <v>1.4842841723638145E-2</v>
          </cell>
          <cell r="AL15">
            <v>9.9048686532465791E-3</v>
          </cell>
          <cell r="AN15" t="str">
            <v>Oncology Sys. (CC%)</v>
          </cell>
          <cell r="AO15">
            <v>0.28999999999999998</v>
          </cell>
          <cell r="AP15">
            <v>0.18</v>
          </cell>
          <cell r="AQ15">
            <v>0.09</v>
          </cell>
          <cell r="AR15">
            <v>0.19</v>
          </cell>
          <cell r="AS15">
            <v>0.08</v>
          </cell>
          <cell r="AT15">
            <v>0.16</v>
          </cell>
          <cell r="AU15">
            <v>0.14000000000000001</v>
          </cell>
          <cell r="AV15">
            <v>0.22000000000000003</v>
          </cell>
          <cell r="AW15">
            <v>2.154639175257736E-2</v>
          </cell>
          <cell r="AX15">
            <v>0.15218815623687515</v>
          </cell>
          <cell r="AY15">
            <v>0.20198578760363206</v>
          </cell>
          <cell r="AZ15">
            <v>0.26212730318257982</v>
          </cell>
          <cell r="BA15">
            <v>7.7659059041715217E-2</v>
          </cell>
          <cell r="BB15">
            <v>0.15176461131419572</v>
          </cell>
          <cell r="BC15">
            <v>8.3102407787497334E-2</v>
          </cell>
          <cell r="BD15">
            <v>0.17255914128312955</v>
          </cell>
          <cell r="BE15">
            <v>9.5516554295120848E-3</v>
          </cell>
          <cell r="BF15">
            <v>4.2156297466370951E-2</v>
          </cell>
          <cell r="BG15">
            <v>2.7593952127585863E-2</v>
          </cell>
          <cell r="BH15">
            <v>8.8322402607758033E-2</v>
          </cell>
          <cell r="BI15">
            <v>4.0466406948010958E-2</v>
          </cell>
          <cell r="BJ15">
            <v>1.5109390721679938E-2</v>
          </cell>
          <cell r="BK15">
            <v>7.7678940792388351E-2</v>
          </cell>
          <cell r="BL15">
            <v>0.13516329177993547</v>
          </cell>
          <cell r="BM15">
            <v>0.17948725830728574</v>
          </cell>
          <cell r="BN15">
            <v>0.12014067792143965</v>
          </cell>
          <cell r="BO15">
            <v>8.2512357476736339E-2</v>
          </cell>
          <cell r="BP15">
            <v>0.10872044730909855</v>
          </cell>
          <cell r="BQ15">
            <v>0.1300857984636663</v>
          </cell>
          <cell r="BR15">
            <v>0.10516295142229681</v>
          </cell>
          <cell r="BS15">
            <v>5.6153590351706736E-2</v>
          </cell>
          <cell r="BT15">
            <v>-8.6474113103820749E-3</v>
          </cell>
        </row>
        <row r="16">
          <cell r="B16" t="str">
            <v>N. America (CC%)</v>
          </cell>
          <cell r="C16">
            <v>0.18140381968148889</v>
          </cell>
          <cell r="D16">
            <v>0.27715906107755739</v>
          </cell>
          <cell r="E16">
            <v>0.18173526923802497</v>
          </cell>
          <cell r="F16">
            <v>0.32194130938671428</v>
          </cell>
          <cell r="G16">
            <v>6.8439994769087908E-2</v>
          </cell>
          <cell r="H16">
            <v>3.8969759827108374E-2</v>
          </cell>
          <cell r="I16">
            <v>-8.19285864776923E-2</v>
          </cell>
          <cell r="J16">
            <v>-0.18737267698882898</v>
          </cell>
          <cell r="K16">
            <v>-0.11971370839713014</v>
          </cell>
          <cell r="L16">
            <v>-9.8513767410588149E-2</v>
          </cell>
          <cell r="M16">
            <v>0.11987694863661291</v>
          </cell>
          <cell r="N16">
            <v>0.22883029930833776</v>
          </cell>
          <cell r="O16">
            <v>0.18404734295011882</v>
          </cell>
          <cell r="P16">
            <v>0.11205156280967921</v>
          </cell>
          <cell r="Q16">
            <v>6.170148209256876E-4</v>
          </cell>
          <cell r="R16">
            <v>-1.4905335934591313E-2</v>
          </cell>
          <cell r="S16">
            <v>-0.14673889466699985</v>
          </cell>
          <cell r="T16">
            <v>9.3612215020527856E-2</v>
          </cell>
          <cell r="U16">
            <v>-4.076314425836336E-3</v>
          </cell>
          <cell r="V16">
            <v>8.2318045925088068E-2</v>
          </cell>
          <cell r="W16">
            <v>2.1016805975833552E-2</v>
          </cell>
          <cell r="X16">
            <v>-0.1038619434889485</v>
          </cell>
          <cell r="Y16">
            <v>-2.2788040281315536E-2</v>
          </cell>
          <cell r="Z16">
            <v>-9.3028550611455318E-2</v>
          </cell>
          <cell r="AA16">
            <v>0.10065614492329922</v>
          </cell>
          <cell r="AB16">
            <v>4.659517500174104E-2</v>
          </cell>
          <cell r="AC16">
            <v>0.13813241344068095</v>
          </cell>
          <cell r="AD16">
            <v>0.22722648758179775</v>
          </cell>
          <cell r="AE16">
            <v>-2.0000000000000018E-2</v>
          </cell>
          <cell r="AF16">
            <v>0.05</v>
          </cell>
          <cell r="AG16">
            <v>-0.02</v>
          </cell>
          <cell r="AH16">
            <v>-0.1</v>
          </cell>
          <cell r="AI16">
            <v>-0.05</v>
          </cell>
          <cell r="AJ16">
            <v>-0.05</v>
          </cell>
          <cell r="AK16">
            <v>-0.05</v>
          </cell>
          <cell r="AL16">
            <v>-0.05</v>
          </cell>
          <cell r="AN16" t="str">
            <v>N. America (CC%)</v>
          </cell>
          <cell r="AO16">
            <v>0.2498438144505768</v>
          </cell>
          <cell r="AP16">
            <v>0.31612882090466576</v>
          </cell>
          <cell r="AQ16">
            <v>9.9806682760332666E-2</v>
          </cell>
          <cell r="AR16">
            <v>0.1345686323978853</v>
          </cell>
          <cell r="AS16">
            <v>-5.1273713628042228E-2</v>
          </cell>
          <cell r="AT16">
            <v>-5.9544007583479774E-2</v>
          </cell>
          <cell r="AU16">
            <v>3.7948362158920612E-2</v>
          </cell>
          <cell r="AV16">
            <v>4.145762231950878E-2</v>
          </cell>
          <cell r="AW16">
            <v>6.4333634552988683E-2</v>
          </cell>
          <cell r="AX16">
            <v>1.3537795399091057E-2</v>
          </cell>
          <cell r="AY16">
            <v>0.1204939634575386</v>
          </cell>
          <cell r="AZ16">
            <v>0.21392496337374645</v>
          </cell>
          <cell r="BA16">
            <v>3.7308448283118967E-2</v>
          </cell>
          <cell r="BB16">
            <v>0.20566377783020706</v>
          </cell>
          <cell r="BC16">
            <v>-3.4592996049106484E-3</v>
          </cell>
          <cell r="BD16">
            <v>6.7412709990496755E-2</v>
          </cell>
          <cell r="BE16">
            <v>-0.1257220886911663</v>
          </cell>
          <cell r="BF16">
            <v>-1.0249728468420649E-2</v>
          </cell>
          <cell r="BG16">
            <v>-2.6864354707151872E-2</v>
          </cell>
          <cell r="BH16">
            <v>-1.071050468636725E-2</v>
          </cell>
          <cell r="BI16">
            <v>0.12167295089913277</v>
          </cell>
          <cell r="BJ16">
            <v>-5.7266768487207464E-2</v>
          </cell>
          <cell r="BK16">
            <v>0.11534437315936541</v>
          </cell>
          <cell r="BL16">
            <v>0.13419793697034244</v>
          </cell>
          <cell r="BM16">
            <v>8.06561449232992E-2</v>
          </cell>
          <cell r="BN16">
            <v>9.6595175001741043E-2</v>
          </cell>
          <cell r="BO16">
            <v>0.11813241344068094</v>
          </cell>
          <cell r="BP16">
            <v>0.12722648758179775</v>
          </cell>
          <cell r="BQ16">
            <v>-7.0000000000000021E-2</v>
          </cell>
          <cell r="BR16">
            <v>0</v>
          </cell>
          <cell r="BS16">
            <v>-7.0000000000000007E-2</v>
          </cell>
          <cell r="BT16">
            <v>-0.15000000000000002</v>
          </cell>
        </row>
        <row r="17">
          <cell r="B17" t="str">
            <v>Total Int'l (CC%)</v>
          </cell>
          <cell r="C17">
            <v>0.12603800505149632</v>
          </cell>
          <cell r="D17">
            <v>-8.6891778233107814E-2</v>
          </cell>
          <cell r="E17">
            <v>0.01</v>
          </cell>
          <cell r="F17">
            <v>-0.1125368953013981</v>
          </cell>
          <cell r="G17">
            <v>0.21641854571374228</v>
          </cell>
          <cell r="H17">
            <v>0.15</v>
          </cell>
          <cell r="I17">
            <v>0.16</v>
          </cell>
          <cell r="J17">
            <v>0.19268051919187018</v>
          </cell>
          <cell r="K17">
            <v>0.09</v>
          </cell>
          <cell r="L17">
            <v>0.26</v>
          </cell>
          <cell r="M17">
            <v>0.1</v>
          </cell>
          <cell r="N17">
            <v>8.1174463940216934E-2</v>
          </cell>
          <cell r="O17">
            <v>-0.04</v>
          </cell>
          <cell r="P17">
            <v>0.06</v>
          </cell>
          <cell r="Q17">
            <v>5.8373429582317532E-2</v>
          </cell>
          <cell r="R17">
            <v>0.16751387920647637</v>
          </cell>
          <cell r="S17">
            <v>0.22290992889705555</v>
          </cell>
          <cell r="T17">
            <v>3.385727369704223E-2</v>
          </cell>
          <cell r="U17">
            <v>5.016739859853353E-2</v>
          </cell>
          <cell r="V17">
            <v>0.14494990625067464</v>
          </cell>
          <cell r="W17">
            <v>-0.02</v>
          </cell>
          <cell r="X17">
            <v>9.9198825556955778E-2</v>
          </cell>
          <cell r="Y17">
            <v>0.14000368090163556</v>
          </cell>
          <cell r="Z17">
            <v>0.09</v>
          </cell>
          <cell r="AA17">
            <v>-3.5010671162678197E-2</v>
          </cell>
          <cell r="AB17">
            <v>4.124809558023676E-2</v>
          </cell>
          <cell r="AC17">
            <v>-5.2803428580244477E-2</v>
          </cell>
          <cell r="AD17">
            <v>3.2028021326194991E-2</v>
          </cell>
          <cell r="AE17">
            <v>0.28157992490088007</v>
          </cell>
          <cell r="AF17">
            <v>0.12</v>
          </cell>
          <cell r="AG17">
            <v>0.1</v>
          </cell>
          <cell r="AH17">
            <v>0.08</v>
          </cell>
          <cell r="AI17">
            <v>0.06</v>
          </cell>
          <cell r="AJ17">
            <v>0.08</v>
          </cell>
          <cell r="AK17">
            <v>0.08</v>
          </cell>
          <cell r="AL17">
            <v>0.08</v>
          </cell>
          <cell r="AN17" t="str">
            <v>Total Int'l (CC%)</v>
          </cell>
          <cell r="AO17">
            <v>0.34245655076523862</v>
          </cell>
          <cell r="AP17">
            <v>6.3108221766892181E-2</v>
          </cell>
          <cell r="AQ17">
            <v>0.17</v>
          </cell>
          <cell r="AR17">
            <v>8.0143623890472082E-2</v>
          </cell>
          <cell r="AS17">
            <v>0.30641854571374227</v>
          </cell>
          <cell r="AT17">
            <v>0.41000000000000003</v>
          </cell>
          <cell r="AU17">
            <v>0.26</v>
          </cell>
          <cell r="AV17">
            <v>0.27385498313208712</v>
          </cell>
          <cell r="AW17">
            <v>4.9999999999999996E-2</v>
          </cell>
          <cell r="AX17">
            <v>0.32</v>
          </cell>
          <cell r="AY17">
            <v>0.15837342958231754</v>
          </cell>
          <cell r="AZ17">
            <v>0.2486883431466933</v>
          </cell>
          <cell r="BA17">
            <v>0.18290992889705554</v>
          </cell>
          <cell r="BB17">
            <v>9.3857273697042221E-2</v>
          </cell>
          <cell r="BC17">
            <v>0.10854082818085106</v>
          </cell>
          <cell r="BD17">
            <v>0.31246378545715103</v>
          </cell>
          <cell r="BE17">
            <v>0.20290992889705556</v>
          </cell>
          <cell r="BF17">
            <v>0.133056099253998</v>
          </cell>
          <cell r="BG17">
            <v>0.19017107950016909</v>
          </cell>
          <cell r="BH17">
            <v>0.23494990625067463</v>
          </cell>
          <cell r="BI17">
            <v>-5.5010671162678201E-2</v>
          </cell>
          <cell r="BJ17">
            <v>0.14044692113719254</v>
          </cell>
          <cell r="BK17">
            <v>8.7200252321391086E-2</v>
          </cell>
          <cell r="BL17">
            <v>0.12202802132619499</v>
          </cell>
          <cell r="BM17">
            <v>0.24656925373820188</v>
          </cell>
          <cell r="BN17">
            <v>0.16124809558023676</v>
          </cell>
          <cell r="BO17">
            <v>4.7196571419755529E-2</v>
          </cell>
          <cell r="BP17">
            <v>0.11202802132619499</v>
          </cell>
          <cell r="BQ17">
            <v>0.34157992490088007</v>
          </cell>
          <cell r="BR17">
            <v>0.2</v>
          </cell>
          <cell r="BS17">
            <v>0.18</v>
          </cell>
          <cell r="BT17">
            <v>0.16</v>
          </cell>
        </row>
        <row r="18">
          <cell r="B18" t="str">
            <v>Imaging</v>
          </cell>
          <cell r="C18">
            <v>0.11259259259259258</v>
          </cell>
          <cell r="D18">
            <v>0.22962962962962963</v>
          </cell>
          <cell r="E18">
            <v>0.44691780821917804</v>
          </cell>
          <cell r="F18">
            <v>0.18592964824120584</v>
          </cell>
          <cell r="G18">
            <v>0.21304926764314258</v>
          </cell>
          <cell r="H18">
            <v>-0.17108433734939765</v>
          </cell>
          <cell r="I18">
            <v>-2.7218934911242609E-2</v>
          </cell>
          <cell r="J18">
            <v>2.6483050847457612E-2</v>
          </cell>
          <cell r="K18">
            <v>8.6717892425905552E-2</v>
          </cell>
          <cell r="L18">
            <v>0.52180232558139528</v>
          </cell>
          <cell r="M18">
            <v>0.25547445255474455</v>
          </cell>
          <cell r="N18">
            <v>0.15686274509803955</v>
          </cell>
          <cell r="O18">
            <v>0.13030303030303014</v>
          </cell>
          <cell r="P18">
            <v>0.18147086914995225</v>
          </cell>
          <cell r="Q18">
            <v>0.17151162790697683</v>
          </cell>
          <cell r="R18">
            <v>0.12667261373773386</v>
          </cell>
          <cell r="S18">
            <v>7.6854334226988508E-2</v>
          </cell>
          <cell r="T18">
            <v>0.41067097817299936</v>
          </cell>
          <cell r="U18">
            <v>4.3837882547560048E-2</v>
          </cell>
          <cell r="V18">
            <v>0.38004750593824244</v>
          </cell>
          <cell r="W18">
            <v>0.17510373443983407</v>
          </cell>
          <cell r="X18">
            <v>3.1518624641833748E-2</v>
          </cell>
          <cell r="Y18">
            <v>0.1339144215530903</v>
          </cell>
          <cell r="Z18">
            <v>0.153184165232358</v>
          </cell>
          <cell r="AA18">
            <v>-0.16172316384180785</v>
          </cell>
          <cell r="AB18">
            <v>0.11444444444444435</v>
          </cell>
          <cell r="AC18">
            <v>0.12788259958071291</v>
          </cell>
          <cell r="AD18">
            <v>0.14427860696517403</v>
          </cell>
          <cell r="AE18">
            <v>0.33951137320977254</v>
          </cell>
          <cell r="AF18">
            <v>4.9063414634146429E-2</v>
          </cell>
          <cell r="AG18">
            <v>0.11261860751694397</v>
          </cell>
          <cell r="AH18">
            <v>3.8815226689478344E-2</v>
          </cell>
          <cell r="AI18">
            <v>9.0891210817455548E-2</v>
          </cell>
          <cell r="AJ18">
            <v>9.1701308484222865E-2</v>
          </cell>
          <cell r="AK18">
            <v>8.9053483813089196E-2</v>
          </cell>
          <cell r="AL18">
            <v>9.1406073082861639E-2</v>
          </cell>
          <cell r="AN18" t="str">
            <v>Imaging</v>
          </cell>
          <cell r="AO18">
            <v>0.32564186023573516</v>
          </cell>
          <cell r="AP18">
            <v>5.8545292280231975E-2</v>
          </cell>
          <cell r="AQ18">
            <v>0.41969887330793543</v>
          </cell>
          <cell r="AR18">
            <v>0.21241269908866345</v>
          </cell>
          <cell r="AS18">
            <v>0.29976716006904813</v>
          </cell>
          <cell r="AT18">
            <v>0.35071798823199762</v>
          </cell>
          <cell r="AU18">
            <v>0.22825551764350194</v>
          </cell>
          <cell r="AV18">
            <v>0.18334579594549716</v>
          </cell>
          <cell r="AW18">
            <v>0.21702092272893569</v>
          </cell>
          <cell r="AX18">
            <v>0.70327319473134753</v>
          </cell>
          <cell r="AY18">
            <v>0.42698608046172137</v>
          </cell>
          <cell r="AZ18">
            <v>0.28353535883577341</v>
          </cell>
          <cell r="BA18">
            <v>0.20715736453001865</v>
          </cell>
          <cell r="BB18">
            <v>0.59214184732295161</v>
          </cell>
          <cell r="BC18">
            <v>0.21534951045453687</v>
          </cell>
          <cell r="BD18">
            <v>0.5067201196759763</v>
          </cell>
          <cell r="BE18">
            <v>0.25195806866682258</v>
          </cell>
          <cell r="BF18">
            <v>0.4421896028148331</v>
          </cell>
          <cell r="BG18">
            <v>0.17775230410065035</v>
          </cell>
          <cell r="BH18">
            <v>0.53323167117060044</v>
          </cell>
          <cell r="BI18">
            <v>1.338057059802622E-2</v>
          </cell>
          <cell r="BJ18">
            <v>0.1459630690862781</v>
          </cell>
          <cell r="BK18">
            <v>0.26179702113380321</v>
          </cell>
          <cell r="BL18">
            <v>0.29746277219753203</v>
          </cell>
          <cell r="BM18">
            <v>0.17778820936796469</v>
          </cell>
          <cell r="BN18">
            <v>0.16350785907859078</v>
          </cell>
          <cell r="BO18">
            <v>0.24050120709765688</v>
          </cell>
          <cell r="BP18">
            <v>0.18309383365465237</v>
          </cell>
          <cell r="BQ18">
            <v>0.43040258402722809</v>
          </cell>
          <cell r="BR18">
            <v>0.14076472311836929</v>
          </cell>
          <cell r="BS18">
            <v>0.20167209133003317</v>
          </cell>
          <cell r="BT18">
            <v>0.13022129977233998</v>
          </cell>
        </row>
        <row r="19">
          <cell r="B19" t="str">
            <v>Americas Net</v>
          </cell>
          <cell r="C19">
            <v>0.11259259259259258</v>
          </cell>
          <cell r="D19">
            <v>0.22962962962962963</v>
          </cell>
          <cell r="E19">
            <v>0.44691780821917804</v>
          </cell>
          <cell r="F19">
            <v>0.18592964824120561</v>
          </cell>
          <cell r="G19">
            <v>0.21304926764314258</v>
          </cell>
          <cell r="H19">
            <v>-0.17108433734939754</v>
          </cell>
          <cell r="I19">
            <v>-2.7218934911242609E-2</v>
          </cell>
          <cell r="J19">
            <v>2.6483050847457612E-2</v>
          </cell>
          <cell r="K19">
            <v>8.6717892425905552E-2</v>
          </cell>
          <cell r="L19">
            <v>0.52180232558139528</v>
          </cell>
          <cell r="M19">
            <v>0.25547445255474455</v>
          </cell>
          <cell r="N19">
            <v>0.15686274509803955</v>
          </cell>
          <cell r="O19">
            <v>0.13030303030303014</v>
          </cell>
          <cell r="P19">
            <v>0.18147086914995225</v>
          </cell>
          <cell r="Q19">
            <v>0.1715116279069766</v>
          </cell>
          <cell r="R19">
            <v>0.12667261373773386</v>
          </cell>
          <cell r="S19">
            <v>7.6854334226988508E-2</v>
          </cell>
          <cell r="T19">
            <v>0.41067097817299913</v>
          </cell>
          <cell r="U19">
            <v>4.3837882547559825E-2</v>
          </cell>
          <cell r="V19">
            <v>0.38004750593824221</v>
          </cell>
          <cell r="W19">
            <v>0.37017772624017198</v>
          </cell>
          <cell r="X19">
            <v>-0.19976013665778736</v>
          </cell>
          <cell r="Y19">
            <v>0.17420770047821765</v>
          </cell>
          <cell r="Z19">
            <v>0.25794552413448701</v>
          </cell>
          <cell r="AA19">
            <v>-0.4004162990920197</v>
          </cell>
          <cell r="AB19">
            <v>0.75861962854954634</v>
          </cell>
          <cell r="AC19">
            <v>5.047536036537692E-2</v>
          </cell>
          <cell r="AD19">
            <v>-4.6311811345326359E-2</v>
          </cell>
          <cell r="AE19">
            <v>0.38692983345626808</v>
          </cell>
          <cell r="AF19">
            <v>-0.1</v>
          </cell>
          <cell r="AG19">
            <v>0.1</v>
          </cell>
          <cell r="AH19">
            <v>0.15</v>
          </cell>
          <cell r="AI19">
            <v>7.0000000000000007E-2</v>
          </cell>
          <cell r="AJ19">
            <v>7.0000000000000007E-2</v>
          </cell>
          <cell r="AK19">
            <v>7.0000000000000007E-2</v>
          </cell>
          <cell r="AL19">
            <v>7.0000000000000007E-2</v>
          </cell>
          <cell r="AN19" t="str">
            <v>Americas Net</v>
          </cell>
          <cell r="AO19">
            <v>0.32564186023573516</v>
          </cell>
          <cell r="AP19">
            <v>5.8545292280232086E-2</v>
          </cell>
          <cell r="AQ19">
            <v>0.41969887330793543</v>
          </cell>
          <cell r="AR19">
            <v>0.21241269908866323</v>
          </cell>
          <cell r="AS19">
            <v>0.29976716006904813</v>
          </cell>
          <cell r="AT19">
            <v>0.35071798823199773</v>
          </cell>
          <cell r="AU19">
            <v>0.22825551764350194</v>
          </cell>
          <cell r="AV19">
            <v>0.18334579594549716</v>
          </cell>
          <cell r="AW19">
            <v>0.21702092272893569</v>
          </cell>
          <cell r="AX19">
            <v>0.70327319473134753</v>
          </cell>
          <cell r="AY19">
            <v>0.42698608046172115</v>
          </cell>
          <cell r="AZ19">
            <v>0.28353535883577341</v>
          </cell>
          <cell r="BA19">
            <v>0.20715736453001865</v>
          </cell>
          <cell r="BB19">
            <v>0.59214184732295139</v>
          </cell>
          <cell r="BC19">
            <v>0.21534951045453643</v>
          </cell>
          <cell r="BD19">
            <v>0.50672011967597608</v>
          </cell>
          <cell r="BE19">
            <v>0.44703206046716049</v>
          </cell>
          <cell r="BF19">
            <v>0.21091084151521178</v>
          </cell>
          <cell r="BG19">
            <v>0.21804558302577748</v>
          </cell>
          <cell r="BH19">
            <v>0.63799303007272923</v>
          </cell>
          <cell r="BI19">
            <v>-3.0238572851847723E-2</v>
          </cell>
          <cell r="BJ19">
            <v>0.55885949189175899</v>
          </cell>
          <cell r="BK19">
            <v>0.22468306084359457</v>
          </cell>
          <cell r="BL19">
            <v>0.21163371278916066</v>
          </cell>
          <cell r="BM19">
            <v>-1.3486465635751621E-2</v>
          </cell>
          <cell r="BN19">
            <v>0.65861962854954637</v>
          </cell>
          <cell r="BO19">
            <v>0.15047536036537693</v>
          </cell>
          <cell r="BP19">
            <v>0.10368818865467364</v>
          </cell>
          <cell r="BQ19">
            <v>0.45692983345626809</v>
          </cell>
          <cell r="BR19">
            <v>-0.03</v>
          </cell>
          <cell r="BS19">
            <v>0.17</v>
          </cell>
          <cell r="BT19">
            <v>0.22</v>
          </cell>
        </row>
        <row r="20">
          <cell r="B20" t="str">
            <v>International Net</v>
          </cell>
          <cell r="C20">
            <v>0.11259259259259258</v>
          </cell>
          <cell r="D20">
            <v>0.22962962962962963</v>
          </cell>
          <cell r="E20">
            <v>0.44691780821917781</v>
          </cell>
          <cell r="F20">
            <v>0.18592964824120584</v>
          </cell>
          <cell r="G20">
            <v>0.21304926764314258</v>
          </cell>
          <cell r="H20">
            <v>-0.17108433734939765</v>
          </cell>
          <cell r="I20">
            <v>-2.7218934911242498E-2</v>
          </cell>
          <cell r="J20">
            <v>2.6483050847457612E-2</v>
          </cell>
          <cell r="K20">
            <v>8.6717892425905552E-2</v>
          </cell>
          <cell r="L20">
            <v>0.52180232558139528</v>
          </cell>
          <cell r="M20">
            <v>0.25547445255474455</v>
          </cell>
          <cell r="N20">
            <v>0.15686274509803955</v>
          </cell>
          <cell r="O20">
            <v>0.13030303030302992</v>
          </cell>
          <cell r="P20">
            <v>0.18147086914995247</v>
          </cell>
          <cell r="Q20">
            <v>0.1715116279069766</v>
          </cell>
          <cell r="R20">
            <v>0.12667261373773386</v>
          </cell>
          <cell r="S20">
            <v>7.6854334226988508E-2</v>
          </cell>
          <cell r="T20">
            <v>0.41067097817299936</v>
          </cell>
          <cell r="U20">
            <v>4.3837882547560048E-2</v>
          </cell>
          <cell r="V20">
            <v>0.38004750593824244</v>
          </cell>
          <cell r="W20">
            <v>6.9316042010446832E-2</v>
          </cell>
          <cell r="X20">
            <v>0.11421494355334749</v>
          </cell>
          <cell r="Y20">
            <v>0.10893771235938421</v>
          </cell>
          <cell r="Z20">
            <v>0.11150294191559196</v>
          </cell>
          <cell r="AA20">
            <v>4.1386929530353722E-3</v>
          </cell>
          <cell r="AB20">
            <v>-5.0982260196642426E-2</v>
          </cell>
          <cell r="AC20">
            <v>0.17868941294885454</v>
          </cell>
          <cell r="AD20">
            <v>0.23009922039749608</v>
          </cell>
          <cell r="AE20">
            <v>0.31983658084642475</v>
          </cell>
          <cell r="AF20">
            <v>0.12</v>
          </cell>
          <cell r="AG20">
            <v>0.12</v>
          </cell>
          <cell r="AH20">
            <v>0</v>
          </cell>
          <cell r="AI20">
            <v>0.1</v>
          </cell>
          <cell r="AJ20">
            <v>0.1</v>
          </cell>
          <cell r="AK20">
            <v>0.1</v>
          </cell>
          <cell r="AL20">
            <v>0.1</v>
          </cell>
          <cell r="AN20" t="str">
            <v>International Net</v>
          </cell>
          <cell r="AO20">
            <v>0.32564186023573516</v>
          </cell>
          <cell r="AP20">
            <v>5.8545292280231975E-2</v>
          </cell>
          <cell r="AQ20">
            <v>0.41969887330793532</v>
          </cell>
          <cell r="AR20">
            <v>0.21241269908866345</v>
          </cell>
          <cell r="AS20">
            <v>0.29976716006904813</v>
          </cell>
          <cell r="AT20">
            <v>0.35071798823199762</v>
          </cell>
          <cell r="AU20">
            <v>0.22825551764350205</v>
          </cell>
          <cell r="AV20">
            <v>0.18334579594549716</v>
          </cell>
          <cell r="AW20">
            <v>0.21702092272893547</v>
          </cell>
          <cell r="AX20">
            <v>0.70327319473134775</v>
          </cell>
          <cell r="AY20">
            <v>0.42698608046172115</v>
          </cell>
          <cell r="AZ20">
            <v>0.28353535883577341</v>
          </cell>
          <cell r="BA20">
            <v>0.20715736453001843</v>
          </cell>
          <cell r="BB20">
            <v>0.59214184732295183</v>
          </cell>
          <cell r="BC20">
            <v>0.21534951045453665</v>
          </cell>
          <cell r="BD20">
            <v>0.5067201196759763</v>
          </cell>
          <cell r="BE20">
            <v>0.14617037623743534</v>
          </cell>
          <cell r="BF20">
            <v>0.52488592172634685</v>
          </cell>
          <cell r="BG20">
            <v>0.15277559490694426</v>
          </cell>
          <cell r="BH20">
            <v>0.49155044785383439</v>
          </cell>
          <cell r="BI20">
            <v>7.3454734963482204E-2</v>
          </cell>
          <cell r="BJ20">
            <v>6.3232683356705066E-2</v>
          </cell>
          <cell r="BK20">
            <v>0.28762712530823875</v>
          </cell>
          <cell r="BL20">
            <v>0.34160216231308804</v>
          </cell>
          <cell r="BM20">
            <v>0.32397527379946012</v>
          </cell>
          <cell r="BN20">
            <v>6.901773980335757E-2</v>
          </cell>
          <cell r="BO20">
            <v>0.29868941294885454</v>
          </cell>
          <cell r="BP20">
            <v>0.23009922039749608</v>
          </cell>
          <cell r="BQ20">
            <v>0.41983658084642472</v>
          </cell>
          <cell r="BR20">
            <v>0.22</v>
          </cell>
          <cell r="BS20">
            <v>0.22</v>
          </cell>
          <cell r="BT20">
            <v>0.1</v>
          </cell>
        </row>
        <row r="21">
          <cell r="B21" t="str">
            <v>Other/Proton Orders</v>
          </cell>
          <cell r="C21">
            <v>1.7647058823529411</v>
          </cell>
          <cell r="D21">
            <v>-0.78117913832199548</v>
          </cell>
          <cell r="E21">
            <v>-0.55536912751677847</v>
          </cell>
          <cell r="F21">
            <v>-1.3508771929824561</v>
          </cell>
          <cell r="G21">
            <v>0.15602836879432624</v>
          </cell>
          <cell r="H21">
            <v>9.8445595854922185E-2</v>
          </cell>
          <cell r="I21">
            <v>-0.68679245283018864</v>
          </cell>
          <cell r="J21">
            <v>3.4450000000000003</v>
          </cell>
          <cell r="K21">
            <v>-2.223926380368098</v>
          </cell>
          <cell r="L21">
            <v>-0.41981132075471705</v>
          </cell>
          <cell r="M21">
            <v>1.3493975903614457</v>
          </cell>
          <cell r="N21">
            <v>-0.90888638920134979</v>
          </cell>
          <cell r="O21">
            <v>-1.5488721804511278</v>
          </cell>
          <cell r="P21">
            <v>2.0650406504065044</v>
          </cell>
          <cell r="Q21">
            <v>-0.11794871794871797</v>
          </cell>
          <cell r="R21">
            <v>14.35802469135802</v>
          </cell>
          <cell r="S21">
            <v>-0.9589041095890396</v>
          </cell>
          <cell r="T21">
            <v>2.2758620689655169</v>
          </cell>
          <cell r="U21">
            <v>-0.93023255813953631</v>
          </cell>
          <cell r="V21">
            <v>-0.99437299035369786</v>
          </cell>
          <cell r="W21">
            <v>-0.22222222222216959</v>
          </cell>
          <cell r="X21">
            <v>-0.99433198380566856</v>
          </cell>
          <cell r="Y21">
            <v>0.16666666666669627</v>
          </cell>
          <cell r="Z21">
            <v>-1</v>
          </cell>
          <cell r="AA21">
            <v>-1.4210854715202004E-13</v>
          </cell>
          <cell r="AB21" t="str">
            <v>NM</v>
          </cell>
          <cell r="AC21" t="str">
            <v>NM</v>
          </cell>
          <cell r="AD21" t="str">
            <v>NM</v>
          </cell>
          <cell r="AE21">
            <v>1.0000000000000728</v>
          </cell>
          <cell r="AF21">
            <v>-0.3208828522920204</v>
          </cell>
          <cell r="AG21">
            <v>-0.30313588850174211</v>
          </cell>
          <cell r="AH21" t="str">
            <v>NM</v>
          </cell>
          <cell r="AI21" t="str">
            <v>NM</v>
          </cell>
          <cell r="AJ21">
            <v>0.25</v>
          </cell>
          <cell r="AK21">
            <v>0.25</v>
          </cell>
          <cell r="AL21">
            <v>0.25</v>
          </cell>
          <cell r="AN21" t="str">
            <v>Other/Proton Orders</v>
          </cell>
          <cell r="AO21">
            <v>1.9207342511472674</v>
          </cell>
          <cell r="AP21">
            <v>-0.6827335424670733</v>
          </cell>
          <cell r="AQ21">
            <v>-1.2421615803469672</v>
          </cell>
          <cell r="AR21">
            <v>2.0941228070175439</v>
          </cell>
          <cell r="AS21">
            <v>-2.0678980115737717</v>
          </cell>
          <cell r="AT21">
            <v>-0.32136572489979487</v>
          </cell>
          <cell r="AU21">
            <v>0.66260513753125705</v>
          </cell>
          <cell r="AV21">
            <v>2.5361136107986506</v>
          </cell>
          <cell r="AW21">
            <v>-3.7727985608192256</v>
          </cell>
          <cell r="AX21">
            <v>1.6452293296517873</v>
          </cell>
          <cell r="AY21">
            <v>1.2314488724127277</v>
          </cell>
          <cell r="AZ21">
            <v>13.449138302156671</v>
          </cell>
          <cell r="BA21">
            <v>-2.5077762900401677</v>
          </cell>
          <cell r="BB21">
            <v>4.3409027193720213</v>
          </cell>
          <cell r="BC21">
            <v>-1.0481812760882543</v>
          </cell>
          <cell r="BD21">
            <v>13.363651701004322</v>
          </cell>
          <cell r="BE21">
            <v>-1.1811263318112091</v>
          </cell>
          <cell r="BF21">
            <v>1.2815300851598483</v>
          </cell>
          <cell r="BG21">
            <v>-0.76356589147284004</v>
          </cell>
          <cell r="BH21">
            <v>-1.994372990353698</v>
          </cell>
          <cell r="BI21">
            <v>-0.22222222222231169</v>
          </cell>
          <cell r="BJ21" t="e">
            <v>#VALUE!</v>
          </cell>
          <cell r="BK21" t="e">
            <v>#VALUE!</v>
          </cell>
          <cell r="BL21" t="e">
            <v>#VALUE!</v>
          </cell>
          <cell r="BM21">
            <v>0.99999999999993072</v>
          </cell>
          <cell r="BN21" t="e">
            <v>#VALUE!</v>
          </cell>
          <cell r="BO21" t="e">
            <v>#VALUE!</v>
          </cell>
          <cell r="BP21" t="e">
            <v>#VALUE!</v>
          </cell>
          <cell r="BQ21" t="e">
            <v>#VALUE!</v>
          </cell>
          <cell r="BR21">
            <v>-7.0882852292020404E-2</v>
          </cell>
          <cell r="BS21">
            <v>-5.3135888501742112E-2</v>
          </cell>
          <cell r="BT21" t="e">
            <v>#VALUE!</v>
          </cell>
        </row>
        <row r="22">
          <cell r="B22" t="str">
            <v>Total Net Orders (CC%)</v>
          </cell>
          <cell r="C22">
            <v>0.13</v>
          </cell>
          <cell r="D22">
            <v>-0.04</v>
          </cell>
          <cell r="E22">
            <v>0.1</v>
          </cell>
          <cell r="F22">
            <v>0.12</v>
          </cell>
          <cell r="G22">
            <v>0.13</v>
          </cell>
          <cell r="H22">
            <v>0.06</v>
          </cell>
          <cell r="I22">
            <v>-0.01</v>
          </cell>
          <cell r="J22">
            <v>0.05</v>
          </cell>
          <cell r="K22">
            <v>-0.14000000000000001</v>
          </cell>
          <cell r="L22">
            <v>0.1</v>
          </cell>
          <cell r="M22">
            <v>0.15</v>
          </cell>
          <cell r="N22">
            <v>0.13</v>
          </cell>
          <cell r="O22">
            <v>7.0000000000000007E-2</v>
          </cell>
          <cell r="P22">
            <v>0.14000000000000001</v>
          </cell>
          <cell r="Q22">
            <v>0.06</v>
          </cell>
          <cell r="R22">
            <v>7.0000000000000007E-2</v>
          </cell>
          <cell r="S22">
            <v>1.7796896086369859E-2</v>
          </cell>
          <cell r="T22">
            <v>0.26603081438004411</v>
          </cell>
          <cell r="U22">
            <v>1.6531173152032383E-2</v>
          </cell>
          <cell r="V22">
            <v>1.0707717739435912E-2</v>
          </cell>
          <cell r="W22">
            <v>2.6485728427652268E-2</v>
          </cell>
          <cell r="X22">
            <v>-0.14707927677329624</v>
          </cell>
          <cell r="Y22">
            <v>7.0000000000000007E-2</v>
          </cell>
          <cell r="Z22">
            <v>-7.1224574512245731E-2</v>
          </cell>
          <cell r="AA22">
            <v>-1.6472868217054331E-2</v>
          </cell>
          <cell r="AB22">
            <v>0.11990542193232784</v>
          </cell>
          <cell r="AC22">
            <v>0.10787887130075705</v>
          </cell>
          <cell r="AD22">
            <v>0.25609480812641094</v>
          </cell>
          <cell r="AE22">
            <v>0.15941314575118842</v>
          </cell>
          <cell r="AF22">
            <v>3.9269619623200476E-2</v>
          </cell>
          <cell r="AG22">
            <v>1.8968333155395707E-2</v>
          </cell>
          <cell r="AH22">
            <v>1.8387572636774603E-2</v>
          </cell>
          <cell r="AI22">
            <v>8.6835774841839464E-2</v>
          </cell>
          <cell r="AJ22">
            <v>4.6495832131127582E-2</v>
          </cell>
          <cell r="AK22">
            <v>4.3786798809908989E-2</v>
          </cell>
          <cell r="AL22">
            <v>3.6740433934645989E-2</v>
          </cell>
          <cell r="AN22" t="str">
            <v>Total Net Orders (CC%)</v>
          </cell>
          <cell r="AO22">
            <v>0.26</v>
          </cell>
          <cell r="AP22">
            <v>1.9999999999999997E-2</v>
          </cell>
          <cell r="AQ22">
            <v>9.0000000000000011E-2</v>
          </cell>
          <cell r="AR22">
            <v>0.16999999999999998</v>
          </cell>
          <cell r="AS22">
            <v>-1.0000000000000009E-2</v>
          </cell>
          <cell r="AT22">
            <v>0.16</v>
          </cell>
          <cell r="AU22">
            <v>0.13999999999999999</v>
          </cell>
          <cell r="AV22">
            <v>0.18</v>
          </cell>
          <cell r="AW22">
            <v>-7.0000000000000007E-2</v>
          </cell>
          <cell r="AX22">
            <v>0.24000000000000002</v>
          </cell>
          <cell r="AY22">
            <v>0.21</v>
          </cell>
          <cell r="AZ22">
            <v>0.2</v>
          </cell>
          <cell r="BA22">
            <v>8.7796896086369869E-2</v>
          </cell>
          <cell r="BB22">
            <v>0.40603081438004412</v>
          </cell>
          <cell r="BC22">
            <v>7.6531173152032381E-2</v>
          </cell>
          <cell r="BD22">
            <v>8.0707717739435914E-2</v>
          </cell>
          <cell r="BE22">
            <v>4.4282624514022123E-2</v>
          </cell>
          <cell r="BF22">
            <v>0.11895153760674787</v>
          </cell>
          <cell r="BG22">
            <v>8.653117315203239E-2</v>
          </cell>
          <cell r="BH22">
            <v>-6.0516856772809817E-2</v>
          </cell>
          <cell r="BI22">
            <v>1.0012860210597937E-2</v>
          </cell>
          <cell r="BJ22">
            <v>-2.7173854840968403E-2</v>
          </cell>
          <cell r="BK22">
            <v>0.17787887130075705</v>
          </cell>
          <cell r="BL22">
            <v>0.18487023361416521</v>
          </cell>
          <cell r="BM22">
            <v>0.1429402775341341</v>
          </cell>
          <cell r="BN22">
            <v>0.15917504155552831</v>
          </cell>
          <cell r="BO22">
            <v>0.12684720445615275</v>
          </cell>
          <cell r="BP22">
            <v>0.27448238076318554</v>
          </cell>
          <cell r="BQ22">
            <v>0.24624892059302789</v>
          </cell>
          <cell r="BR22">
            <v>8.5765451754328065E-2</v>
          </cell>
          <cell r="BS22">
            <v>6.2755131965304689E-2</v>
          </cell>
          <cell r="BT22">
            <v>5.5128006571420592E-2</v>
          </cell>
        </row>
        <row r="23">
          <cell r="B23" t="str">
            <v>Backlog</v>
          </cell>
          <cell r="C23">
            <v>0.19187724361230374</v>
          </cell>
          <cell r="D23">
            <v>0.12215362145654907</v>
          </cell>
          <cell r="E23">
            <v>0.10976226605968642</v>
          </cell>
          <cell r="F23">
            <v>0.14032014497130763</v>
          </cell>
          <cell r="G23">
            <v>0.14008149766727684</v>
          </cell>
          <cell r="H23">
            <v>0.12465242856297709</v>
          </cell>
          <cell r="I23">
            <v>0.10585688240656332</v>
          </cell>
          <cell r="J23">
            <v>8.8250874033266369E-2</v>
          </cell>
          <cell r="K23">
            <v>4.0714840714840772E-2</v>
          </cell>
          <cell r="L23">
            <v>6.0862703840084187E-2</v>
          </cell>
          <cell r="M23">
            <v>6.5430190623390061E-2</v>
          </cell>
          <cell r="N23">
            <v>6.73189252336448E-2</v>
          </cell>
          <cell r="O23">
            <v>9.780498730774978E-2</v>
          </cell>
          <cell r="P23">
            <v>0.11008082511032868</v>
          </cell>
          <cell r="Q23">
            <v>0.10275628626692446</v>
          </cell>
          <cell r="R23">
            <v>0.1536005837551877</v>
          </cell>
          <cell r="S23">
            <v>0.13810301051867979</v>
          </cell>
          <cell r="T23">
            <v>0.18497342207531164</v>
          </cell>
          <cell r="U23">
            <v>0.15628151721113803</v>
          </cell>
          <cell r="V23">
            <v>0.12445147262304812</v>
          </cell>
          <cell r="W23">
            <v>0.10955302366345321</v>
          </cell>
          <cell r="X23">
            <v>3.7620627261760964E-2</v>
          </cell>
          <cell r="Y23">
            <v>4.3953126777655616E-2</v>
          </cell>
          <cell r="Z23">
            <v>8.6840347361389902E-3</v>
          </cell>
          <cell r="AA23">
            <v>-6.7140600315954702E-3</v>
          </cell>
          <cell r="AB23">
            <v>1.9617815883165024E-2</v>
          </cell>
          <cell r="AC23">
            <v>4.2356873002034279E-2</v>
          </cell>
          <cell r="AD23">
            <v>0.10498431509236661</v>
          </cell>
          <cell r="AE23">
            <v>0.12938586661847107</v>
          </cell>
          <cell r="AF23">
            <v>0.1243851984230977</v>
          </cell>
          <cell r="AG23">
            <v>0.10089427871847967</v>
          </cell>
          <cell r="AH23">
            <v>7.2848787534560477E-2</v>
          </cell>
          <cell r="AI23">
            <v>8.5768112648282102E-2</v>
          </cell>
          <cell r="AJ23">
            <v>8.8436808361095354E-2</v>
          </cell>
          <cell r="AK23">
            <v>9.4870699274148818E-2</v>
          </cell>
          <cell r="AL23">
            <v>8.8460376276135566E-2</v>
          </cell>
          <cell r="AN23" t="str">
            <v>Backlog</v>
          </cell>
          <cell r="AO23">
            <v>0.33195874127958058</v>
          </cell>
          <cell r="AP23">
            <v>0.24680605001952616</v>
          </cell>
          <cell r="AQ23">
            <v>0.21561914846624974</v>
          </cell>
          <cell r="AR23">
            <v>0.22857101900457399</v>
          </cell>
          <cell r="AS23">
            <v>0.18079633838211762</v>
          </cell>
          <cell r="AT23">
            <v>0.18551513240306128</v>
          </cell>
          <cell r="AU23">
            <v>0.17128707302995339</v>
          </cell>
          <cell r="AV23">
            <v>0.15556979926691117</v>
          </cell>
          <cell r="AW23">
            <v>0.13851982802259055</v>
          </cell>
          <cell r="AX23">
            <v>0.17094352895041287</v>
          </cell>
          <cell r="AY23">
            <v>0.16818647689031452</v>
          </cell>
          <cell r="AZ23">
            <v>0.2209195089888325</v>
          </cell>
          <cell r="BA23">
            <v>0.23590799782642957</v>
          </cell>
          <cell r="BB23">
            <v>0.29505424718564033</v>
          </cell>
          <cell r="BC23">
            <v>0.25903780347806249</v>
          </cell>
          <cell r="BD23">
            <v>0.27805205637823582</v>
          </cell>
          <cell r="BE23">
            <v>0.247656034182133</v>
          </cell>
          <cell r="BF23">
            <v>0.22259404933707261</v>
          </cell>
          <cell r="BG23">
            <v>0.20023464398879365</v>
          </cell>
          <cell r="BH23">
            <v>0.13313550735918711</v>
          </cell>
          <cell r="BI23">
            <v>0.10283896363185774</v>
          </cell>
          <cell r="BJ23">
            <v>5.7238443144925988E-2</v>
          </cell>
          <cell r="BK23">
            <v>8.6309999779689894E-2</v>
          </cell>
          <cell r="BL23">
            <v>0.1136683498285056</v>
          </cell>
          <cell r="BM23">
            <v>0.1226718065868756</v>
          </cell>
          <cell r="BN23">
            <v>0.14400301430626272</v>
          </cell>
          <cell r="BO23">
            <v>0.14325115172051395</v>
          </cell>
          <cell r="BP23">
            <v>0.17783310262692709</v>
          </cell>
          <cell r="BQ23">
            <v>0.21515397926675317</v>
          </cell>
          <cell r="BR23">
            <v>0.21282200678419305</v>
          </cell>
          <cell r="BS23">
            <v>0.19576497799262849</v>
          </cell>
          <cell r="BT23">
            <v>0.16130916381069604</v>
          </cell>
        </row>
        <row r="24">
          <cell r="B24" t="str">
            <v xml:space="preserve">ex-Proton </v>
          </cell>
          <cell r="C24">
            <v>0.19187724361230374</v>
          </cell>
          <cell r="D24">
            <v>0.12215362145654907</v>
          </cell>
          <cell r="E24">
            <v>0.10976226605968642</v>
          </cell>
          <cell r="F24">
            <v>0.14032014497130763</v>
          </cell>
          <cell r="G24">
            <v>0.14008149766727684</v>
          </cell>
          <cell r="H24">
            <v>0.12465242856297709</v>
          </cell>
          <cell r="I24">
            <v>0.10585688240656332</v>
          </cell>
          <cell r="J24">
            <v>8.8250874033266369E-2</v>
          </cell>
          <cell r="K24">
            <v>4.0714840714840772E-2</v>
          </cell>
          <cell r="L24">
            <v>6.0862703840084187E-2</v>
          </cell>
          <cell r="M24">
            <v>6.5430190623390061E-2</v>
          </cell>
          <cell r="N24">
            <v>6.73189252336448E-2</v>
          </cell>
          <cell r="O24">
            <v>9.780498730774978E-2</v>
          </cell>
          <cell r="P24">
            <v>0.11008082511032868</v>
          </cell>
          <cell r="Q24">
            <v>0.10275628626692446</v>
          </cell>
          <cell r="R24">
            <v>0.1536005837551877</v>
          </cell>
          <cell r="S24">
            <v>0.11012228612881492</v>
          </cell>
          <cell r="T24">
            <v>0.10303811523269246</v>
          </cell>
          <cell r="U24">
            <v>7.2026811162965387E-2</v>
          </cell>
          <cell r="V24">
            <v>4.5045604721430044E-2</v>
          </cell>
          <cell r="W24">
            <v>5.1518722942460071E-2</v>
          </cell>
          <cell r="X24">
            <v>3.1563845050215145E-2</v>
          </cell>
          <cell r="Y24">
            <v>3.8467157123406981E-2</v>
          </cell>
          <cell r="Z24">
            <v>4.7497581617046869E-2</v>
          </cell>
          <cell r="AA24">
            <v>3.8790616122159172E-2</v>
          </cell>
          <cell r="AB24">
            <v>4.2117187850509108E-2</v>
          </cell>
          <cell r="AC24">
            <v>5.1441625965022775E-2</v>
          </cell>
          <cell r="AD24">
            <v>8.2701336222462896E-2</v>
          </cell>
          <cell r="AE24">
            <v>0.10654178351093657</v>
          </cell>
          <cell r="AF24">
            <v>0.11524774248945513</v>
          </cell>
          <cell r="AG24">
            <v>9.9700323735096408E-2</v>
          </cell>
          <cell r="AH24">
            <v>5.8159446255617864E-2</v>
          </cell>
          <cell r="AI24">
            <v>5.6321752770726041E-2</v>
          </cell>
          <cell r="AJ24">
            <v>5.8276754753284754E-2</v>
          </cell>
          <cell r="AK24">
            <v>6.4304521120621461E-2</v>
          </cell>
          <cell r="AL24">
            <v>6.0741786169380418E-2</v>
          </cell>
          <cell r="AN24" t="str">
            <v xml:space="preserve">ex-Proton </v>
          </cell>
          <cell r="AO24">
            <v>0.33195874127958058</v>
          </cell>
          <cell r="AP24">
            <v>0.24680605001952616</v>
          </cell>
          <cell r="AQ24">
            <v>0.21561914846624974</v>
          </cell>
          <cell r="AR24">
            <v>0.22857101900457399</v>
          </cell>
          <cell r="AS24">
            <v>0.18079633838211762</v>
          </cell>
          <cell r="AT24">
            <v>0.18551513240306128</v>
          </cell>
          <cell r="AU24">
            <v>0.17128707302995339</v>
          </cell>
          <cell r="AV24">
            <v>0.15556979926691117</v>
          </cell>
          <cell r="AW24">
            <v>0.13851982802259055</v>
          </cell>
          <cell r="AX24">
            <v>0.17094352895041287</v>
          </cell>
          <cell r="AY24">
            <v>0.16818647689031452</v>
          </cell>
          <cell r="AZ24">
            <v>0.2209195089888325</v>
          </cell>
          <cell r="BA24">
            <v>0.2079272734365647</v>
          </cell>
          <cell r="BB24">
            <v>0.21311894034302115</v>
          </cell>
          <cell r="BC24">
            <v>0.17478309742988984</v>
          </cell>
          <cell r="BD24">
            <v>0.19864618847661775</v>
          </cell>
          <cell r="BE24">
            <v>0.16164100907127499</v>
          </cell>
          <cell r="BF24">
            <v>0.13460196028290761</v>
          </cell>
          <cell r="BG24">
            <v>0.11049396828637237</v>
          </cell>
          <cell r="BH24">
            <v>9.2543186338476913E-2</v>
          </cell>
          <cell r="BI24">
            <v>9.0309339064619243E-2</v>
          </cell>
          <cell r="BJ24">
            <v>7.3681032900724253E-2</v>
          </cell>
          <cell r="BK24">
            <v>8.9908783088429756E-2</v>
          </cell>
          <cell r="BL24">
            <v>0.13019891783950976</v>
          </cell>
        </row>
        <row r="26">
          <cell r="B26" t="str">
            <v>Varian Yr-Yr $ Order Change</v>
          </cell>
          <cell r="G26" t="str">
            <v>ASTRO TIMING:</v>
          </cell>
          <cell r="K26">
            <v>41944</v>
          </cell>
          <cell r="O26">
            <v>41943</v>
          </cell>
          <cell r="S26">
            <v>41914</v>
          </cell>
          <cell r="W26">
            <v>41940</v>
          </cell>
          <cell r="Z26">
            <v>41904</v>
          </cell>
          <cell r="AD26">
            <v>41896</v>
          </cell>
          <cell r="AN26" t="str">
            <v>2-Year $ Order Change Trend</v>
          </cell>
        </row>
        <row r="27">
          <cell r="C27">
            <v>39447</v>
          </cell>
          <cell r="D27">
            <v>39538</v>
          </cell>
          <cell r="E27">
            <v>39629</v>
          </cell>
          <cell r="F27">
            <v>39721</v>
          </cell>
          <cell r="G27">
            <v>39813</v>
          </cell>
          <cell r="H27">
            <v>39903</v>
          </cell>
          <cell r="I27">
            <v>39994</v>
          </cell>
          <cell r="J27">
            <v>40086</v>
          </cell>
          <cell r="K27">
            <v>40178</v>
          </cell>
          <cell r="L27">
            <v>40268</v>
          </cell>
          <cell r="M27">
            <v>40359</v>
          </cell>
          <cell r="N27">
            <v>40451</v>
          </cell>
          <cell r="O27">
            <v>40543</v>
          </cell>
          <cell r="P27">
            <v>40633</v>
          </cell>
          <cell r="Q27">
            <v>40724</v>
          </cell>
          <cell r="R27">
            <v>40816</v>
          </cell>
          <cell r="S27">
            <v>40908.25</v>
          </cell>
          <cell r="T27">
            <v>40998.25</v>
          </cell>
          <cell r="U27">
            <v>41089.25</v>
          </cell>
          <cell r="V27">
            <v>41181.25</v>
          </cell>
          <cell r="W27">
            <v>41273.5</v>
          </cell>
          <cell r="X27">
            <v>41363.5</v>
          </cell>
          <cell r="Y27">
            <v>41454.5</v>
          </cell>
          <cell r="Z27">
            <v>41546.5</v>
          </cell>
          <cell r="AA27">
            <v>41638.75</v>
          </cell>
          <cell r="AB27">
            <v>41728.75</v>
          </cell>
          <cell r="AC27">
            <v>41819.75</v>
          </cell>
          <cell r="AD27">
            <v>41911.75</v>
          </cell>
          <cell r="AE27" t="str">
            <v>Dec-14**</v>
          </cell>
          <cell r="AF27">
            <v>42094</v>
          </cell>
          <cell r="AG27">
            <v>42185</v>
          </cell>
          <cell r="AH27">
            <v>42277</v>
          </cell>
          <cell r="AI27">
            <v>42369.25</v>
          </cell>
          <cell r="AJ27">
            <v>42459.25</v>
          </cell>
          <cell r="AK27">
            <v>42550.25</v>
          </cell>
          <cell r="AL27">
            <v>42642.25</v>
          </cell>
          <cell r="AO27">
            <v>39813</v>
          </cell>
          <cell r="AP27">
            <v>39903</v>
          </cell>
          <cell r="AQ27">
            <v>39994</v>
          </cell>
          <cell r="AR27">
            <v>40086</v>
          </cell>
          <cell r="AS27">
            <v>40178</v>
          </cell>
          <cell r="AT27">
            <v>40268</v>
          </cell>
          <cell r="AU27">
            <v>40359</v>
          </cell>
          <cell r="AV27">
            <v>40451</v>
          </cell>
          <cell r="AW27">
            <v>40543</v>
          </cell>
          <cell r="AX27">
            <v>40633</v>
          </cell>
          <cell r="AY27">
            <v>40724</v>
          </cell>
          <cell r="AZ27">
            <v>40816</v>
          </cell>
          <cell r="BA27">
            <v>40908.25</v>
          </cell>
          <cell r="BB27">
            <v>40998.25</v>
          </cell>
          <cell r="BC27">
            <v>41089.25</v>
          </cell>
          <cell r="BD27">
            <v>41181.25</v>
          </cell>
          <cell r="BE27">
            <v>41273.5</v>
          </cell>
          <cell r="BF27">
            <v>41363.5</v>
          </cell>
          <cell r="BG27">
            <v>41454.5</v>
          </cell>
          <cell r="BH27">
            <v>41546.5</v>
          </cell>
          <cell r="BI27">
            <v>41638.75</v>
          </cell>
          <cell r="BJ27">
            <v>41728.75</v>
          </cell>
          <cell r="BK27">
            <v>41819.75</v>
          </cell>
          <cell r="BL27">
            <v>41911.75</v>
          </cell>
          <cell r="BM27" t="str">
            <v>Dec-14**</v>
          </cell>
          <cell r="BN27">
            <v>42094</v>
          </cell>
          <cell r="BO27">
            <v>42185</v>
          </cell>
          <cell r="BP27">
            <v>42277</v>
          </cell>
          <cell r="BQ27">
            <v>42369.25</v>
          </cell>
          <cell r="BR27">
            <v>42459.25</v>
          </cell>
          <cell r="BS27">
            <v>42550.25</v>
          </cell>
          <cell r="BT27">
            <v>42642.25</v>
          </cell>
        </row>
        <row r="28">
          <cell r="B28" t="str">
            <v>Oncology Sys.</v>
          </cell>
          <cell r="G28">
            <v>42.427</v>
          </cell>
          <cell r="H28">
            <v>41.31</v>
          </cell>
          <cell r="I28">
            <v>13.841999999999999</v>
          </cell>
          <cell r="J28">
            <v>30.540000000000006</v>
          </cell>
          <cell r="K28">
            <v>-12.827999999999999</v>
          </cell>
          <cell r="L28">
            <v>26.052000000000003</v>
          </cell>
          <cell r="M28">
            <v>50.522999999999996</v>
          </cell>
          <cell r="N28">
            <v>96.88300000000001</v>
          </cell>
          <cell r="O28">
            <v>22.500000000000018</v>
          </cell>
          <cell r="P28">
            <v>43.899999999999949</v>
          </cell>
          <cell r="Q28">
            <v>46.600000000000009</v>
          </cell>
          <cell r="R28">
            <v>60.500000000000135</v>
          </cell>
          <cell r="S28">
            <v>11.985714285714277</v>
          </cell>
          <cell r="T28">
            <v>30.985714285714423</v>
          </cell>
          <cell r="U28">
            <v>-4.9142857142857386</v>
          </cell>
          <cell r="V28">
            <v>57.685714285714297</v>
          </cell>
          <cell r="W28">
            <v>-8.0271224483606129</v>
          </cell>
          <cell r="X28">
            <v>-9.8389050186643416</v>
          </cell>
          <cell r="Y28">
            <v>20.500260552370978</v>
          </cell>
          <cell r="Z28">
            <v>6.2224991703844372</v>
          </cell>
          <cell r="AA28">
            <v>27.196376029361957</v>
          </cell>
          <cell r="AB28">
            <v>18.06040523427593</v>
          </cell>
          <cell r="AC28">
            <v>23.97933634992463</v>
          </cell>
          <cell r="AD28">
            <v>87.18181818181813</v>
          </cell>
          <cell r="AE28">
            <v>59.956337419028152</v>
          </cell>
          <cell r="AF28">
            <v>48.983382553103723</v>
          </cell>
          <cell r="AG28">
            <v>24.443569963228189</v>
          </cell>
          <cell r="AH28">
            <v>-16.333427279978668</v>
          </cell>
          <cell r="AI28">
            <v>4.054722381167994</v>
          </cell>
          <cell r="AJ28">
            <v>9.9248130369926493</v>
          </cell>
          <cell r="AK28">
            <v>8.3985293137345689</v>
          </cell>
          <cell r="AL28">
            <v>7.9693138998451776</v>
          </cell>
          <cell r="AN28" t="str">
            <v>Oncology Sys.</v>
          </cell>
          <cell r="AO28">
            <v>42.427</v>
          </cell>
          <cell r="AP28">
            <v>41.31</v>
          </cell>
          <cell r="AQ28">
            <v>13.841999999999999</v>
          </cell>
          <cell r="AR28">
            <v>30.540000000000006</v>
          </cell>
          <cell r="AS28">
            <v>29.599</v>
          </cell>
          <cell r="AT28">
            <v>67.362000000000009</v>
          </cell>
          <cell r="AU28">
            <v>64.364999999999995</v>
          </cell>
          <cell r="AV28">
            <v>127.42300000000002</v>
          </cell>
          <cell r="AW28">
            <v>9.6720000000000184</v>
          </cell>
          <cell r="AX28">
            <v>69.951999999999956</v>
          </cell>
          <cell r="AY28">
            <v>97.123000000000005</v>
          </cell>
          <cell r="AZ28">
            <v>157.38300000000015</v>
          </cell>
          <cell r="BA28">
            <v>34.485714285714295</v>
          </cell>
          <cell r="BB28">
            <v>74.885714285714371</v>
          </cell>
          <cell r="BC28">
            <v>41.685714285714269</v>
          </cell>
          <cell r="BD28">
            <v>118.18571428571443</v>
          </cell>
          <cell r="BE28">
            <v>3.9585918373536639</v>
          </cell>
          <cell r="BF28">
            <v>21.146809267050081</v>
          </cell>
          <cell r="BG28">
            <v>15.585974838085239</v>
          </cell>
          <cell r="BH28">
            <v>63.908213456098736</v>
          </cell>
          <cell r="BI28">
            <v>19.169253581001342</v>
          </cell>
          <cell r="BJ28">
            <v>8.2215002156115879</v>
          </cell>
          <cell r="BK28">
            <v>44.479596902295611</v>
          </cell>
          <cell r="BL28">
            <v>93.404317352202568</v>
          </cell>
          <cell r="BM28">
            <v>87.152713448390102</v>
          </cell>
          <cell r="BN28">
            <v>67.043787787379657</v>
          </cell>
          <cell r="BO28">
            <v>48.422906313152822</v>
          </cell>
          <cell r="BP28">
            <v>70.848390901839466</v>
          </cell>
          <cell r="BQ28">
            <v>64.011059800196151</v>
          </cell>
          <cell r="BR28">
            <v>58.908195590096369</v>
          </cell>
          <cell r="BS28">
            <v>32.842099276962756</v>
          </cell>
          <cell r="BT28">
            <v>-8.3641133801334906</v>
          </cell>
        </row>
        <row r="29">
          <cell r="B29" t="str">
            <v>Americas</v>
          </cell>
          <cell r="G29">
            <v>15.588896294914209</v>
          </cell>
          <cell r="H29">
            <v>9.436502322780969</v>
          </cell>
          <cell r="I29">
            <v>-20.806166752873953</v>
          </cell>
          <cell r="J29">
            <v>-76.215961339678614</v>
          </cell>
          <cell r="K29">
            <v>-29.133953385949599</v>
          </cell>
          <cell r="L29">
            <v>-24.784670925690921</v>
          </cell>
          <cell r="M29">
            <v>27.949159842115613</v>
          </cell>
          <cell r="N29">
            <v>75.638798139385614</v>
          </cell>
          <cell r="O29">
            <v>39.428388540449937</v>
          </cell>
          <cell r="P29">
            <v>25.413427716831116</v>
          </cell>
          <cell r="Q29">
            <v>0.16110127552332967</v>
          </cell>
          <cell r="R29">
            <v>-6.054311619904408</v>
          </cell>
          <cell r="S29">
            <v>-37.221492765554224</v>
          </cell>
          <cell r="T29">
            <v>23.61036896674479</v>
          </cell>
          <cell r="U29">
            <v>-1.0649738457598374</v>
          </cell>
          <cell r="V29">
            <v>32.937908691815927</v>
          </cell>
          <cell r="W29">
            <v>4.8370343059482268</v>
          </cell>
          <cell r="X29">
            <v>-30.072111482953002</v>
          </cell>
          <cell r="Y29">
            <v>-6.2418337291101444</v>
          </cell>
          <cell r="Z29">
            <v>-41.563487526044341</v>
          </cell>
          <cell r="AA29">
            <v>23.623955406646051</v>
          </cell>
          <cell r="AB29">
            <v>12.156287552675721</v>
          </cell>
          <cell r="AC29">
            <v>37.016586512994671</v>
          </cell>
          <cell r="AD29">
            <v>67.436301381047144</v>
          </cell>
          <cell r="AE29">
            <v>-5.1664708012675469</v>
          </cell>
          <cell r="AF29">
            <v>12.934726747783049</v>
          </cell>
          <cell r="AG29">
            <v>-5.7877383394619697</v>
          </cell>
          <cell r="AH29">
            <v>-48.203015155543731</v>
          </cell>
          <cell r="AI29">
            <v>-12.657853463105479</v>
          </cell>
          <cell r="AJ29">
            <v>-13.581463085172203</v>
          </cell>
          <cell r="AK29">
            <v>-14.179958931681828</v>
          </cell>
          <cell r="AL29">
            <v>-21.691356819994681</v>
          </cell>
          <cell r="AN29" t="str">
            <v>Americas</v>
          </cell>
          <cell r="AO29">
            <v>15.588896294914209</v>
          </cell>
          <cell r="AP29">
            <v>9.436502322780969</v>
          </cell>
          <cell r="AQ29">
            <v>-20.806166752873953</v>
          </cell>
          <cell r="AR29">
            <v>-76.215961339678614</v>
          </cell>
          <cell r="AS29">
            <v>-13.545057091035391</v>
          </cell>
          <cell r="AT29">
            <v>-15.348168602909952</v>
          </cell>
          <cell r="AU29">
            <v>7.14299308924166</v>
          </cell>
          <cell r="AV29">
            <v>-0.5771632002930005</v>
          </cell>
          <cell r="AW29">
            <v>10.294435154500338</v>
          </cell>
          <cell r="AX29">
            <v>0.62875679114019434</v>
          </cell>
          <cell r="AY29">
            <v>28.110261117638942</v>
          </cell>
          <cell r="AZ29">
            <v>69.584486519481203</v>
          </cell>
          <cell r="BA29">
            <v>2.2068957748957132</v>
          </cell>
          <cell r="BB29">
            <v>49.02379668357591</v>
          </cell>
          <cell r="BC29">
            <v>-0.9038725702365078</v>
          </cell>
          <cell r="BD29">
            <v>26.88359707191152</v>
          </cell>
          <cell r="BE29">
            <v>-32.384458459605995</v>
          </cell>
          <cell r="BF29">
            <v>-6.4617425162082114</v>
          </cell>
          <cell r="BG29">
            <v>-7.3068075748699819</v>
          </cell>
          <cell r="BH29">
            <v>-8.6255788342284134</v>
          </cell>
          <cell r="BI29">
            <v>28.460989712594277</v>
          </cell>
          <cell r="BJ29">
            <v>-17.915823930277281</v>
          </cell>
          <cell r="BK29">
            <v>30.774752783884527</v>
          </cell>
          <cell r="BL29">
            <v>25.872813855002804</v>
          </cell>
          <cell r="BM29">
            <v>18.457484605378504</v>
          </cell>
          <cell r="BN29">
            <v>25.09101430045877</v>
          </cell>
          <cell r="BO29">
            <v>31.2288481735327</v>
          </cell>
          <cell r="BP29">
            <v>19.233286225503413</v>
          </cell>
          <cell r="BQ29">
            <v>-17.824324264373026</v>
          </cell>
          <cell r="BR29">
            <v>-0.6467363373891537</v>
          </cell>
          <cell r="BS29">
            <v>-19.967697271143798</v>
          </cell>
          <cell r="BT29">
            <v>-69.894371975538405</v>
          </cell>
        </row>
        <row r="30">
          <cell r="B30" t="str">
            <v>International</v>
          </cell>
          <cell r="G30">
            <v>34.177973185768906</v>
          </cell>
          <cell r="H30">
            <v>25.642596302954271</v>
          </cell>
          <cell r="I30">
            <v>33.191214502519749</v>
          </cell>
          <cell r="J30">
            <v>39.314274770930112</v>
          </cell>
          <cell r="K30">
            <v>16.581280254344527</v>
          </cell>
          <cell r="L30">
            <v>47.479676321197687</v>
          </cell>
          <cell r="M30">
            <v>22.615125739362238</v>
          </cell>
          <cell r="N30">
            <v>19.429483005943649</v>
          </cell>
          <cell r="O30">
            <v>-8.8908160262577738</v>
          </cell>
          <cell r="P30">
            <v>14.963928637356302</v>
          </cell>
          <cell r="Q30">
            <v>14.330799403734133</v>
          </cell>
          <cell r="R30">
            <v>41.96487719640848</v>
          </cell>
          <cell r="S30">
            <v>45.772773320354631</v>
          </cell>
          <cell r="T30">
            <v>9.0698687284777453</v>
          </cell>
          <cell r="U30">
            <v>14.645920327430259</v>
          </cell>
          <cell r="V30">
            <v>45.959286186869043</v>
          </cell>
          <cell r="W30">
            <v>-5.0909843833452575</v>
          </cell>
          <cell r="X30">
            <v>27.305540961846933</v>
          </cell>
          <cell r="Y30">
            <v>40.333896254196389</v>
          </cell>
          <cell r="Z30">
            <v>30.76361455642234</v>
          </cell>
          <cell r="AA30">
            <v>-8.4795990970472683</v>
          </cell>
          <cell r="AB30">
            <v>12.13966296594513</v>
          </cell>
          <cell r="AC30">
            <v>-16.581385258284392</v>
          </cell>
          <cell r="AD30">
            <v>12.433915000517665</v>
          </cell>
          <cell r="AE30">
            <v>65.122808220295681</v>
          </cell>
          <cell r="AF30">
            <v>36.048655805320685</v>
          </cell>
          <cell r="AG30">
            <v>30.231308302690156</v>
          </cell>
          <cell r="AH30">
            <v>31.869587875565017</v>
          </cell>
          <cell r="AI30">
            <v>16.712575844273431</v>
          </cell>
          <cell r="AJ30">
            <v>23.50627612216487</v>
          </cell>
          <cell r="AK30">
            <v>22.578488245416249</v>
          </cell>
          <cell r="AL30">
            <v>29.66067071983997</v>
          </cell>
          <cell r="AN30" t="str">
            <v>International</v>
          </cell>
          <cell r="AO30">
            <v>34.177973185768906</v>
          </cell>
          <cell r="AP30">
            <v>25.642596302954271</v>
          </cell>
          <cell r="AQ30">
            <v>33.191214502519749</v>
          </cell>
          <cell r="AR30">
            <v>39.314274770930112</v>
          </cell>
          <cell r="AS30">
            <v>50.759253440113433</v>
          </cell>
          <cell r="AT30">
            <v>73.122272624151961</v>
          </cell>
          <cell r="AU30">
            <v>55.806340241881983</v>
          </cell>
          <cell r="AV30">
            <v>58.743757776873764</v>
          </cell>
          <cell r="AW30">
            <v>7.6904642280867535</v>
          </cell>
          <cell r="AX30">
            <v>62.443604958553991</v>
          </cell>
          <cell r="AY30">
            <v>36.945925143096375</v>
          </cell>
          <cell r="AZ30">
            <v>61.394360202352132</v>
          </cell>
          <cell r="BA30">
            <v>36.881957294096857</v>
          </cell>
          <cell r="BB30">
            <v>24.033797365834047</v>
          </cell>
          <cell r="BC30">
            <v>28.976719731164394</v>
          </cell>
          <cell r="BD30">
            <v>87.924163383277516</v>
          </cell>
          <cell r="BE30">
            <v>40.681788937009372</v>
          </cell>
          <cell r="BF30">
            <v>36.37540969032468</v>
          </cell>
          <cell r="BG30">
            <v>54.97981658162665</v>
          </cell>
          <cell r="BH30">
            <v>76.722900743291376</v>
          </cell>
          <cell r="BI30">
            <v>-13.570583480392525</v>
          </cell>
          <cell r="BJ30">
            <v>39.445203927792065</v>
          </cell>
          <cell r="BK30">
            <v>23.752510995911997</v>
          </cell>
          <cell r="BL30">
            <v>43.197529556940005</v>
          </cell>
          <cell r="BM30">
            <v>56.643209123248411</v>
          </cell>
          <cell r="BN30">
            <v>48.188318771265813</v>
          </cell>
          <cell r="BO30">
            <v>13.649923044405764</v>
          </cell>
          <cell r="BP30">
            <v>44.303502876082682</v>
          </cell>
          <cell r="BQ30">
            <v>81.835384064569112</v>
          </cell>
          <cell r="BR30">
            <v>59.554931927485555</v>
          </cell>
          <cell r="BS30">
            <v>52.809796548106405</v>
          </cell>
          <cell r="BT30">
            <v>61.530258595404987</v>
          </cell>
        </row>
        <row r="31">
          <cell r="B31" t="str">
            <v>Imaging</v>
          </cell>
          <cell r="G31">
            <v>16.000000000000007</v>
          </cell>
          <cell r="H31">
            <v>-14.200000000000005</v>
          </cell>
          <cell r="I31">
            <v>-2.3000000000000007</v>
          </cell>
          <cell r="J31">
            <v>2.4999999999999982</v>
          </cell>
          <cell r="K31">
            <v>7.8999999999999968</v>
          </cell>
          <cell r="L31">
            <v>35.899999999999991</v>
          </cell>
          <cell r="M31">
            <v>21.000000000000004</v>
          </cell>
          <cell r="N31">
            <v>15.200000000000031</v>
          </cell>
          <cell r="O31">
            <v>12.899999999999984</v>
          </cell>
          <cell r="P31">
            <v>19</v>
          </cell>
          <cell r="Q31">
            <v>17.70000000000001</v>
          </cell>
          <cell r="R31">
            <v>14.199999999999969</v>
          </cell>
          <cell r="S31">
            <v>8.6000000000000139</v>
          </cell>
          <cell r="T31">
            <v>50.800000000000018</v>
          </cell>
          <cell r="U31">
            <v>5.3000000000000096</v>
          </cell>
          <cell r="V31">
            <v>48.000000000000021</v>
          </cell>
          <cell r="W31">
            <v>21.100000000000005</v>
          </cell>
          <cell r="X31">
            <v>5.4999999999999893</v>
          </cell>
          <cell r="Y31">
            <v>16.899999999999995</v>
          </cell>
          <cell r="Z31">
            <v>26.700000000000003</v>
          </cell>
          <cell r="AA31">
            <v>-22.899999999999991</v>
          </cell>
          <cell r="AB31">
            <v>20.599999999999984</v>
          </cell>
          <cell r="AC31">
            <v>18.300000000000015</v>
          </cell>
          <cell r="AD31">
            <v>28.999999999999979</v>
          </cell>
          <cell r="AE31">
            <v>40.300000000000004</v>
          </cell>
          <cell r="AF31">
            <v>9.8421209756097738</v>
          </cell>
          <cell r="AG31">
            <v>18.176643253234758</v>
          </cell>
          <cell r="AH31">
            <v>8.9275021385800191</v>
          </cell>
          <cell r="AI31">
            <v>14.451702519975433</v>
          </cell>
          <cell r="AJ31">
            <v>19.297817853658536</v>
          </cell>
          <cell r="AK31">
            <v>15.991925693160836</v>
          </cell>
          <cell r="AL31">
            <v>21.839424721984624</v>
          </cell>
          <cell r="AN31" t="str">
            <v>Imaging</v>
          </cell>
          <cell r="AO31">
            <v>16.000000000000007</v>
          </cell>
          <cell r="AP31">
            <v>-14.200000000000005</v>
          </cell>
          <cell r="AQ31">
            <v>-2.3000000000000007</v>
          </cell>
          <cell r="AR31">
            <v>2.4999999999999982</v>
          </cell>
          <cell r="AS31">
            <v>23.900000000000006</v>
          </cell>
          <cell r="AT31">
            <v>21.699999999999989</v>
          </cell>
          <cell r="AU31">
            <v>18.700000000000003</v>
          </cell>
          <cell r="AV31">
            <v>17.700000000000031</v>
          </cell>
          <cell r="AW31">
            <v>20.799999999999983</v>
          </cell>
          <cell r="AX31">
            <v>54.899999999999991</v>
          </cell>
          <cell r="AY31">
            <v>38.700000000000017</v>
          </cell>
          <cell r="AZ31">
            <v>29.4</v>
          </cell>
          <cell r="BA31">
            <v>21.5</v>
          </cell>
          <cell r="BB31">
            <v>69.800000000000011</v>
          </cell>
          <cell r="BC31">
            <v>19.000000000000021</v>
          </cell>
          <cell r="BD31">
            <v>58.199999999999989</v>
          </cell>
          <cell r="BE31">
            <v>25.700000000000017</v>
          </cell>
          <cell r="BF31">
            <v>52.300000000000011</v>
          </cell>
          <cell r="BG31">
            <v>22.200000000000003</v>
          </cell>
          <cell r="BH31">
            <v>74.700000000000017</v>
          </cell>
          <cell r="BI31">
            <v>-1.7999999999999865</v>
          </cell>
          <cell r="BJ31">
            <v>26.099999999999973</v>
          </cell>
          <cell r="BK31">
            <v>35.20000000000001</v>
          </cell>
          <cell r="BL31">
            <v>55.699999999999982</v>
          </cell>
          <cell r="BM31">
            <v>17.400000000000013</v>
          </cell>
          <cell r="BN31">
            <v>30.442120975609757</v>
          </cell>
          <cell r="BO31">
            <v>36.476643253234769</v>
          </cell>
          <cell r="BP31">
            <v>37.927502138579996</v>
          </cell>
          <cell r="BQ31">
            <v>54.751702519975439</v>
          </cell>
          <cell r="BR31">
            <v>29.13993882926831</v>
          </cell>
          <cell r="BS31">
            <v>34.168568946395595</v>
          </cell>
          <cell r="BT31">
            <v>30.766926860564645</v>
          </cell>
        </row>
        <row r="32">
          <cell r="B32" t="str">
            <v>Americas Net</v>
          </cell>
          <cell r="G32">
            <v>5.6258512385970549</v>
          </cell>
          <cell r="H32">
            <v>-3.7400666567354159</v>
          </cell>
          <cell r="I32">
            <v>-0.88013546196659553</v>
          </cell>
          <cell r="J32">
            <v>0.71156255723596396</v>
          </cell>
          <cell r="K32">
            <v>2.7777640490572932</v>
          </cell>
          <cell r="L32">
            <v>9.455520632169117</v>
          </cell>
          <cell r="M32">
            <v>8.0360194353471766</v>
          </cell>
          <cell r="N32">
            <v>4.3263003479946729</v>
          </cell>
          <cell r="O32">
            <v>4.5358425611188684</v>
          </cell>
          <cell r="P32">
            <v>5.0043145407023184</v>
          </cell>
          <cell r="Q32">
            <v>6.7732163812211859</v>
          </cell>
          <cell r="R32">
            <v>4.0416753251002699</v>
          </cell>
          <cell r="S32">
            <v>3.0238950407459204</v>
          </cell>
          <cell r="T32">
            <v>13.379956771983039</v>
          </cell>
          <cell r="U32">
            <v>2.0281382384447566</v>
          </cell>
          <cell r="V32">
            <v>13.662001098930515</v>
          </cell>
          <cell r="W32">
            <v>15.684316298134506</v>
          </cell>
          <cell r="X32">
            <v>-9.1811113744396682</v>
          </cell>
          <cell r="Y32">
            <v>8.4129515292361035</v>
          </cell>
          <cell r="Z32">
            <v>12.796713949150876</v>
          </cell>
          <cell r="AA32">
            <v>-23.245771206528609</v>
          </cell>
          <cell r="AB32">
            <v>27.901701385409186</v>
          </cell>
          <cell r="AC32">
            <v>2.8622356785114489</v>
          </cell>
          <cell r="AD32">
            <v>-2.8901745157757692</v>
          </cell>
          <cell r="AE32">
            <v>13.468345435196222</v>
          </cell>
          <cell r="AF32">
            <v>-6.4681268292682921</v>
          </cell>
          <cell r="AG32">
            <v>5.9567837338262493</v>
          </cell>
          <cell r="AH32">
            <v>8.9275021385799818</v>
          </cell>
          <cell r="AI32">
            <v>3.3793607867240327</v>
          </cell>
          <cell r="AJ32">
            <v>4.0749199024390244</v>
          </cell>
          <cell r="AK32">
            <v>4.5867234750462123</v>
          </cell>
          <cell r="AL32">
            <v>4.7910928143712574</v>
          </cell>
          <cell r="AN32" t="str">
            <v>Americas Net</v>
          </cell>
          <cell r="AO32">
            <v>5.6258512385970549</v>
          </cell>
          <cell r="AP32">
            <v>-3.7400666567354159</v>
          </cell>
          <cell r="AQ32">
            <v>-0.88013546196659553</v>
          </cell>
          <cell r="AR32">
            <v>0.71156255723596396</v>
          </cell>
          <cell r="AS32">
            <v>8.4036152876543486</v>
          </cell>
          <cell r="AT32">
            <v>5.715453975433701</v>
          </cell>
          <cell r="AU32">
            <v>7.1558839733805808</v>
          </cell>
          <cell r="AV32">
            <v>5.0378629052306367</v>
          </cell>
          <cell r="AW32">
            <v>7.3136066101761621</v>
          </cell>
          <cell r="AX32">
            <v>14.459835172871436</v>
          </cell>
          <cell r="AY32">
            <v>14.809235816568362</v>
          </cell>
          <cell r="AZ32">
            <v>8.3679756730949428</v>
          </cell>
          <cell r="BA32">
            <v>7.5597376018647893</v>
          </cell>
          <cell r="BB32">
            <v>18.384271312685357</v>
          </cell>
          <cell r="BC32">
            <v>8.8013546196659433</v>
          </cell>
          <cell r="BD32">
            <v>17.703676424030785</v>
          </cell>
          <cell r="BE32">
            <v>18.708211338880428</v>
          </cell>
          <cell r="BF32">
            <v>4.198845397543371</v>
          </cell>
          <cell r="BG32">
            <v>10.441089767680861</v>
          </cell>
          <cell r="BH32">
            <v>26.458715048081391</v>
          </cell>
          <cell r="BI32">
            <v>-7.5614549083941025</v>
          </cell>
          <cell r="BJ32">
            <v>18.720590010969516</v>
          </cell>
          <cell r="BK32">
            <v>11.275187207747553</v>
          </cell>
          <cell r="BL32">
            <v>9.9065394333751069</v>
          </cell>
          <cell r="BM32">
            <v>-9.7774257713323873</v>
          </cell>
          <cell r="BN32">
            <v>21.433574556140893</v>
          </cell>
          <cell r="BO32">
            <v>8.819019412337699</v>
          </cell>
          <cell r="BP32">
            <v>6.037327622804213</v>
          </cell>
          <cell r="BQ32">
            <v>16.847706221920255</v>
          </cell>
          <cell r="BR32">
            <v>-2.3932069268292677</v>
          </cell>
          <cell r="BS32">
            <v>10.543507208872462</v>
          </cell>
          <cell r="BT32">
            <v>13.718594952951239</v>
          </cell>
        </row>
        <row r="33">
          <cell r="B33" t="str">
            <v>International Net</v>
          </cell>
          <cell r="G33">
            <v>10.374148761402953</v>
          </cell>
          <cell r="H33">
            <v>-10.459933343264586</v>
          </cell>
          <cell r="I33">
            <v>-1.4198645380333992</v>
          </cell>
          <cell r="J33">
            <v>1.7884374427640344</v>
          </cell>
          <cell r="K33">
            <v>5.1222359509427031</v>
          </cell>
          <cell r="L33">
            <v>26.444479367830876</v>
          </cell>
          <cell r="M33">
            <v>12.963980564652827</v>
          </cell>
          <cell r="N33">
            <v>10.873699652005358</v>
          </cell>
          <cell r="O33">
            <v>8.3641574388811026</v>
          </cell>
          <cell r="P33">
            <v>13.995685459297697</v>
          </cell>
          <cell r="Q33">
            <v>10.926783618778801</v>
          </cell>
          <cell r="R33">
            <v>10.158324674899699</v>
          </cell>
          <cell r="S33">
            <v>5.5761049592540921</v>
          </cell>
          <cell r="T33">
            <v>37.420043228016972</v>
          </cell>
          <cell r="U33">
            <v>3.2718617615552428</v>
          </cell>
          <cell r="V33">
            <v>34.337998901069497</v>
          </cell>
          <cell r="W33">
            <v>5.4156837018654889</v>
          </cell>
          <cell r="X33">
            <v>14.681111374439677</v>
          </cell>
          <cell r="Y33">
            <v>8.4870484707638738</v>
          </cell>
          <cell r="Z33">
            <v>13.903286050849113</v>
          </cell>
          <cell r="AA33">
            <v>0.34577120652861432</v>
          </cell>
          <cell r="AB33">
            <v>-7.3017013854091877</v>
          </cell>
          <cell r="AC33">
            <v>15.437764321488579</v>
          </cell>
          <cell r="AD33">
            <v>31.890174515775776</v>
          </cell>
          <cell r="AE33">
            <v>26.831654564803781</v>
          </cell>
          <cell r="AF33">
            <v>16.310247804878049</v>
          </cell>
          <cell r="AG33">
            <v>12.219859519408503</v>
          </cell>
          <cell r="AH33">
            <v>0</v>
          </cell>
          <cell r="AI33">
            <v>11.072341733251385</v>
          </cell>
          <cell r="AJ33">
            <v>15.222897951219515</v>
          </cell>
          <cell r="AK33">
            <v>11.405202218114605</v>
          </cell>
          <cell r="AL33">
            <v>17.048331907613345</v>
          </cell>
          <cell r="AN33" t="str">
            <v>International Net</v>
          </cell>
          <cell r="AO33">
            <v>10.374148761402953</v>
          </cell>
          <cell r="AP33">
            <v>-10.459933343264586</v>
          </cell>
          <cell r="AQ33">
            <v>-1.4198645380333992</v>
          </cell>
          <cell r="AR33">
            <v>1.7884374427640344</v>
          </cell>
          <cell r="AS33">
            <v>15.496384712345655</v>
          </cell>
          <cell r="AT33">
            <v>15.98454602456629</v>
          </cell>
          <cell r="AU33">
            <v>11.544116026619427</v>
          </cell>
          <cell r="AV33">
            <v>12.662137094769392</v>
          </cell>
          <cell r="AW33">
            <v>13.486393389823807</v>
          </cell>
          <cell r="AX33">
            <v>40.440164827128569</v>
          </cell>
          <cell r="AY33">
            <v>23.890764183431628</v>
          </cell>
          <cell r="AZ33">
            <v>21.032024326905059</v>
          </cell>
          <cell r="BA33">
            <v>13.940262398135195</v>
          </cell>
          <cell r="BB33">
            <v>51.415728687314669</v>
          </cell>
          <cell r="BC33">
            <v>14.198645380334044</v>
          </cell>
          <cell r="BD33">
            <v>44.4963235759692</v>
          </cell>
          <cell r="BE33">
            <v>10.991788661119582</v>
          </cell>
          <cell r="BF33">
            <v>52.101154602456646</v>
          </cell>
          <cell r="BG33">
            <v>11.758910232319117</v>
          </cell>
          <cell r="BH33">
            <v>48.241284951918608</v>
          </cell>
          <cell r="BI33">
            <v>5.7614549083941036</v>
          </cell>
          <cell r="BJ33">
            <v>7.3794099890304894</v>
          </cell>
          <cell r="BK33">
            <v>23.924812792252453</v>
          </cell>
          <cell r="BL33">
            <v>45.793460566624887</v>
          </cell>
          <cell r="BM33">
            <v>27.177425771332395</v>
          </cell>
          <cell r="BN33">
            <v>9.0085464194688605</v>
          </cell>
          <cell r="BO33">
            <v>27.657623840897081</v>
          </cell>
          <cell r="BP33">
            <v>31.890174515775776</v>
          </cell>
          <cell r="BQ33">
            <v>37.903996298055162</v>
          </cell>
          <cell r="BR33">
            <v>31.533145756097564</v>
          </cell>
          <cell r="BS33">
            <v>23.625061737523108</v>
          </cell>
          <cell r="BT33">
            <v>17.048331907613345</v>
          </cell>
        </row>
        <row r="34">
          <cell r="B34" t="str">
            <v>Other/Proton Orders</v>
          </cell>
          <cell r="G34">
            <v>4.4000000000000004</v>
          </cell>
          <cell r="H34">
            <v>1.8999999999999984</v>
          </cell>
          <cell r="I34">
            <v>-18.2</v>
          </cell>
          <cell r="J34">
            <v>68.900000000000006</v>
          </cell>
          <cell r="K34">
            <v>-72.5</v>
          </cell>
          <cell r="L34">
            <v>-8.9000000000000021</v>
          </cell>
          <cell r="M34">
            <v>11.2</v>
          </cell>
          <cell r="N34">
            <v>-80.8</v>
          </cell>
          <cell r="O34">
            <v>61.8</v>
          </cell>
          <cell r="P34">
            <v>25.400000000000002</v>
          </cell>
          <cell r="Q34">
            <v>-2.3000000000000007</v>
          </cell>
          <cell r="R34">
            <v>116.29999999999998</v>
          </cell>
          <cell r="S34">
            <v>-20.999999999999968</v>
          </cell>
          <cell r="T34">
            <v>85.8</v>
          </cell>
          <cell r="U34">
            <v>-16.000000000000025</v>
          </cell>
          <cell r="V34">
            <v>-123.7</v>
          </cell>
          <cell r="W34">
            <v>-0.19999999999996021</v>
          </cell>
          <cell r="X34">
            <v>-122.80000000000007</v>
          </cell>
          <cell r="Y34">
            <v>0.20000000000003126</v>
          </cell>
          <cell r="Z34">
            <v>-0.69999999999998863</v>
          </cell>
          <cell r="AA34">
            <v>-9.9475983006424527E-14</v>
          </cell>
          <cell r="AB34" t="e">
            <v>#VALUE!</v>
          </cell>
          <cell r="AC34" t="e">
            <v>#VALUE!</v>
          </cell>
          <cell r="AD34" t="e">
            <v>#VALUE!</v>
          </cell>
          <cell r="AE34">
            <v>0.70000000000002538</v>
          </cell>
          <cell r="AF34">
            <v>-18.900000000000002</v>
          </cell>
          <cell r="AG34">
            <v>-17.399999999999999</v>
          </cell>
          <cell r="AH34" t="e">
            <v>#VALUE!</v>
          </cell>
          <cell r="AI34" t="e">
            <v>#VALUE!</v>
          </cell>
          <cell r="AJ34">
            <v>10</v>
          </cell>
          <cell r="AK34">
            <v>10</v>
          </cell>
          <cell r="AL34">
            <v>10</v>
          </cell>
          <cell r="AN34" t="str">
            <v>Other/Proton Orders</v>
          </cell>
          <cell r="AO34">
            <v>4.4000000000000004</v>
          </cell>
          <cell r="AP34">
            <v>1.8999999999999984</v>
          </cell>
          <cell r="AQ34">
            <v>-18.2</v>
          </cell>
          <cell r="AR34">
            <v>68.900000000000006</v>
          </cell>
          <cell r="AS34">
            <v>-68.099999999999994</v>
          </cell>
          <cell r="AT34">
            <v>-7.0000000000000036</v>
          </cell>
          <cell r="AU34">
            <v>-7</v>
          </cell>
          <cell r="AV34">
            <v>-11.899999999999991</v>
          </cell>
          <cell r="AW34">
            <v>-10.700000000000003</v>
          </cell>
          <cell r="AX34">
            <v>16.5</v>
          </cell>
          <cell r="AY34">
            <v>8.8999999999999986</v>
          </cell>
          <cell r="AZ34">
            <v>35.499999999999986</v>
          </cell>
          <cell r="BA34">
            <v>40.800000000000026</v>
          </cell>
          <cell r="BB34">
            <v>111.2</v>
          </cell>
          <cell r="BC34">
            <v>-18.300000000000026</v>
          </cell>
          <cell r="BD34">
            <v>-7.4000000000000199</v>
          </cell>
          <cell r="BE34">
            <v>-21.199999999999928</v>
          </cell>
          <cell r="BF34">
            <v>-37.000000000000071</v>
          </cell>
          <cell r="BG34">
            <v>-15.799999999999994</v>
          </cell>
          <cell r="BH34">
            <v>-124.39999999999999</v>
          </cell>
          <cell r="BI34">
            <v>-0.20000000000005969</v>
          </cell>
          <cell r="BJ34" t="e">
            <v>#VALUE!</v>
          </cell>
          <cell r="BK34" t="e">
            <v>#VALUE!</v>
          </cell>
          <cell r="BL34" t="e">
            <v>#VALUE!</v>
          </cell>
          <cell r="BM34">
            <v>0.6999999999999259</v>
          </cell>
          <cell r="BN34" t="e">
            <v>#VALUE!</v>
          </cell>
          <cell r="BO34" t="e">
            <v>#VALUE!</v>
          </cell>
          <cell r="BP34" t="e">
            <v>#VALUE!</v>
          </cell>
          <cell r="BQ34" t="e">
            <v>#VALUE!</v>
          </cell>
          <cell r="BR34">
            <v>-8.9000000000000021</v>
          </cell>
          <cell r="BS34">
            <v>-7.3999999999999986</v>
          </cell>
          <cell r="BT34" t="e">
            <v>#VALUE!</v>
          </cell>
        </row>
        <row r="35">
          <cell r="B35" t="str">
            <v>Total Net Orders</v>
          </cell>
          <cell r="G35">
            <v>63.569999999999993</v>
          </cell>
          <cell r="H35">
            <v>30.923999999999996</v>
          </cell>
          <cell r="I35">
            <v>-5.7240000000000002</v>
          </cell>
          <cell r="J35">
            <v>36.260000000000005</v>
          </cell>
          <cell r="K35">
            <v>-77.182000000000016</v>
          </cell>
          <cell r="L35">
            <v>52.420000000000009</v>
          </cell>
          <cell r="M35">
            <v>82.469999999999985</v>
          </cell>
          <cell r="N35">
            <v>98.241</v>
          </cell>
          <cell r="O35">
            <v>34.692000000000007</v>
          </cell>
          <cell r="P35">
            <v>83.048000000000002</v>
          </cell>
          <cell r="Q35">
            <v>37.758000000000003</v>
          </cell>
          <cell r="R35">
            <v>54.383000000000003</v>
          </cell>
          <cell r="S35">
            <v>10.550000000000052</v>
          </cell>
          <cell r="T35">
            <v>181.30000000000007</v>
          </cell>
          <cell r="U35">
            <v>11.427999999999987</v>
          </cell>
          <cell r="V35">
            <v>10.364000000000019</v>
          </cell>
          <cell r="W35">
            <v>16.053000000000043</v>
          </cell>
          <cell r="X35">
            <v>-126.89999999999999</v>
          </cell>
          <cell r="Y35">
            <v>48.258000000000003</v>
          </cell>
          <cell r="Z35">
            <v>-68.631999999999991</v>
          </cell>
          <cell r="AA35">
            <v>-10.200000000000042</v>
          </cell>
          <cell r="AB35">
            <v>88.238400000000055</v>
          </cell>
          <cell r="AC35">
            <v>78.373999999999995</v>
          </cell>
          <cell r="AD35">
            <v>226.90000000000009</v>
          </cell>
          <cell r="AE35">
            <v>97.082605762473747</v>
          </cell>
          <cell r="AF35">
            <v>32.146110623551913</v>
          </cell>
          <cell r="AG35">
            <v>15.373834022448222</v>
          </cell>
          <cell r="AH35">
            <v>20.463529587466457</v>
          </cell>
          <cell r="AI35">
            <v>60.099039768037095</v>
          </cell>
          <cell r="AJ35">
            <v>37.935941727062328</v>
          </cell>
          <cell r="AK35">
            <v>34.390455006895237</v>
          </cell>
          <cell r="AL35">
            <v>39.808738621829875</v>
          </cell>
          <cell r="AN35" t="str">
            <v>Total Net Orders</v>
          </cell>
          <cell r="AO35">
            <v>63.569999999999993</v>
          </cell>
          <cell r="AP35">
            <v>30.923999999999996</v>
          </cell>
          <cell r="AQ35">
            <v>-5.7240000000000002</v>
          </cell>
          <cell r="AR35">
            <v>36.260000000000005</v>
          </cell>
          <cell r="AS35">
            <v>-13.612000000000023</v>
          </cell>
          <cell r="AT35">
            <v>83.344000000000008</v>
          </cell>
          <cell r="AU35">
            <v>76.745999999999981</v>
          </cell>
          <cell r="AV35">
            <v>134.501</v>
          </cell>
          <cell r="AW35">
            <v>-42.490000000000009</v>
          </cell>
          <cell r="AX35">
            <v>135.46800000000002</v>
          </cell>
          <cell r="AY35">
            <v>120.22799999999998</v>
          </cell>
          <cell r="AZ35">
            <v>152.624</v>
          </cell>
          <cell r="BA35">
            <v>45.242000000000061</v>
          </cell>
          <cell r="BB35">
            <v>264.34800000000007</v>
          </cell>
          <cell r="BC35">
            <v>49.185999999999993</v>
          </cell>
          <cell r="BD35">
            <v>64.747000000000014</v>
          </cell>
          <cell r="BE35">
            <v>26.603000000000094</v>
          </cell>
          <cell r="BF35">
            <v>54.400000000000077</v>
          </cell>
          <cell r="BG35">
            <v>59.685999999999993</v>
          </cell>
          <cell r="BH35">
            <v>-58.267999999999972</v>
          </cell>
          <cell r="BI35">
            <v>5.8530000000000015</v>
          </cell>
          <cell r="BJ35">
            <v>-38.661599999999936</v>
          </cell>
          <cell r="BK35">
            <v>126.63200000000001</v>
          </cell>
          <cell r="BL35">
            <v>158.26800000000009</v>
          </cell>
          <cell r="BM35">
            <v>86.882605762473702</v>
          </cell>
          <cell r="BN35">
            <v>120.38451062355196</v>
          </cell>
          <cell r="BO35">
            <v>93.747834022448217</v>
          </cell>
          <cell r="BP35">
            <v>247.36352958746656</v>
          </cell>
          <cell r="BQ35">
            <v>157.18164553051085</v>
          </cell>
          <cell r="BR35">
            <v>70.082052350614248</v>
          </cell>
          <cell r="BS35">
            <v>49.764289029343459</v>
          </cell>
          <cell r="BT35">
            <v>60.272268209296328</v>
          </cell>
        </row>
        <row r="36">
          <cell r="B36" t="str">
            <v>T2Q</v>
          </cell>
          <cell r="H36">
            <v>94.493999999999986</v>
          </cell>
          <cell r="I36">
            <v>25.199999999999996</v>
          </cell>
          <cell r="J36">
            <v>30.536000000000005</v>
          </cell>
          <cell r="K36">
            <v>-40.922000000000011</v>
          </cell>
          <cell r="L36">
            <v>-24.762000000000008</v>
          </cell>
          <cell r="M36">
            <v>134.88999999999999</v>
          </cell>
          <cell r="N36">
            <v>180.71099999999998</v>
          </cell>
          <cell r="O36">
            <v>132.93299999999999</v>
          </cell>
          <cell r="P36">
            <v>117.74000000000001</v>
          </cell>
          <cell r="Q36">
            <v>120.80600000000001</v>
          </cell>
          <cell r="R36">
            <v>92.141000000000005</v>
          </cell>
          <cell r="S36">
            <v>64.93300000000005</v>
          </cell>
          <cell r="T36">
            <v>191.85000000000011</v>
          </cell>
          <cell r="U36">
            <v>192.72800000000007</v>
          </cell>
          <cell r="V36">
            <v>21.792000000000005</v>
          </cell>
          <cell r="W36">
            <v>26.417000000000062</v>
          </cell>
          <cell r="X36">
            <v>-110.84699999999995</v>
          </cell>
          <cell r="Y36">
            <v>-78.641999999999996</v>
          </cell>
          <cell r="Z36">
            <v>-20.373999999999988</v>
          </cell>
          <cell r="AA36">
            <v>-78.832000000000036</v>
          </cell>
          <cell r="AB36">
            <v>78.03840000000001</v>
          </cell>
          <cell r="AC36">
            <v>166.61240000000004</v>
          </cell>
          <cell r="AD36">
            <v>305.27400000000011</v>
          </cell>
          <cell r="AE36">
            <v>323.98260576247384</v>
          </cell>
          <cell r="AF36">
            <v>129.22871638602567</v>
          </cell>
          <cell r="AG36">
            <v>47.519944646000134</v>
          </cell>
          <cell r="AH36">
            <v>35.837363609914675</v>
          </cell>
          <cell r="AI36">
            <v>80.562569355503555</v>
          </cell>
          <cell r="AJ36">
            <v>98.03498149509943</v>
          </cell>
          <cell r="AK36">
            <v>72.326396733957566</v>
          </cell>
          <cell r="AL36">
            <v>74.199193628725112</v>
          </cell>
          <cell r="AN36" t="str">
            <v>T2Q</v>
          </cell>
          <cell r="AP36">
            <v>94.493999999999986</v>
          </cell>
          <cell r="AQ36">
            <v>25.199999999999996</v>
          </cell>
          <cell r="AR36">
            <v>30.536000000000005</v>
          </cell>
          <cell r="AS36">
            <v>22.647999999999982</v>
          </cell>
          <cell r="AT36">
            <v>69.731999999999985</v>
          </cell>
          <cell r="AU36">
            <v>160.08999999999997</v>
          </cell>
          <cell r="AV36">
            <v>211.24699999999999</v>
          </cell>
          <cell r="AW36">
            <v>92.010999999999996</v>
          </cell>
          <cell r="AX36">
            <v>92.978000000000009</v>
          </cell>
          <cell r="AY36">
            <v>255.696</v>
          </cell>
          <cell r="AZ36">
            <v>272.85199999999998</v>
          </cell>
          <cell r="BA36">
            <v>197.86600000000004</v>
          </cell>
          <cell r="BB36">
            <v>309.59000000000015</v>
          </cell>
          <cell r="BC36">
            <v>313.53400000000005</v>
          </cell>
          <cell r="BD36">
            <v>113.93300000000001</v>
          </cell>
          <cell r="BE36">
            <v>91.350000000000108</v>
          </cell>
          <cell r="BF36">
            <v>81.003000000000171</v>
          </cell>
          <cell r="BG36">
            <v>114.08600000000007</v>
          </cell>
          <cell r="BH36">
            <v>1.4180000000000206</v>
          </cell>
          <cell r="BI36">
            <v>-52.414999999999971</v>
          </cell>
          <cell r="BJ36">
            <v>-32.808599999999934</v>
          </cell>
          <cell r="BK36">
            <v>87.970400000000069</v>
          </cell>
          <cell r="BL36">
            <v>284.90000000000009</v>
          </cell>
          <cell r="BM36">
            <v>245.15060576247379</v>
          </cell>
          <cell r="BN36">
            <v>207.26711638602566</v>
          </cell>
          <cell r="BO36">
            <v>214.13234464600018</v>
          </cell>
          <cell r="BP36">
            <v>341.11136360991475</v>
          </cell>
          <cell r="BQ36">
            <v>404.54517511797741</v>
          </cell>
          <cell r="BR36">
            <v>227.2636978811251</v>
          </cell>
          <cell r="BS36">
            <v>119.84634137995771</v>
          </cell>
          <cell r="BT36">
            <v>110.03655723863979</v>
          </cell>
        </row>
        <row r="37">
          <cell r="B37" t="str">
            <v>Order Backlog</v>
          </cell>
          <cell r="H37">
            <v>210.70000000000016</v>
          </cell>
          <cell r="I37">
            <v>185.79999999999995</v>
          </cell>
          <cell r="J37">
            <v>166.60000000000025</v>
          </cell>
          <cell r="K37">
            <v>78.600000000000108</v>
          </cell>
          <cell r="L37">
            <v>115.70000000000005</v>
          </cell>
          <cell r="M37">
            <v>127.00000000000011</v>
          </cell>
          <cell r="N37">
            <v>138.29999999999987</v>
          </cell>
          <cell r="O37">
            <v>196.50000000000009</v>
          </cell>
          <cell r="P37">
            <v>221.99999999999986</v>
          </cell>
          <cell r="Q37">
            <v>212.49999999999977</v>
          </cell>
          <cell r="R37">
            <v>336.80000000000007</v>
          </cell>
          <cell r="S37">
            <v>304.60000000000014</v>
          </cell>
          <cell r="T37">
            <v>414.10000000000014</v>
          </cell>
          <cell r="U37">
            <v>356.40000000000026</v>
          </cell>
          <cell r="V37">
            <v>314.80000000000024</v>
          </cell>
          <cell r="W37">
            <v>275.00000000000023</v>
          </cell>
          <cell r="X37">
            <v>99.799999999999486</v>
          </cell>
          <cell r="Y37">
            <v>115.90000000000009</v>
          </cell>
          <cell r="Z37">
            <v>24.700000000000131</v>
          </cell>
          <cell r="AA37">
            <v>-18.699999999999701</v>
          </cell>
          <cell r="AB37">
            <v>54.000000000000043</v>
          </cell>
          <cell r="AN37" t="str">
            <v>Order Backlog</v>
          </cell>
          <cell r="AO37">
            <v>0</v>
          </cell>
          <cell r="AP37">
            <v>210.70000000000016</v>
          </cell>
          <cell r="AQ37">
            <v>185.79999999999995</v>
          </cell>
          <cell r="AR37">
            <v>166.60000000000025</v>
          </cell>
          <cell r="AS37">
            <v>78.600000000000108</v>
          </cell>
          <cell r="AT37">
            <v>326.4000000000002</v>
          </cell>
          <cell r="AU37">
            <v>312.80000000000007</v>
          </cell>
          <cell r="AV37">
            <v>304.90000000000009</v>
          </cell>
          <cell r="AW37">
            <v>275.10000000000019</v>
          </cell>
          <cell r="AX37">
            <v>337.69999999999993</v>
          </cell>
          <cell r="AY37">
            <v>339.49999999999989</v>
          </cell>
          <cell r="AZ37">
            <v>475.09999999999991</v>
          </cell>
          <cell r="BA37">
            <v>501.10000000000025</v>
          </cell>
          <cell r="BB37">
            <v>636.1</v>
          </cell>
          <cell r="BC37">
            <v>568.90000000000009</v>
          </cell>
          <cell r="BD37">
            <v>651.60000000000036</v>
          </cell>
          <cell r="BE37">
            <v>579.60000000000036</v>
          </cell>
          <cell r="BF37">
            <v>513.89999999999964</v>
          </cell>
          <cell r="BG37">
            <v>472.30000000000035</v>
          </cell>
          <cell r="BH37">
            <v>339.50000000000034</v>
          </cell>
          <cell r="BI37">
            <v>256.30000000000052</v>
          </cell>
          <cell r="BJ37">
            <v>153.79999999999953</v>
          </cell>
        </row>
        <row r="38">
          <cell r="B38" t="str">
            <v>ex-Proton</v>
          </cell>
          <cell r="H38" t="e">
            <v>#REF!</v>
          </cell>
          <cell r="I38" t="e">
            <v>#REF!</v>
          </cell>
          <cell r="J38" t="e">
            <v>#REF!</v>
          </cell>
          <cell r="K38" t="e">
            <v>#REF!</v>
          </cell>
          <cell r="L38" t="e">
            <v>#REF!</v>
          </cell>
          <cell r="M38" t="e">
            <v>#REF!</v>
          </cell>
          <cell r="N38" t="e">
            <v>#REF!</v>
          </cell>
          <cell r="O38" t="e">
            <v>#REF!</v>
          </cell>
          <cell r="P38" t="e">
            <v>#REF!</v>
          </cell>
          <cell r="Q38" t="e">
            <v>#REF!</v>
          </cell>
          <cell r="R38" t="e">
            <v>#REF!</v>
          </cell>
          <cell r="S38" t="e">
            <v>#REF!</v>
          </cell>
          <cell r="T38" t="e">
            <v>#REF!</v>
          </cell>
          <cell r="U38" t="e">
            <v>#REF!</v>
          </cell>
          <cell r="V38" t="e">
            <v>#REF!</v>
          </cell>
          <cell r="W38" t="e">
            <v>#REF!</v>
          </cell>
          <cell r="X38" t="e">
            <v>#REF!</v>
          </cell>
          <cell r="Y38" t="e">
            <v>#REF!</v>
          </cell>
          <cell r="Z38" t="e">
            <v>#REF!</v>
          </cell>
          <cell r="AA38" t="e">
            <v>#REF!</v>
          </cell>
          <cell r="AB38" t="e">
            <v>#REF!</v>
          </cell>
          <cell r="AN38" t="str">
            <v>ex-Proton</v>
          </cell>
          <cell r="AO38">
            <v>0</v>
          </cell>
          <cell r="AP38" t="e">
            <v>#REF!</v>
          </cell>
          <cell r="AQ38" t="e">
            <v>#REF!</v>
          </cell>
          <cell r="AR38" t="e">
            <v>#REF!</v>
          </cell>
          <cell r="AS38" t="e">
            <v>#REF!</v>
          </cell>
          <cell r="AT38" t="e">
            <v>#REF!</v>
          </cell>
          <cell r="AU38" t="e">
            <v>#REF!</v>
          </cell>
          <cell r="AV38" t="e">
            <v>#REF!</v>
          </cell>
          <cell r="AW38" t="e">
            <v>#REF!</v>
          </cell>
          <cell r="AX38" t="e">
            <v>#REF!</v>
          </cell>
          <cell r="AY38" t="e">
            <v>#REF!</v>
          </cell>
          <cell r="AZ38" t="e">
            <v>#REF!</v>
          </cell>
          <cell r="BA38" t="e">
            <v>#REF!</v>
          </cell>
          <cell r="BB38" t="e">
            <v>#REF!</v>
          </cell>
          <cell r="BC38" t="e">
            <v>#REF!</v>
          </cell>
          <cell r="BD38" t="e">
            <v>#REF!</v>
          </cell>
          <cell r="BE38" t="e">
            <v>#REF!</v>
          </cell>
          <cell r="BF38" t="e">
            <v>#REF!</v>
          </cell>
          <cell r="BG38" t="e">
            <v>#REF!</v>
          </cell>
          <cell r="BH38" t="e">
            <v>#REF!</v>
          </cell>
          <cell r="BI38" t="e">
            <v>#REF!</v>
          </cell>
          <cell r="BJ38" t="e">
            <v>#REF!</v>
          </cell>
        </row>
        <row r="40">
          <cell r="B40" t="str">
            <v>Varian $ Orders</v>
          </cell>
          <cell r="G40" t="str">
            <v>ASTRO TIMING:</v>
          </cell>
          <cell r="K40">
            <v>41944</v>
          </cell>
          <cell r="O40">
            <v>41943</v>
          </cell>
          <cell r="S40">
            <v>41914</v>
          </cell>
          <cell r="W40">
            <v>41940</v>
          </cell>
          <cell r="Z40">
            <v>41904</v>
          </cell>
          <cell r="AD40">
            <v>41896</v>
          </cell>
          <cell r="AN40" t="str">
            <v>2-Year $ Order Trend</v>
          </cell>
        </row>
        <row r="41">
          <cell r="C41">
            <v>39447</v>
          </cell>
          <cell r="D41">
            <v>39538</v>
          </cell>
          <cell r="E41">
            <v>39629</v>
          </cell>
          <cell r="F41">
            <v>39721</v>
          </cell>
          <cell r="G41">
            <v>39813</v>
          </cell>
          <cell r="H41">
            <v>39903</v>
          </cell>
          <cell r="I41">
            <v>39994</v>
          </cell>
          <cell r="J41">
            <v>40086</v>
          </cell>
          <cell r="K41">
            <v>40178</v>
          </cell>
          <cell r="L41">
            <v>40268</v>
          </cell>
          <cell r="M41">
            <v>40359</v>
          </cell>
          <cell r="N41">
            <v>40451</v>
          </cell>
          <cell r="O41">
            <v>40543</v>
          </cell>
          <cell r="P41">
            <v>40633</v>
          </cell>
          <cell r="Q41">
            <v>40724</v>
          </cell>
          <cell r="R41">
            <v>40816</v>
          </cell>
          <cell r="S41">
            <v>40908.25</v>
          </cell>
          <cell r="T41">
            <v>40998.25</v>
          </cell>
          <cell r="U41">
            <v>41089.25</v>
          </cell>
          <cell r="V41">
            <v>41181.25</v>
          </cell>
          <cell r="W41">
            <v>41273.5</v>
          </cell>
          <cell r="X41">
            <v>41363.5</v>
          </cell>
          <cell r="Y41">
            <v>41454.5</v>
          </cell>
          <cell r="Z41">
            <v>41546.5</v>
          </cell>
          <cell r="AA41">
            <v>41638.75</v>
          </cell>
          <cell r="AB41">
            <v>41728.75</v>
          </cell>
          <cell r="AC41">
            <v>41819.75</v>
          </cell>
          <cell r="AD41">
            <v>41911.75</v>
          </cell>
          <cell r="AE41">
            <v>42004</v>
          </cell>
          <cell r="AF41">
            <v>42094</v>
          </cell>
          <cell r="AG41">
            <v>42185</v>
          </cell>
          <cell r="AH41">
            <v>42277</v>
          </cell>
          <cell r="AI41">
            <v>42369.25</v>
          </cell>
          <cell r="AJ41">
            <v>42459.25</v>
          </cell>
          <cell r="AK41">
            <v>42550.25</v>
          </cell>
          <cell r="AL41">
            <v>42642.25</v>
          </cell>
          <cell r="AO41">
            <v>39813</v>
          </cell>
          <cell r="AP41">
            <v>39903</v>
          </cell>
          <cell r="AQ41">
            <v>39994</v>
          </cell>
          <cell r="AR41">
            <v>40086</v>
          </cell>
          <cell r="AS41">
            <v>40178</v>
          </cell>
          <cell r="AT41">
            <v>40268</v>
          </cell>
          <cell r="AU41">
            <v>40359</v>
          </cell>
          <cell r="AV41">
            <v>40451</v>
          </cell>
          <cell r="AW41">
            <v>40543</v>
          </cell>
          <cell r="AX41">
            <v>40633</v>
          </cell>
          <cell r="AY41">
            <v>40724</v>
          </cell>
          <cell r="AZ41">
            <v>40816</v>
          </cell>
          <cell r="BA41">
            <v>40908.25</v>
          </cell>
          <cell r="BB41">
            <v>40998.25</v>
          </cell>
          <cell r="BC41">
            <v>41089.25</v>
          </cell>
          <cell r="BD41">
            <v>41181.25</v>
          </cell>
          <cell r="BE41">
            <v>41273.5</v>
          </cell>
          <cell r="BF41">
            <v>41363.5</v>
          </cell>
          <cell r="BG41">
            <v>41454.5</v>
          </cell>
          <cell r="BH41">
            <v>41546.5</v>
          </cell>
          <cell r="BI41">
            <v>41638.75</v>
          </cell>
          <cell r="BJ41">
            <v>41728.75</v>
          </cell>
          <cell r="BK41">
            <v>41819.75</v>
          </cell>
          <cell r="BL41">
            <v>41911.75</v>
          </cell>
          <cell r="BM41">
            <v>42004</v>
          </cell>
          <cell r="BN41">
            <v>42094</v>
          </cell>
          <cell r="BO41">
            <v>42185</v>
          </cell>
          <cell r="BP41">
            <v>42277</v>
          </cell>
          <cell r="BQ41">
            <v>42369.25</v>
          </cell>
          <cell r="BR41">
            <v>42459.25</v>
          </cell>
          <cell r="BS41">
            <v>42550.25</v>
          </cell>
          <cell r="BT41">
            <v>42642.25</v>
          </cell>
        </row>
        <row r="42">
          <cell r="B42" t="str">
            <v>Oncology Sys.</v>
          </cell>
          <cell r="C42">
            <v>385.7</v>
          </cell>
          <cell r="D42">
            <v>413.1</v>
          </cell>
          <cell r="E42">
            <v>461.4</v>
          </cell>
          <cell r="F42">
            <v>610.80000000000007</v>
          </cell>
          <cell r="G42">
            <v>427.6</v>
          </cell>
          <cell r="H42">
            <v>434.20000000000005</v>
          </cell>
          <cell r="I42">
            <v>459.29999999999995</v>
          </cell>
          <cell r="J42">
            <v>569.9</v>
          </cell>
          <cell r="K42">
            <v>436.5</v>
          </cell>
          <cell r="L42">
            <v>476.2</v>
          </cell>
          <cell r="M42">
            <v>506.6</v>
          </cell>
          <cell r="N42">
            <v>656.69999999999993</v>
          </cell>
          <cell r="O42">
            <v>459</v>
          </cell>
          <cell r="P42">
            <v>520.09999999999991</v>
          </cell>
          <cell r="Q42">
            <v>553.20000000000005</v>
          </cell>
          <cell r="R42">
            <v>717.2</v>
          </cell>
          <cell r="S42">
            <v>484.7</v>
          </cell>
          <cell r="T42">
            <v>564.79999999999995</v>
          </cell>
          <cell r="U42">
            <v>562</v>
          </cell>
          <cell r="V42">
            <v>788.6</v>
          </cell>
          <cell r="W42">
            <v>476.9</v>
          </cell>
          <cell r="X42">
            <v>555.20000000000005</v>
          </cell>
          <cell r="Y42">
            <v>582</v>
          </cell>
          <cell r="Z42">
            <v>685</v>
          </cell>
          <cell r="AA42">
            <v>489.6</v>
          </cell>
          <cell r="AB42">
            <v>559.1</v>
          </cell>
          <cell r="AC42">
            <v>591.70000000000005</v>
          </cell>
          <cell r="AD42">
            <v>880.4</v>
          </cell>
          <cell r="AE42">
            <v>531.70000000000005</v>
          </cell>
          <cell r="AF42">
            <v>565.45771323050485</v>
          </cell>
          <cell r="AG42">
            <v>565.83028170133957</v>
          </cell>
          <cell r="AH42">
            <v>804.58552039789311</v>
          </cell>
          <cell r="AI42">
            <v>508.23001607620574</v>
          </cell>
          <cell r="AJ42">
            <v>567.67609670312868</v>
          </cell>
          <cell r="AK42">
            <v>574.22881101507414</v>
          </cell>
          <cell r="AL42">
            <v>812.55483429773835</v>
          </cell>
          <cell r="AN42" t="str">
            <v>Oncology Sys.</v>
          </cell>
          <cell r="AO42">
            <v>813.3</v>
          </cell>
          <cell r="AP42">
            <v>847.30000000000007</v>
          </cell>
          <cell r="AQ42">
            <v>920.69999999999993</v>
          </cell>
          <cell r="AR42">
            <v>1180.7</v>
          </cell>
          <cell r="AS42">
            <v>864.1</v>
          </cell>
          <cell r="AT42">
            <v>910.40000000000009</v>
          </cell>
          <cell r="AU42">
            <v>965.9</v>
          </cell>
          <cell r="AV42">
            <v>1226.5999999999999</v>
          </cell>
          <cell r="AW42">
            <v>895.5</v>
          </cell>
          <cell r="AX42">
            <v>996.3</v>
          </cell>
          <cell r="AY42">
            <v>1059.8000000000002</v>
          </cell>
          <cell r="AZ42">
            <v>1373.9</v>
          </cell>
          <cell r="BA42">
            <v>943.7</v>
          </cell>
          <cell r="BB42">
            <v>1084.8999999999999</v>
          </cell>
          <cell r="BC42">
            <v>1115.2</v>
          </cell>
          <cell r="BD42">
            <v>1505.8000000000002</v>
          </cell>
          <cell r="BE42">
            <v>961.59999999999991</v>
          </cell>
          <cell r="BF42">
            <v>1120</v>
          </cell>
          <cell r="BG42">
            <v>1144</v>
          </cell>
          <cell r="BH42">
            <v>1473.6</v>
          </cell>
          <cell r="BI42">
            <v>966.5</v>
          </cell>
          <cell r="BJ42">
            <v>1114.3000000000002</v>
          </cell>
          <cell r="BK42">
            <v>1173.7</v>
          </cell>
          <cell r="BL42">
            <v>1565.4</v>
          </cell>
          <cell r="BM42">
            <v>1021.3000000000001</v>
          </cell>
          <cell r="BN42">
            <v>1124.5577132305048</v>
          </cell>
          <cell r="BO42">
            <v>1157.5302817013396</v>
          </cell>
          <cell r="BP42">
            <v>1684.9855203978932</v>
          </cell>
          <cell r="BQ42">
            <v>1039.9300160762059</v>
          </cell>
          <cell r="BR42">
            <v>1133.1338099336335</v>
          </cell>
          <cell r="BS42">
            <v>1140.0590927164137</v>
          </cell>
          <cell r="BT42">
            <v>1617.1403546956315</v>
          </cell>
        </row>
        <row r="43">
          <cell r="B43" t="str">
            <v>Americas</v>
          </cell>
          <cell r="C43">
            <v>227.77465643459107</v>
          </cell>
          <cell r="D43">
            <v>242.14935798030487</v>
          </cell>
          <cell r="E43">
            <v>253.95490935925156</v>
          </cell>
          <cell r="F43">
            <v>406.76134089829202</v>
          </cell>
          <cell r="G43">
            <v>243.36355272950527</v>
          </cell>
          <cell r="H43">
            <v>251.58586030308587</v>
          </cell>
          <cell r="I43">
            <v>233.1487426063776</v>
          </cell>
          <cell r="J43">
            <v>330.54537955861338</v>
          </cell>
          <cell r="K43">
            <v>214.22959934355566</v>
          </cell>
          <cell r="L43">
            <v>226.80118937739493</v>
          </cell>
          <cell r="M43">
            <v>261.09790244849319</v>
          </cell>
          <cell r="N43">
            <v>406.18417769799902</v>
          </cell>
          <cell r="O43">
            <v>253.65798788400559</v>
          </cell>
          <cell r="P43">
            <v>252.21461709422604</v>
          </cell>
          <cell r="Q43">
            <v>261.25900372401651</v>
          </cell>
          <cell r="R43">
            <v>400.12986607809461</v>
          </cell>
          <cell r="S43">
            <v>230.1507808327371</v>
          </cell>
          <cell r="T43">
            <v>289.53927177525657</v>
          </cell>
          <cell r="U43">
            <v>273.90831559254241</v>
          </cell>
          <cell r="V43">
            <v>446.78206048419622</v>
          </cell>
          <cell r="W43">
            <v>234.69958465673102</v>
          </cell>
          <cell r="X43">
            <v>260.891552660152</v>
          </cell>
          <cell r="Y43">
            <v>267.97900355871889</v>
          </cell>
          <cell r="Z43">
            <v>296.78010736653755</v>
          </cell>
          <cell r="AA43">
            <v>258.3235400633771</v>
          </cell>
          <cell r="AB43">
            <v>258.69453495566097</v>
          </cell>
          <cell r="AC43">
            <v>289.38691697309849</v>
          </cell>
          <cell r="AD43">
            <v>482.03015155543727</v>
          </cell>
          <cell r="AE43">
            <v>253.15706926210956</v>
          </cell>
          <cell r="AF43">
            <v>271.62926170344406</v>
          </cell>
          <cell r="AG43">
            <v>283.59917863363654</v>
          </cell>
          <cell r="AH43">
            <v>433.82713639989356</v>
          </cell>
          <cell r="AI43">
            <v>240.49921579900408</v>
          </cell>
          <cell r="AJ43">
            <v>258.04779861827183</v>
          </cell>
          <cell r="AK43">
            <v>269.41921970195472</v>
          </cell>
          <cell r="AL43">
            <v>412.13577957989884</v>
          </cell>
          <cell r="AN43" t="str">
            <v>Americas</v>
          </cell>
          <cell r="AO43">
            <v>471.13820916409634</v>
          </cell>
          <cell r="AP43">
            <v>493.73521828339074</v>
          </cell>
          <cell r="AQ43">
            <v>487.10365196562918</v>
          </cell>
          <cell r="AR43">
            <v>737.3067204569054</v>
          </cell>
          <cell r="AS43">
            <v>457.59315207306093</v>
          </cell>
          <cell r="AT43">
            <v>478.3870496804808</v>
          </cell>
          <cell r="AU43">
            <v>494.24664505487078</v>
          </cell>
          <cell r="AV43">
            <v>736.72955725661245</v>
          </cell>
          <cell r="AW43">
            <v>467.88758722756126</v>
          </cell>
          <cell r="AX43">
            <v>479.01580647162098</v>
          </cell>
          <cell r="AY43">
            <v>522.35690617250975</v>
          </cell>
          <cell r="AZ43">
            <v>806.31404377609363</v>
          </cell>
          <cell r="BA43">
            <v>483.80876871674269</v>
          </cell>
          <cell r="BB43">
            <v>541.75388886948258</v>
          </cell>
          <cell r="BC43">
            <v>535.16731931655886</v>
          </cell>
          <cell r="BD43">
            <v>846.91192656229077</v>
          </cell>
          <cell r="BE43">
            <v>464.85036548946812</v>
          </cell>
          <cell r="BF43">
            <v>550.43082443540857</v>
          </cell>
          <cell r="BG43">
            <v>541.88731915126129</v>
          </cell>
          <cell r="BH43">
            <v>743.56216785073377</v>
          </cell>
          <cell r="BI43">
            <v>493.02312472010811</v>
          </cell>
          <cell r="BJ43">
            <v>519.58608761581297</v>
          </cell>
          <cell r="BK43">
            <v>557.36592053181744</v>
          </cell>
          <cell r="BL43">
            <v>778.81025892197476</v>
          </cell>
          <cell r="BM43">
            <v>511.48060932548663</v>
          </cell>
          <cell r="BN43">
            <v>530.32379665910503</v>
          </cell>
          <cell r="BO43">
            <v>572.98609560673503</v>
          </cell>
          <cell r="BP43">
            <v>915.85728795533078</v>
          </cell>
          <cell r="BQ43">
            <v>493.65628506111364</v>
          </cell>
          <cell r="BR43">
            <v>529.67706032171589</v>
          </cell>
          <cell r="BS43">
            <v>553.0183983355912</v>
          </cell>
          <cell r="BT43">
            <v>845.96291597979234</v>
          </cell>
        </row>
        <row r="44">
          <cell r="B44" t="str">
            <v>International</v>
          </cell>
          <cell r="C44">
            <v>157.92534356540892</v>
          </cell>
          <cell r="D44">
            <v>170.95064201969515</v>
          </cell>
          <cell r="E44">
            <v>207.44509064074842</v>
          </cell>
          <cell r="F44">
            <v>204.03865910170805</v>
          </cell>
          <cell r="G44">
            <v>184.23644727049475</v>
          </cell>
          <cell r="H44">
            <v>182.61413969691418</v>
          </cell>
          <cell r="I44">
            <v>226.15125739362236</v>
          </cell>
          <cell r="J44">
            <v>239.3546204413866</v>
          </cell>
          <cell r="K44">
            <v>222.27040065644434</v>
          </cell>
          <cell r="L44">
            <v>249.39881062260505</v>
          </cell>
          <cell r="M44">
            <v>245.50209755150684</v>
          </cell>
          <cell r="N44">
            <v>250.51582230200091</v>
          </cell>
          <cell r="O44">
            <v>205.34201211599441</v>
          </cell>
          <cell r="P44">
            <v>267.88538290577389</v>
          </cell>
          <cell r="Q44">
            <v>291.94099627598354</v>
          </cell>
          <cell r="R44">
            <v>317.07013392190544</v>
          </cell>
          <cell r="S44">
            <v>254.54921916726289</v>
          </cell>
          <cell r="T44">
            <v>275.26072822474339</v>
          </cell>
          <cell r="U44">
            <v>288.09168440745759</v>
          </cell>
          <cell r="V44">
            <v>341.8179395158038</v>
          </cell>
          <cell r="W44">
            <v>242.20041534326896</v>
          </cell>
          <cell r="X44">
            <v>294.30844733984804</v>
          </cell>
          <cell r="Y44">
            <v>314.02099644128111</v>
          </cell>
          <cell r="Z44">
            <v>388.21989263346245</v>
          </cell>
          <cell r="AA44">
            <v>231.27645993662293</v>
          </cell>
          <cell r="AB44">
            <v>300.40546504433905</v>
          </cell>
          <cell r="AC44">
            <v>302.31308302690155</v>
          </cell>
          <cell r="AD44">
            <v>398.36984844456271</v>
          </cell>
          <cell r="AE44">
            <v>278.54293073789052</v>
          </cell>
          <cell r="AF44">
            <v>293.82845152706085</v>
          </cell>
          <cell r="AG44">
            <v>282.23110306770309</v>
          </cell>
          <cell r="AH44">
            <v>370.7583839979996</v>
          </cell>
          <cell r="AI44">
            <v>267.73080027720164</v>
          </cell>
          <cell r="AJ44">
            <v>309.62829808485691</v>
          </cell>
          <cell r="AK44">
            <v>304.80959131311937</v>
          </cell>
          <cell r="AL44">
            <v>400.41905471783957</v>
          </cell>
          <cell r="AN44" t="str">
            <v>International</v>
          </cell>
          <cell r="AO44">
            <v>342.16179083590367</v>
          </cell>
          <cell r="AP44">
            <v>353.56478171660933</v>
          </cell>
          <cell r="AQ44">
            <v>433.59634803437075</v>
          </cell>
          <cell r="AR44">
            <v>443.39327954309465</v>
          </cell>
          <cell r="AS44">
            <v>406.50684792693909</v>
          </cell>
          <cell r="AT44">
            <v>432.01295031951923</v>
          </cell>
          <cell r="AU44">
            <v>471.65335494512919</v>
          </cell>
          <cell r="AV44">
            <v>489.87044274338751</v>
          </cell>
          <cell r="AW44">
            <v>427.61241277243874</v>
          </cell>
          <cell r="AX44">
            <v>517.28419352837898</v>
          </cell>
          <cell r="AY44">
            <v>537.44309382749043</v>
          </cell>
          <cell r="AZ44">
            <v>567.58595622390635</v>
          </cell>
          <cell r="BA44">
            <v>459.8912312832573</v>
          </cell>
          <cell r="BB44">
            <v>543.14611113051728</v>
          </cell>
          <cell r="BC44">
            <v>580.03268068344119</v>
          </cell>
          <cell r="BD44">
            <v>658.88807343770918</v>
          </cell>
          <cell r="BE44">
            <v>496.74963451053185</v>
          </cell>
          <cell r="BF44">
            <v>569.56917556459143</v>
          </cell>
          <cell r="BG44">
            <v>602.11268084873871</v>
          </cell>
          <cell r="BH44">
            <v>730.03783214926625</v>
          </cell>
          <cell r="BI44">
            <v>473.47687527989189</v>
          </cell>
          <cell r="BJ44">
            <v>594.7139123841871</v>
          </cell>
          <cell r="BK44">
            <v>616.33407946818261</v>
          </cell>
          <cell r="BL44">
            <v>786.5897410780251</v>
          </cell>
          <cell r="BM44">
            <v>509.81939067451344</v>
          </cell>
          <cell r="BN44">
            <v>594.23391657139996</v>
          </cell>
          <cell r="BO44">
            <v>584.54418609460458</v>
          </cell>
          <cell r="BP44">
            <v>769.12823244256231</v>
          </cell>
          <cell r="BQ44">
            <v>546.27373101509215</v>
          </cell>
          <cell r="BR44">
            <v>603.45674961191776</v>
          </cell>
          <cell r="BS44">
            <v>587.04069438082252</v>
          </cell>
          <cell r="BT44">
            <v>771.17743871583912</v>
          </cell>
        </row>
        <row r="45">
          <cell r="B45" t="str">
            <v>Imaging</v>
          </cell>
          <cell r="C45">
            <v>75.099999999999994</v>
          </cell>
          <cell r="D45">
            <v>83</v>
          </cell>
          <cell r="E45">
            <v>84.5</v>
          </cell>
          <cell r="F45">
            <v>94.399999999999991</v>
          </cell>
          <cell r="G45">
            <v>91.100000000000009</v>
          </cell>
          <cell r="H45">
            <v>68.8</v>
          </cell>
          <cell r="I45">
            <v>82.2</v>
          </cell>
          <cell r="J45">
            <v>96.899999999999991</v>
          </cell>
          <cell r="K45">
            <v>99</v>
          </cell>
          <cell r="L45">
            <v>104.69999999999999</v>
          </cell>
          <cell r="M45">
            <v>103.2</v>
          </cell>
          <cell r="N45">
            <v>112.10000000000002</v>
          </cell>
          <cell r="O45">
            <v>111.89999999999999</v>
          </cell>
          <cell r="P45">
            <v>123.69999999999999</v>
          </cell>
          <cell r="Q45">
            <v>120.9</v>
          </cell>
          <cell r="R45">
            <v>126.3</v>
          </cell>
          <cell r="S45">
            <v>120.5</v>
          </cell>
          <cell r="T45">
            <v>174.5</v>
          </cell>
          <cell r="U45">
            <v>126.2</v>
          </cell>
          <cell r="V45">
            <v>174.3</v>
          </cell>
          <cell r="W45">
            <v>141.6</v>
          </cell>
          <cell r="X45">
            <v>180</v>
          </cell>
          <cell r="Y45">
            <v>143.1</v>
          </cell>
          <cell r="Z45">
            <v>201</v>
          </cell>
          <cell r="AA45">
            <v>118.7</v>
          </cell>
          <cell r="AB45">
            <v>200.6</v>
          </cell>
          <cell r="AC45">
            <v>161.4</v>
          </cell>
          <cell r="AD45">
            <v>230</v>
          </cell>
          <cell r="AE45">
            <v>159</v>
          </cell>
          <cell r="AF45">
            <v>210.44212097560975</v>
          </cell>
          <cell r="AG45">
            <v>179.57664325323478</v>
          </cell>
          <cell r="AH45">
            <v>238.92750213858</v>
          </cell>
          <cell r="AI45">
            <v>173.45170251997544</v>
          </cell>
          <cell r="AJ45">
            <v>229.73993882926831</v>
          </cell>
          <cell r="AK45">
            <v>195.5685689463956</v>
          </cell>
          <cell r="AL45">
            <v>260.76692686056464</v>
          </cell>
          <cell r="AN45" t="str">
            <v>Imaging</v>
          </cell>
          <cell r="AO45">
            <v>166.2</v>
          </cell>
          <cell r="AP45">
            <v>151.80000000000001</v>
          </cell>
          <cell r="AQ45">
            <v>166.7</v>
          </cell>
          <cell r="AR45">
            <v>191.29999999999998</v>
          </cell>
          <cell r="AS45">
            <v>190.10000000000002</v>
          </cell>
          <cell r="AT45">
            <v>173.5</v>
          </cell>
          <cell r="AU45">
            <v>185.4</v>
          </cell>
          <cell r="AV45">
            <v>209</v>
          </cell>
          <cell r="AW45">
            <v>210.89999999999998</v>
          </cell>
          <cell r="AX45">
            <v>228.39999999999998</v>
          </cell>
          <cell r="AY45">
            <v>224.10000000000002</v>
          </cell>
          <cell r="AZ45">
            <v>238.40000000000003</v>
          </cell>
          <cell r="BA45">
            <v>232.39999999999998</v>
          </cell>
          <cell r="BB45">
            <v>298.2</v>
          </cell>
          <cell r="BC45">
            <v>247.10000000000002</v>
          </cell>
          <cell r="BD45">
            <v>300.60000000000002</v>
          </cell>
          <cell r="BE45">
            <v>262.10000000000002</v>
          </cell>
          <cell r="BF45">
            <v>354.5</v>
          </cell>
          <cell r="BG45">
            <v>269.3</v>
          </cell>
          <cell r="BH45">
            <v>375.3</v>
          </cell>
          <cell r="BI45">
            <v>260.3</v>
          </cell>
          <cell r="BJ45">
            <v>380.6</v>
          </cell>
          <cell r="BK45">
            <v>304.5</v>
          </cell>
          <cell r="BL45">
            <v>431</v>
          </cell>
          <cell r="BM45">
            <v>277.7</v>
          </cell>
          <cell r="BN45">
            <v>411.04212097560975</v>
          </cell>
          <cell r="BO45">
            <v>340.97664325323478</v>
          </cell>
          <cell r="BP45">
            <v>468.92750213858</v>
          </cell>
          <cell r="BQ45">
            <v>332.45170251997547</v>
          </cell>
          <cell r="BR45">
            <v>440.18205980487807</v>
          </cell>
          <cell r="BS45">
            <v>375.14521219963035</v>
          </cell>
          <cell r="BT45">
            <v>499.69442899914463</v>
          </cell>
        </row>
        <row r="46">
          <cell r="B46" t="str">
            <v>Americas Net</v>
          </cell>
          <cell r="C46">
            <v>26.406339251164912</v>
          </cell>
          <cell r="D46">
            <v>21.860952993594339</v>
          </cell>
          <cell r="E46">
            <v>32.335411537468396</v>
          </cell>
          <cell r="F46">
            <v>26.868602161230015</v>
          </cell>
          <cell r="G46">
            <v>32.032190489761966</v>
          </cell>
          <cell r="H46">
            <v>18.120886336858923</v>
          </cell>
          <cell r="I46">
            <v>31.4552760755018</v>
          </cell>
          <cell r="J46">
            <v>27.58016471846598</v>
          </cell>
          <cell r="K46">
            <v>34.809954538819262</v>
          </cell>
          <cell r="L46">
            <v>27.576406969028039</v>
          </cell>
          <cell r="M46">
            <v>39.491295510848978</v>
          </cell>
          <cell r="N46">
            <v>31.906465066460655</v>
          </cell>
          <cell r="O46">
            <v>39.345797099938132</v>
          </cell>
          <cell r="P46">
            <v>32.58072150973036</v>
          </cell>
          <cell r="Q46">
            <v>46.264511892070168</v>
          </cell>
          <cell r="R46">
            <v>35.948140391560926</v>
          </cell>
          <cell r="S46">
            <v>42.369692140684052</v>
          </cell>
          <cell r="T46">
            <v>45.960678281713399</v>
          </cell>
          <cell r="U46">
            <v>48.292650130514929</v>
          </cell>
          <cell r="V46">
            <v>49.610141490491444</v>
          </cell>
          <cell r="W46">
            <v>58.054008438818563</v>
          </cell>
          <cell r="X46">
            <v>36.779566907273733</v>
          </cell>
          <cell r="Y46">
            <v>56.705601659751032</v>
          </cell>
          <cell r="Z46">
            <v>62.406855439642321</v>
          </cell>
          <cell r="AA46">
            <v>34.808237232289954</v>
          </cell>
          <cell r="AB46">
            <v>64.681268292682915</v>
          </cell>
          <cell r="AC46">
            <v>59.567837338262486</v>
          </cell>
          <cell r="AD46">
            <v>59.516680923866552</v>
          </cell>
          <cell r="AE46">
            <v>48.276582667486174</v>
          </cell>
          <cell r="AF46">
            <v>58.213141463414622</v>
          </cell>
          <cell r="AG46">
            <v>65.524621072088735</v>
          </cell>
          <cell r="AH46">
            <v>68.444183062446527</v>
          </cell>
          <cell r="AI46">
            <v>51.65594345421021</v>
          </cell>
          <cell r="AJ46">
            <v>62.28806136585365</v>
          </cell>
          <cell r="AK46">
            <v>70.111344547134948</v>
          </cell>
          <cell r="AL46">
            <v>73.235275876817795</v>
          </cell>
          <cell r="AN46" t="str">
            <v>Americas Net</v>
          </cell>
          <cell r="AO46">
            <v>58.438529740926882</v>
          </cell>
          <cell r="AP46">
            <v>39.981839330453262</v>
          </cell>
          <cell r="AQ46">
            <v>63.790687612970196</v>
          </cell>
          <cell r="AR46">
            <v>54.448766879695995</v>
          </cell>
          <cell r="AS46">
            <v>66.842145028581228</v>
          </cell>
          <cell r="AT46">
            <v>45.697293305886959</v>
          </cell>
          <cell r="AU46">
            <v>70.946571586350785</v>
          </cell>
          <cell r="AV46">
            <v>59.486629784926635</v>
          </cell>
          <cell r="AW46">
            <v>74.155751638757394</v>
          </cell>
          <cell r="AX46">
            <v>60.157128478758395</v>
          </cell>
          <cell r="AY46">
            <v>85.755807402919146</v>
          </cell>
          <cell r="AZ46">
            <v>67.854605458021581</v>
          </cell>
          <cell r="BA46">
            <v>81.71548924062219</v>
          </cell>
          <cell r="BB46">
            <v>78.541399791443752</v>
          </cell>
          <cell r="BC46">
            <v>94.557162022585089</v>
          </cell>
          <cell r="BD46">
            <v>85.55828188205237</v>
          </cell>
          <cell r="BE46">
            <v>100.42370057950262</v>
          </cell>
          <cell r="BF46">
            <v>82.740245188987132</v>
          </cell>
          <cell r="BG46">
            <v>104.99825179026595</v>
          </cell>
          <cell r="BH46">
            <v>112.01699693013376</v>
          </cell>
          <cell r="BI46">
            <v>92.862245671108525</v>
          </cell>
          <cell r="BJ46">
            <v>101.46083519995665</v>
          </cell>
          <cell r="BK46">
            <v>116.27343899801352</v>
          </cell>
          <cell r="BL46">
            <v>121.92353636350887</v>
          </cell>
          <cell r="BM46">
            <v>83.084819899776136</v>
          </cell>
          <cell r="BN46">
            <v>122.89440975609753</v>
          </cell>
          <cell r="BO46">
            <v>125.09245841035121</v>
          </cell>
          <cell r="BP46">
            <v>127.96086398631309</v>
          </cell>
          <cell r="BQ46">
            <v>99.932526121696384</v>
          </cell>
          <cell r="BR46">
            <v>120.50120282926827</v>
          </cell>
          <cell r="BS46">
            <v>135.63596561922367</v>
          </cell>
          <cell r="BT46">
            <v>141.67945893926432</v>
          </cell>
        </row>
        <row r="47">
          <cell r="B47" t="str">
            <v>International Net</v>
          </cell>
          <cell r="C47">
            <v>48.693660748835086</v>
          </cell>
          <cell r="D47">
            <v>61.139047006405661</v>
          </cell>
          <cell r="E47">
            <v>52.164588462531604</v>
          </cell>
          <cell r="F47">
            <v>67.531397838769976</v>
          </cell>
          <cell r="G47">
            <v>59.067809510238042</v>
          </cell>
          <cell r="H47">
            <v>50.679113663141074</v>
          </cell>
          <cell r="I47">
            <v>50.744723924498203</v>
          </cell>
          <cell r="J47">
            <v>69.319835281534012</v>
          </cell>
          <cell r="K47">
            <v>64.190045461180745</v>
          </cell>
          <cell r="L47">
            <v>77.123593030971946</v>
          </cell>
          <cell r="M47">
            <v>63.708704489151025</v>
          </cell>
          <cell r="N47">
            <v>80.193534933539368</v>
          </cell>
          <cell r="O47">
            <v>72.554202900061853</v>
          </cell>
          <cell r="P47">
            <v>91.119278490269636</v>
          </cell>
          <cell r="Q47">
            <v>74.635488107929831</v>
          </cell>
          <cell r="R47">
            <v>90.351859608439071</v>
          </cell>
          <cell r="S47">
            <v>78.130307859315948</v>
          </cell>
          <cell r="T47">
            <v>128.5393217182866</v>
          </cell>
          <cell r="U47">
            <v>77.907349869485074</v>
          </cell>
          <cell r="V47">
            <v>124.68985850950857</v>
          </cell>
          <cell r="W47">
            <v>83.545991561181438</v>
          </cell>
          <cell r="X47">
            <v>143.22043309272627</v>
          </cell>
          <cell r="Y47">
            <v>86.394398340248955</v>
          </cell>
          <cell r="Z47">
            <v>138.59314456035767</v>
          </cell>
          <cell r="AA47">
            <v>83.891762767710048</v>
          </cell>
          <cell r="AB47">
            <v>135.91873170731708</v>
          </cell>
          <cell r="AC47">
            <v>101.83216266173753</v>
          </cell>
          <cell r="AD47">
            <v>170.48331907613345</v>
          </cell>
          <cell r="AE47">
            <v>110.72341733251383</v>
          </cell>
          <cell r="AF47">
            <v>152.22897951219514</v>
          </cell>
          <cell r="AG47">
            <v>114.05202218114604</v>
          </cell>
          <cell r="AH47">
            <v>170.48331907613345</v>
          </cell>
          <cell r="AI47">
            <v>121.79575906576522</v>
          </cell>
          <cell r="AJ47">
            <v>167.45187746341466</v>
          </cell>
          <cell r="AK47">
            <v>125.45722439926065</v>
          </cell>
          <cell r="AL47">
            <v>187.53165098374683</v>
          </cell>
          <cell r="AN47" t="str">
            <v>International Net</v>
          </cell>
          <cell r="AO47">
            <v>107.76147025907312</v>
          </cell>
          <cell r="AP47">
            <v>111.81816066954673</v>
          </cell>
          <cell r="AQ47">
            <v>102.90931238702981</v>
          </cell>
          <cell r="AR47">
            <v>136.85123312030399</v>
          </cell>
          <cell r="AS47">
            <v>123.25785497141879</v>
          </cell>
          <cell r="AT47">
            <v>127.80270669411303</v>
          </cell>
          <cell r="AU47">
            <v>114.45342841364922</v>
          </cell>
          <cell r="AV47">
            <v>149.51337021507339</v>
          </cell>
          <cell r="AW47">
            <v>136.7442483612426</v>
          </cell>
          <cell r="AX47">
            <v>168.24287152124157</v>
          </cell>
          <cell r="AY47">
            <v>138.34419259708085</v>
          </cell>
          <cell r="AZ47">
            <v>170.54539454197845</v>
          </cell>
          <cell r="BA47">
            <v>150.68451075937782</v>
          </cell>
          <cell r="BB47">
            <v>219.65860020855624</v>
          </cell>
          <cell r="BC47">
            <v>152.54283797741491</v>
          </cell>
          <cell r="BD47">
            <v>215.04171811794765</v>
          </cell>
          <cell r="BE47">
            <v>161.6762994204974</v>
          </cell>
          <cell r="BF47">
            <v>271.75975481101284</v>
          </cell>
          <cell r="BG47">
            <v>164.30174820973403</v>
          </cell>
          <cell r="BH47">
            <v>263.28300306986625</v>
          </cell>
          <cell r="BI47">
            <v>167.43775432889149</v>
          </cell>
          <cell r="BJ47">
            <v>279.13916480004332</v>
          </cell>
          <cell r="BK47">
            <v>188.22656100198648</v>
          </cell>
          <cell r="BL47">
            <v>309.0764636364911</v>
          </cell>
          <cell r="BM47">
            <v>194.61518010022388</v>
          </cell>
          <cell r="BN47">
            <v>288.14771121951219</v>
          </cell>
          <cell r="BO47">
            <v>215.88418484288357</v>
          </cell>
          <cell r="BP47">
            <v>340.96663815226691</v>
          </cell>
          <cell r="BQ47">
            <v>232.51917639827906</v>
          </cell>
          <cell r="BR47">
            <v>319.6808569756098</v>
          </cell>
          <cell r="BS47">
            <v>239.50924658040668</v>
          </cell>
          <cell r="BT47">
            <v>358.01497005988028</v>
          </cell>
        </row>
        <row r="48">
          <cell r="B48" t="str">
            <v>Other/Proton Orders</v>
          </cell>
          <cell r="C48">
            <v>28.2</v>
          </cell>
          <cell r="D48">
            <v>19.3</v>
          </cell>
          <cell r="E48">
            <v>26.5</v>
          </cell>
          <cell r="F48">
            <v>20</v>
          </cell>
          <cell r="G48">
            <v>32.6</v>
          </cell>
          <cell r="H48">
            <v>21.2</v>
          </cell>
          <cell r="I48">
            <v>8.3000000000000007</v>
          </cell>
          <cell r="J48">
            <v>88.9</v>
          </cell>
          <cell r="K48">
            <v>-39.9</v>
          </cell>
          <cell r="L48">
            <v>12.299999999999999</v>
          </cell>
          <cell r="M48">
            <v>19.5</v>
          </cell>
          <cell r="N48">
            <v>8.1000000000000014</v>
          </cell>
          <cell r="O48">
            <v>21.900000000000002</v>
          </cell>
          <cell r="P48">
            <v>37.700000000000003</v>
          </cell>
          <cell r="Q48">
            <v>17.2</v>
          </cell>
          <cell r="R48">
            <v>124.39999999999999</v>
          </cell>
          <cell r="S48">
            <v>0.90000000000003411</v>
          </cell>
          <cell r="T48">
            <v>123.5</v>
          </cell>
          <cell r="U48">
            <v>1.1999999999999744</v>
          </cell>
          <cell r="V48">
            <v>0.69999999999998863</v>
          </cell>
          <cell r="W48">
            <v>0.7000000000000739</v>
          </cell>
          <cell r="X48">
            <v>0.69999999999993179</v>
          </cell>
          <cell r="Y48">
            <v>1.4000000000000057</v>
          </cell>
          <cell r="Z48">
            <v>0</v>
          </cell>
          <cell r="AA48">
            <v>0.69999999999997442</v>
          </cell>
          <cell r="AB48">
            <v>58.9</v>
          </cell>
          <cell r="AC48">
            <v>57.4</v>
          </cell>
          <cell r="AD48">
            <v>2.5</v>
          </cell>
          <cell r="AE48">
            <v>1.4</v>
          </cell>
          <cell r="AF48">
            <v>40</v>
          </cell>
          <cell r="AG48">
            <v>40</v>
          </cell>
          <cell r="AH48">
            <v>40</v>
          </cell>
          <cell r="AI48">
            <v>50</v>
          </cell>
          <cell r="AJ48">
            <v>50</v>
          </cell>
          <cell r="AK48">
            <v>50</v>
          </cell>
          <cell r="AL48">
            <v>50</v>
          </cell>
          <cell r="AN48" t="str">
            <v>Other/Proton Orders</v>
          </cell>
          <cell r="AO48">
            <v>60.8</v>
          </cell>
          <cell r="AP48">
            <v>40.5</v>
          </cell>
          <cell r="AQ48">
            <v>34.799999999999997</v>
          </cell>
          <cell r="AR48">
            <v>108.9</v>
          </cell>
          <cell r="AS48">
            <v>-7.2999999999999972</v>
          </cell>
          <cell r="AT48">
            <v>33.5</v>
          </cell>
          <cell r="AU48">
            <v>27.8</v>
          </cell>
          <cell r="AV48">
            <v>97</v>
          </cell>
          <cell r="AW48">
            <v>-17.999999999999996</v>
          </cell>
          <cell r="AX48">
            <v>50</v>
          </cell>
          <cell r="AY48">
            <v>36.700000000000003</v>
          </cell>
          <cell r="AZ48">
            <v>132.5</v>
          </cell>
          <cell r="BA48">
            <v>22.800000000000036</v>
          </cell>
          <cell r="BB48">
            <v>161.19999999999999</v>
          </cell>
          <cell r="BC48">
            <v>18.399999999999974</v>
          </cell>
          <cell r="BD48">
            <v>125.09999999999998</v>
          </cell>
          <cell r="BE48">
            <v>1.600000000000108</v>
          </cell>
          <cell r="BF48">
            <v>124.19999999999993</v>
          </cell>
          <cell r="BG48">
            <v>2.5999999999999801</v>
          </cell>
          <cell r="BH48">
            <v>0.69999999999998863</v>
          </cell>
          <cell r="BI48">
            <v>1.4000000000000483</v>
          </cell>
          <cell r="BJ48">
            <v>59.59999999999993</v>
          </cell>
          <cell r="BK48">
            <v>58.800000000000004</v>
          </cell>
          <cell r="BL48">
            <v>2.5</v>
          </cell>
          <cell r="BM48">
            <v>2.0999999999999743</v>
          </cell>
          <cell r="BN48">
            <v>98.9</v>
          </cell>
          <cell r="BO48">
            <v>97.4</v>
          </cell>
          <cell r="BP48">
            <v>42.5</v>
          </cell>
          <cell r="BQ48">
            <v>51.4</v>
          </cell>
          <cell r="BR48">
            <v>90</v>
          </cell>
          <cell r="BS48">
            <v>90</v>
          </cell>
          <cell r="BT48">
            <v>90</v>
          </cell>
        </row>
        <row r="49">
          <cell r="B49" t="str">
            <v>Total Net Orders</v>
          </cell>
          <cell r="C49">
            <v>488.99999999999994</v>
          </cell>
          <cell r="D49">
            <v>515.4</v>
          </cell>
          <cell r="E49">
            <v>572.4</v>
          </cell>
          <cell r="F49">
            <v>725.2</v>
          </cell>
          <cell r="G49">
            <v>551.30000000000007</v>
          </cell>
          <cell r="H49">
            <v>524.20000000000005</v>
          </cell>
          <cell r="I49">
            <v>549.79999999999995</v>
          </cell>
          <cell r="J49">
            <v>755.69999999999993</v>
          </cell>
          <cell r="K49">
            <v>495.6</v>
          </cell>
          <cell r="L49">
            <v>593.19999999999993</v>
          </cell>
          <cell r="M49">
            <v>629.30000000000007</v>
          </cell>
          <cell r="N49">
            <v>776.9</v>
          </cell>
          <cell r="O49">
            <v>592.79999999999995</v>
          </cell>
          <cell r="P49">
            <v>681.5</v>
          </cell>
          <cell r="Q49">
            <v>691.30000000000007</v>
          </cell>
          <cell r="R49">
            <v>967.9</v>
          </cell>
          <cell r="S49">
            <v>606.10000000000014</v>
          </cell>
          <cell r="T49">
            <v>862.8</v>
          </cell>
          <cell r="U49">
            <v>689.4</v>
          </cell>
          <cell r="V49">
            <v>963.60000000000014</v>
          </cell>
          <cell r="W49">
            <v>619.20000000000005</v>
          </cell>
          <cell r="X49">
            <v>735.9</v>
          </cell>
          <cell r="Y49">
            <v>726.5</v>
          </cell>
          <cell r="Z49">
            <v>886</v>
          </cell>
          <cell r="AA49">
            <v>609</v>
          </cell>
          <cell r="AB49">
            <v>818.6</v>
          </cell>
          <cell r="AC49">
            <v>810.5</v>
          </cell>
          <cell r="AD49">
            <v>1112.9000000000001</v>
          </cell>
          <cell r="AE49">
            <v>692.1</v>
          </cell>
          <cell r="AF49">
            <v>815.89983420611463</v>
          </cell>
          <cell r="AG49">
            <v>785.40692495457438</v>
          </cell>
          <cell r="AH49">
            <v>1083.513022536473</v>
          </cell>
          <cell r="AI49">
            <v>731.68171859618121</v>
          </cell>
          <cell r="AJ49">
            <v>847.41603553239702</v>
          </cell>
          <cell r="AK49">
            <v>819.79737996146969</v>
          </cell>
          <cell r="AL49">
            <v>1123.3217611583029</v>
          </cell>
          <cell r="AN49" t="str">
            <v>Total Net Orders</v>
          </cell>
          <cell r="AO49">
            <v>1040.3</v>
          </cell>
          <cell r="AP49">
            <v>1039.5999999999999</v>
          </cell>
          <cell r="AQ49">
            <v>1122.1999999999998</v>
          </cell>
          <cell r="AR49">
            <v>1480.9</v>
          </cell>
          <cell r="AS49">
            <v>1046.9000000000001</v>
          </cell>
          <cell r="AT49">
            <v>1117.4000000000001</v>
          </cell>
          <cell r="AU49">
            <v>1179.0999999999999</v>
          </cell>
          <cell r="AV49">
            <v>1532.6</v>
          </cell>
          <cell r="AW49">
            <v>1088.4000000000001</v>
          </cell>
          <cell r="AX49">
            <v>1274.6999999999998</v>
          </cell>
          <cell r="AY49">
            <v>1320.6000000000001</v>
          </cell>
          <cell r="AZ49">
            <v>1744.8</v>
          </cell>
          <cell r="BA49">
            <v>1198.9000000000001</v>
          </cell>
          <cell r="BB49">
            <v>1544.3</v>
          </cell>
          <cell r="BC49">
            <v>1380.7</v>
          </cell>
          <cell r="BD49">
            <v>1931.5</v>
          </cell>
          <cell r="BE49">
            <v>1225.3000000000002</v>
          </cell>
          <cell r="BF49">
            <v>1598.6999999999998</v>
          </cell>
          <cell r="BG49">
            <v>1415.9</v>
          </cell>
          <cell r="BH49">
            <v>1849.6000000000001</v>
          </cell>
          <cell r="BI49">
            <v>1228.2</v>
          </cell>
          <cell r="BJ49">
            <v>1554.5</v>
          </cell>
          <cell r="BK49">
            <v>1537</v>
          </cell>
          <cell r="BL49">
            <v>1998.9</v>
          </cell>
          <cell r="BM49">
            <v>1301.0999999999999</v>
          </cell>
          <cell r="BN49">
            <v>1634.4998342061147</v>
          </cell>
          <cell r="BO49">
            <v>1595.9069249545744</v>
          </cell>
          <cell r="BP49">
            <v>2196.4130225364734</v>
          </cell>
          <cell r="BQ49">
            <v>1423.7817185961812</v>
          </cell>
          <cell r="BR49">
            <v>1663.3158697385115</v>
          </cell>
          <cell r="BS49">
            <v>1605.2043049160441</v>
          </cell>
          <cell r="BT49">
            <v>2206.834783694776</v>
          </cell>
        </row>
        <row r="50">
          <cell r="B50" t="str">
            <v>Order Backlog</v>
          </cell>
          <cell r="C50">
            <v>1693.3</v>
          </cell>
          <cell r="D50">
            <v>1690.3</v>
          </cell>
          <cell r="E50">
            <v>1755.2</v>
          </cell>
          <cell r="F50">
            <v>1887.8</v>
          </cell>
          <cell r="G50">
            <v>1930.5</v>
          </cell>
          <cell r="H50">
            <v>1901</v>
          </cell>
          <cell r="I50">
            <v>1941</v>
          </cell>
          <cell r="J50">
            <v>2054.4</v>
          </cell>
          <cell r="K50">
            <v>2009.1</v>
          </cell>
          <cell r="L50">
            <v>2016.7</v>
          </cell>
          <cell r="M50">
            <v>2068</v>
          </cell>
          <cell r="N50">
            <v>2192.6999999999998</v>
          </cell>
          <cell r="O50">
            <v>2205.6</v>
          </cell>
          <cell r="P50">
            <v>2238.6999999999998</v>
          </cell>
          <cell r="Q50">
            <v>2280.5</v>
          </cell>
          <cell r="R50">
            <v>2529.5</v>
          </cell>
          <cell r="S50">
            <v>2510.1999999999998</v>
          </cell>
          <cell r="T50">
            <v>2652.8</v>
          </cell>
          <cell r="U50">
            <v>2636.9</v>
          </cell>
          <cell r="V50">
            <v>2844.3</v>
          </cell>
          <cell r="W50">
            <v>2785.2</v>
          </cell>
          <cell r="X50">
            <v>2752.6</v>
          </cell>
          <cell r="Y50">
            <v>2752.8</v>
          </cell>
          <cell r="Z50">
            <v>2869</v>
          </cell>
          <cell r="AA50">
            <v>2869</v>
          </cell>
          <cell r="AB50">
            <v>0</v>
          </cell>
          <cell r="AN50" t="str">
            <v>Order Backlog</v>
          </cell>
          <cell r="AO50">
            <v>3623.8</v>
          </cell>
          <cell r="AP50">
            <v>3591.3</v>
          </cell>
          <cell r="AQ50">
            <v>3696.2</v>
          </cell>
          <cell r="AR50">
            <v>3942.2</v>
          </cell>
          <cell r="AS50">
            <v>3939.6</v>
          </cell>
          <cell r="AT50">
            <v>3917.7</v>
          </cell>
          <cell r="AU50">
            <v>4009</v>
          </cell>
          <cell r="AV50">
            <v>4247.1000000000004</v>
          </cell>
          <cell r="AW50">
            <v>4214.7</v>
          </cell>
          <cell r="AX50">
            <v>4255.3999999999996</v>
          </cell>
          <cell r="AY50">
            <v>4348.5</v>
          </cell>
          <cell r="AZ50">
            <v>4722.2</v>
          </cell>
          <cell r="BA50">
            <v>4715.7999999999993</v>
          </cell>
          <cell r="BB50">
            <v>4891.5</v>
          </cell>
          <cell r="BC50">
            <v>4917.3999999999996</v>
          </cell>
          <cell r="BD50">
            <v>5373.8</v>
          </cell>
          <cell r="BE50">
            <v>5295.4</v>
          </cell>
          <cell r="BF50">
            <v>5405.4</v>
          </cell>
          <cell r="BG50">
            <v>5389.7000000000007</v>
          </cell>
          <cell r="BH50">
            <v>5713.3</v>
          </cell>
          <cell r="BI50">
            <v>5654.2</v>
          </cell>
          <cell r="BJ50">
            <v>2752.6</v>
          </cell>
        </row>
        <row r="51">
          <cell r="B51" t="str">
            <v>ex-Proton</v>
          </cell>
          <cell r="C51">
            <v>1693.3</v>
          </cell>
          <cell r="D51">
            <v>1690.3</v>
          </cell>
          <cell r="E51">
            <v>1755.2</v>
          </cell>
          <cell r="F51">
            <v>1887.8</v>
          </cell>
          <cell r="G51">
            <v>1930.5</v>
          </cell>
          <cell r="H51">
            <v>1901</v>
          </cell>
          <cell r="I51">
            <v>1941</v>
          </cell>
          <cell r="J51">
            <v>2054.4</v>
          </cell>
          <cell r="K51">
            <v>2009.1</v>
          </cell>
          <cell r="L51">
            <v>2016.7</v>
          </cell>
          <cell r="M51">
            <v>2068</v>
          </cell>
          <cell r="N51">
            <v>2192.6999999999998</v>
          </cell>
          <cell r="O51">
            <v>2205.6</v>
          </cell>
          <cell r="P51">
            <v>2238.6999999999998</v>
          </cell>
          <cell r="Q51">
            <v>2280.5</v>
          </cell>
          <cell r="R51">
            <v>2529.5</v>
          </cell>
          <cell r="S51">
            <v>2448.485714285714</v>
          </cell>
          <cell r="T51">
            <v>2469.3714285714286</v>
          </cell>
          <cell r="U51">
            <v>2444.7571428571428</v>
          </cell>
          <cell r="V51">
            <v>2643.4428571428575</v>
          </cell>
          <cell r="W51">
            <v>2574.6285714285714</v>
          </cell>
          <cell r="X51">
            <v>2547.3142857142857</v>
          </cell>
          <cell r="Y51">
            <v>2538.8000000000002</v>
          </cell>
          <cell r="Z51">
            <v>2769</v>
          </cell>
          <cell r="AA51">
            <v>2769</v>
          </cell>
          <cell r="AB51">
            <v>0</v>
          </cell>
          <cell r="AN51" t="str">
            <v>ex-Proton</v>
          </cell>
          <cell r="AO51">
            <v>3623.8</v>
          </cell>
          <cell r="AP51">
            <v>3591.3</v>
          </cell>
          <cell r="AQ51">
            <v>3696.2</v>
          </cell>
          <cell r="AR51">
            <v>3942.2</v>
          </cell>
          <cell r="AS51">
            <v>3939.6</v>
          </cell>
          <cell r="AT51">
            <v>3917.7</v>
          </cell>
          <cell r="AU51">
            <v>4009</v>
          </cell>
          <cell r="AV51">
            <v>4247.1000000000004</v>
          </cell>
          <cell r="AW51">
            <v>4214.7</v>
          </cell>
          <cell r="AX51">
            <v>4255.3999999999996</v>
          </cell>
          <cell r="AY51">
            <v>4348.5</v>
          </cell>
          <cell r="AZ51">
            <v>4722.2</v>
          </cell>
          <cell r="BA51">
            <v>4654.0857142857139</v>
          </cell>
          <cell r="BB51">
            <v>4708.0714285714284</v>
          </cell>
          <cell r="BC51">
            <v>4725.2571428571428</v>
          </cell>
          <cell r="BD51">
            <v>5172.942857142858</v>
          </cell>
          <cell r="BE51">
            <v>5023.1142857142859</v>
          </cell>
          <cell r="BF51">
            <v>5016.6857142857143</v>
          </cell>
          <cell r="BG51">
            <v>4983.5571428571429</v>
          </cell>
          <cell r="BH51">
            <v>5412.442857142858</v>
          </cell>
          <cell r="BI51">
            <v>5343.6285714285714</v>
          </cell>
          <cell r="BJ51">
            <v>2547.3142857142857</v>
          </cell>
        </row>
        <row r="53">
          <cell r="B53" t="str">
            <v>Profit Trends</v>
          </cell>
          <cell r="AN53" t="str">
            <v>Trailing 2Q $ Order Trend</v>
          </cell>
        </row>
        <row r="54">
          <cell r="C54">
            <v>39447</v>
          </cell>
          <cell r="D54">
            <v>39538</v>
          </cell>
          <cell r="E54">
            <v>39629</v>
          </cell>
          <cell r="F54">
            <v>39721</v>
          </cell>
          <cell r="G54">
            <v>39813</v>
          </cell>
          <cell r="H54">
            <v>39903</v>
          </cell>
          <cell r="I54">
            <v>39994</v>
          </cell>
          <cell r="J54">
            <v>40086</v>
          </cell>
          <cell r="K54">
            <v>40178</v>
          </cell>
          <cell r="L54">
            <v>40268</v>
          </cell>
          <cell r="M54">
            <v>40359</v>
          </cell>
          <cell r="N54">
            <v>40451</v>
          </cell>
          <cell r="O54">
            <v>40543</v>
          </cell>
          <cell r="P54">
            <v>40633</v>
          </cell>
          <cell r="Q54">
            <v>40724</v>
          </cell>
          <cell r="R54">
            <v>40816</v>
          </cell>
          <cell r="S54">
            <v>40908.25</v>
          </cell>
          <cell r="T54">
            <v>40998.25</v>
          </cell>
          <cell r="U54">
            <v>41089.25</v>
          </cell>
          <cell r="V54">
            <v>41181.25</v>
          </cell>
          <cell r="W54">
            <v>41273.5</v>
          </cell>
          <cell r="X54">
            <v>41363.5</v>
          </cell>
          <cell r="Y54">
            <v>41454.5</v>
          </cell>
          <cell r="Z54">
            <v>41546.5</v>
          </cell>
          <cell r="AA54">
            <v>41638.75</v>
          </cell>
          <cell r="AB54">
            <v>41728.75</v>
          </cell>
          <cell r="AC54">
            <v>41819.75</v>
          </cell>
          <cell r="AD54">
            <v>41911.75</v>
          </cell>
          <cell r="AE54">
            <v>42004</v>
          </cell>
          <cell r="AF54">
            <v>42094</v>
          </cell>
          <cell r="AG54">
            <v>42185</v>
          </cell>
          <cell r="AH54">
            <v>42277</v>
          </cell>
          <cell r="AI54">
            <v>42369.25</v>
          </cell>
          <cell r="AJ54">
            <v>42459.25</v>
          </cell>
          <cell r="AK54">
            <v>42550.25</v>
          </cell>
          <cell r="AL54">
            <v>42642.25</v>
          </cell>
          <cell r="AO54">
            <v>39813</v>
          </cell>
          <cell r="AP54">
            <v>39903</v>
          </cell>
          <cell r="AQ54">
            <v>39994</v>
          </cell>
          <cell r="AR54">
            <v>40086</v>
          </cell>
          <cell r="AS54">
            <v>40178</v>
          </cell>
          <cell r="AT54">
            <v>40268</v>
          </cell>
          <cell r="AU54">
            <v>40359</v>
          </cell>
          <cell r="AV54">
            <v>40451</v>
          </cell>
          <cell r="AW54">
            <v>40543</v>
          </cell>
          <cell r="AX54">
            <v>40633</v>
          </cell>
          <cell r="AY54">
            <v>40724</v>
          </cell>
          <cell r="AZ54">
            <v>40816</v>
          </cell>
          <cell r="BA54">
            <v>40908.25</v>
          </cell>
          <cell r="BB54">
            <v>40998.25</v>
          </cell>
          <cell r="BC54">
            <v>41089.25</v>
          </cell>
          <cell r="BD54">
            <v>41181.25</v>
          </cell>
          <cell r="BE54">
            <v>41273.5</v>
          </cell>
          <cell r="BF54">
            <v>41363.5</v>
          </cell>
          <cell r="BG54">
            <v>41454.5</v>
          </cell>
          <cell r="BH54">
            <v>41546.5</v>
          </cell>
          <cell r="BI54">
            <v>41638.75</v>
          </cell>
          <cell r="BJ54">
            <v>41728.75</v>
          </cell>
          <cell r="BK54">
            <v>41819.75</v>
          </cell>
          <cell r="BL54">
            <v>41911.75</v>
          </cell>
          <cell r="BM54">
            <v>42004</v>
          </cell>
          <cell r="BN54">
            <v>42094</v>
          </cell>
          <cell r="BO54">
            <v>42185</v>
          </cell>
          <cell r="BP54">
            <v>42277</v>
          </cell>
          <cell r="BQ54">
            <v>42369.25</v>
          </cell>
          <cell r="BR54">
            <v>42459.25</v>
          </cell>
          <cell r="BS54">
            <v>42550.25</v>
          </cell>
          <cell r="BT54">
            <v>42642.25</v>
          </cell>
        </row>
        <row r="55">
          <cell r="B55" t="str">
            <v>GP Growth</v>
          </cell>
          <cell r="C55">
            <v>0.19328754292850414</v>
          </cell>
          <cell r="D55">
            <v>0.14253465752906824</v>
          </cell>
          <cell r="E55">
            <v>0.24541183509000386</v>
          </cell>
          <cell r="F55">
            <v>0.2095360076664019</v>
          </cell>
          <cell r="G55">
            <v>0.14574186965280855</v>
          </cell>
          <cell r="H55">
            <v>0.13626738261124371</v>
          </cell>
          <cell r="I55">
            <v>1.8395546638786175E-2</v>
          </cell>
          <cell r="J55">
            <v>8.5269930027312091E-2</v>
          </cell>
          <cell r="K55">
            <v>0.10075037564453293</v>
          </cell>
          <cell r="L55">
            <v>5.6520418817676221E-2</v>
          </cell>
          <cell r="M55">
            <v>0.17647058823529349</v>
          </cell>
          <cell r="N55">
            <v>-3.0363228589379232E-2</v>
          </cell>
          <cell r="O55">
            <v>0.10713767078670822</v>
          </cell>
          <cell r="P55">
            <v>0.13787020923072091</v>
          </cell>
          <cell r="Q55">
            <v>9.9842767295597934E-2</v>
          </cell>
          <cell r="R55">
            <v>8.6995866302766345E-2</v>
          </cell>
          <cell r="S55">
            <v>7.3490007082921416E-3</v>
          </cell>
          <cell r="T55">
            <v>2.6664913458410489E-2</v>
          </cell>
          <cell r="U55">
            <v>9.935668334524661E-2</v>
          </cell>
          <cell r="V55">
            <v>7.625707625707645E-2</v>
          </cell>
          <cell r="W55">
            <v>8.2961309523809534E-2</v>
          </cell>
          <cell r="X55">
            <v>7.718233906302685E-2</v>
          </cell>
          <cell r="Y55">
            <v>9.427828348504752E-3</v>
          </cell>
          <cell r="Z55">
            <v>1.6398514851484913E-2</v>
          </cell>
          <cell r="AA55">
            <v>6.3552043971144112E-2</v>
          </cell>
          <cell r="AB55">
            <v>2.7221526908635996E-2</v>
          </cell>
          <cell r="AC55">
            <v>4.2512077294685868E-2</v>
          </cell>
          <cell r="AD55">
            <v>3.5312024353120419E-2</v>
          </cell>
          <cell r="AE55">
            <v>5.6228438630490762E-2</v>
          </cell>
          <cell r="AF55">
            <v>8.2182269255781648E-4</v>
          </cell>
          <cell r="AG55">
            <v>2.4899456480264481E-2</v>
          </cell>
          <cell r="AH55">
            <v>3.6800065136226356E-2</v>
          </cell>
          <cell r="AI55">
            <v>-1.0304539688709036E-2</v>
          </cell>
          <cell r="AJ55">
            <v>2.5856935682279314E-2</v>
          </cell>
          <cell r="AK55">
            <v>1.776246462726716E-2</v>
          </cell>
          <cell r="AL55">
            <v>4.0615388836359401E-2</v>
          </cell>
          <cell r="AN55" t="str">
            <v>Oncology Sys.</v>
          </cell>
          <cell r="AO55">
            <v>1038.4000000000001</v>
          </cell>
          <cell r="AP55">
            <v>861.80000000000007</v>
          </cell>
          <cell r="AQ55">
            <v>893.5</v>
          </cell>
          <cell r="AR55">
            <v>1029.1999999999998</v>
          </cell>
          <cell r="AS55">
            <v>1006.4</v>
          </cell>
          <cell r="AT55">
            <v>912.7</v>
          </cell>
          <cell r="AU55">
            <v>982.8</v>
          </cell>
          <cell r="AV55">
            <v>1163.3</v>
          </cell>
          <cell r="AW55">
            <v>1115.6999999999998</v>
          </cell>
          <cell r="AX55">
            <v>979.09999999999991</v>
          </cell>
          <cell r="AY55">
            <v>1073.3</v>
          </cell>
          <cell r="AZ55">
            <v>1270.4000000000001</v>
          </cell>
          <cell r="BA55">
            <v>1201.9000000000001</v>
          </cell>
          <cell r="BB55">
            <v>1049.5</v>
          </cell>
          <cell r="BC55">
            <v>1126.8</v>
          </cell>
          <cell r="BD55">
            <v>1350.6</v>
          </cell>
          <cell r="BE55">
            <v>1265.5</v>
          </cell>
          <cell r="BF55">
            <v>1032.0999999999999</v>
          </cell>
          <cell r="BG55">
            <v>1137.2</v>
          </cell>
          <cell r="BH55">
            <v>1267</v>
          </cell>
          <cell r="BI55">
            <v>1174.5999999999999</v>
          </cell>
          <cell r="BJ55">
            <v>1048.7</v>
          </cell>
          <cell r="BK55">
            <v>1150.8000000000002</v>
          </cell>
          <cell r="BL55">
            <v>1472.1</v>
          </cell>
          <cell r="BM55">
            <v>1412.1</v>
          </cell>
          <cell r="BN55">
            <v>1097.1577132305049</v>
          </cell>
          <cell r="BO55">
            <v>1131.2879949318444</v>
          </cell>
          <cell r="BP55">
            <v>1370.4158020992327</v>
          </cell>
          <cell r="BQ55">
            <v>1312.8155364740987</v>
          </cell>
          <cell r="BR55">
            <v>1075.9061127793343</v>
          </cell>
          <cell r="BS55">
            <v>1141.9049077182028</v>
          </cell>
          <cell r="BT55">
            <v>1386.7836453128125</v>
          </cell>
        </row>
        <row r="56">
          <cell r="B56" t="str">
            <v>OP Growth</v>
          </cell>
          <cell r="C56">
            <v>0.24336826475543138</v>
          </cell>
          <cell r="D56">
            <v>0.20994123635017603</v>
          </cell>
          <cell r="E56">
            <v>0.39355990138693553</v>
          </cell>
          <cell r="F56">
            <v>0.16862038649175282</v>
          </cell>
          <cell r="G56">
            <v>0.13386459672974427</v>
          </cell>
          <cell r="H56">
            <v>0.16857080030975968</v>
          </cell>
          <cell r="I56">
            <v>0.11233150274588111</v>
          </cell>
          <cell r="J56">
            <v>0.11138728877940318</v>
          </cell>
          <cell r="K56">
            <v>0.20599315415307995</v>
          </cell>
          <cell r="L56">
            <v>0.10903304453116691</v>
          </cell>
          <cell r="M56">
            <v>0.27609085941768652</v>
          </cell>
          <cell r="N56">
            <v>-1.2536251601044657E-2</v>
          </cell>
          <cell r="O56">
            <v>0.1506461662482057</v>
          </cell>
          <cell r="P56">
            <v>0.11538404792115453</v>
          </cell>
          <cell r="Q56">
            <v>7.4290433080499874E-2</v>
          </cell>
          <cell r="R56">
            <v>7.3295966235198184E-2</v>
          </cell>
          <cell r="S56">
            <v>-5.9309479153743516E-2</v>
          </cell>
          <cell r="T56">
            <v>-3.2388208760756543E-2</v>
          </cell>
          <cell r="U56">
            <v>9.2953736654804553E-2</v>
          </cell>
          <cell r="V56">
            <v>5.0720100187852335E-2</v>
          </cell>
          <cell r="W56">
            <v>6.6718386346004577E-2</v>
          </cell>
          <cell r="X56">
            <v>6.425153793574867E-2</v>
          </cell>
          <cell r="Y56">
            <v>7.4238082834074959E-3</v>
          </cell>
          <cell r="Z56">
            <v>-4.0524433849821406E-2</v>
          </cell>
          <cell r="AA56">
            <v>3.272727272727316E-2</v>
          </cell>
          <cell r="AB56">
            <v>-1.9910083493898112E-2</v>
          </cell>
          <cell r="AC56">
            <v>-2.7149321266968229E-2</v>
          </cell>
          <cell r="AD56">
            <v>-1.1180124223602372E-2</v>
          </cell>
          <cell r="AE56">
            <v>-1.5138559154929787E-2</v>
          </cell>
          <cell r="AF56">
            <v>-1.7237874991152702E-2</v>
          </cell>
          <cell r="AG56">
            <v>1.3907181348495667E-2</v>
          </cell>
          <cell r="AH56">
            <v>2.4764486124760454E-2</v>
          </cell>
          <cell r="AI56">
            <v>0.11445205531772484</v>
          </cell>
          <cell r="AJ56">
            <v>3.8568670913105452E-2</v>
          </cell>
          <cell r="AK56">
            <v>3.281341836919438E-2</v>
          </cell>
          <cell r="AL56">
            <v>-3.0847311634243368E-2</v>
          </cell>
          <cell r="AN56" t="str">
            <v>Americas</v>
          </cell>
          <cell r="AO56">
            <v>650.12489362779729</v>
          </cell>
          <cell r="AP56">
            <v>494.94941303259111</v>
          </cell>
          <cell r="AQ56">
            <v>484.73460290946343</v>
          </cell>
          <cell r="AR56">
            <v>563.69412216499097</v>
          </cell>
          <cell r="AS56">
            <v>544.7749789021691</v>
          </cell>
          <cell r="AT56">
            <v>441.03078872095057</v>
          </cell>
          <cell r="AU56">
            <v>487.89909182588815</v>
          </cell>
          <cell r="AV56">
            <v>667.28208014649226</v>
          </cell>
          <cell r="AW56">
            <v>659.84216558200455</v>
          </cell>
          <cell r="AX56">
            <v>505.87260497823161</v>
          </cell>
          <cell r="AY56">
            <v>513.47362081824258</v>
          </cell>
          <cell r="AZ56">
            <v>661.38886980211112</v>
          </cell>
          <cell r="BA56">
            <v>630.28064691083171</v>
          </cell>
          <cell r="BB56">
            <v>519.69005260799372</v>
          </cell>
          <cell r="BC56">
            <v>563.44758736779897</v>
          </cell>
          <cell r="BD56">
            <v>720.69037607673863</v>
          </cell>
          <cell r="BE56">
            <v>681.48164514092718</v>
          </cell>
          <cell r="BF56">
            <v>495.59113731688302</v>
          </cell>
          <cell r="BG56">
            <v>528.87055621887089</v>
          </cell>
          <cell r="BH56">
            <v>564.75911092525644</v>
          </cell>
          <cell r="BI56">
            <v>555.10364742991464</v>
          </cell>
          <cell r="BJ56">
            <v>517.01807501903806</v>
          </cell>
          <cell r="BK56">
            <v>548.08145192875941</v>
          </cell>
          <cell r="BL56">
            <v>771.41706852853576</v>
          </cell>
          <cell r="BM56">
            <v>735.18722081754686</v>
          </cell>
          <cell r="BN56">
            <v>524.78633096555359</v>
          </cell>
          <cell r="BO56">
            <v>555.22844033708066</v>
          </cell>
          <cell r="BP56">
            <v>717.42631503353005</v>
          </cell>
          <cell r="BQ56">
            <v>674.32635219889767</v>
          </cell>
          <cell r="BR56">
            <v>498.54701441727593</v>
          </cell>
          <cell r="BS56">
            <v>527.46701832022654</v>
          </cell>
          <cell r="BT56">
            <v>681.5549992818535</v>
          </cell>
        </row>
        <row r="57">
          <cell r="AN57" t="str">
            <v>International</v>
          </cell>
          <cell r="AO57">
            <v>388.2751063722028</v>
          </cell>
          <cell r="AP57">
            <v>366.85058696740896</v>
          </cell>
          <cell r="AQ57">
            <v>408.76539709053657</v>
          </cell>
          <cell r="AR57">
            <v>465.50587783500896</v>
          </cell>
          <cell r="AS57">
            <v>461.62502109783094</v>
          </cell>
          <cell r="AT57">
            <v>471.66921127904936</v>
          </cell>
          <cell r="AU57">
            <v>494.90090817411192</v>
          </cell>
          <cell r="AV57">
            <v>496.01791985350775</v>
          </cell>
          <cell r="AW57">
            <v>455.85783441799532</v>
          </cell>
          <cell r="AX57">
            <v>473.2273950217683</v>
          </cell>
          <cell r="AY57">
            <v>559.82637918175737</v>
          </cell>
          <cell r="AZ57">
            <v>609.01113019788897</v>
          </cell>
          <cell r="BA57">
            <v>571.61935308916827</v>
          </cell>
          <cell r="BB57">
            <v>529.80994739200628</v>
          </cell>
          <cell r="BC57">
            <v>563.35241263220098</v>
          </cell>
          <cell r="BD57">
            <v>629.90962392326139</v>
          </cell>
          <cell r="BE57">
            <v>584.01835485907282</v>
          </cell>
          <cell r="BF57">
            <v>536.50886268311706</v>
          </cell>
          <cell r="BG57">
            <v>608.32944378112916</v>
          </cell>
          <cell r="BH57">
            <v>702.24088907474356</v>
          </cell>
          <cell r="BI57">
            <v>619.49635257008538</v>
          </cell>
          <cell r="BJ57">
            <v>531.68192498096198</v>
          </cell>
          <cell r="BK57">
            <v>602.71854807124055</v>
          </cell>
          <cell r="BL57">
            <v>700.68293147146426</v>
          </cell>
          <cell r="BM57">
            <v>676.91277918245328</v>
          </cell>
          <cell r="BN57">
            <v>572.37138226495131</v>
          </cell>
          <cell r="BO57">
            <v>576.05955459476399</v>
          </cell>
          <cell r="BP57">
            <v>652.98948706570263</v>
          </cell>
          <cell r="BQ57">
            <v>638.4891842752013</v>
          </cell>
          <cell r="BR57">
            <v>577.3590983620586</v>
          </cell>
          <cell r="BS57">
            <v>614.43788939797628</v>
          </cell>
          <cell r="BT57">
            <v>705.228646030959</v>
          </cell>
        </row>
        <row r="58">
          <cell r="B58" t="str">
            <v>2-Year Profit Trends</v>
          </cell>
          <cell r="AN58" t="str">
            <v>Imaging</v>
          </cell>
          <cell r="AO58">
            <v>185.5</v>
          </cell>
          <cell r="AP58">
            <v>159.9</v>
          </cell>
          <cell r="AQ58">
            <v>151</v>
          </cell>
          <cell r="AR58">
            <v>179.1</v>
          </cell>
          <cell r="AS58">
            <v>195.89999999999998</v>
          </cell>
          <cell r="AT58">
            <v>203.7</v>
          </cell>
          <cell r="AU58">
            <v>207.89999999999998</v>
          </cell>
          <cell r="AV58">
            <v>215.3</v>
          </cell>
          <cell r="AW58">
            <v>224</v>
          </cell>
          <cell r="AX58">
            <v>235.59999999999997</v>
          </cell>
          <cell r="AY58">
            <v>244.6</v>
          </cell>
          <cell r="AZ58">
            <v>247.2</v>
          </cell>
          <cell r="BA58">
            <v>246.8</v>
          </cell>
          <cell r="BB58">
            <v>295</v>
          </cell>
          <cell r="BC58">
            <v>300.7</v>
          </cell>
          <cell r="BD58">
            <v>300.5</v>
          </cell>
          <cell r="BE58">
            <v>315.89999999999998</v>
          </cell>
          <cell r="BF58">
            <v>321.60000000000002</v>
          </cell>
          <cell r="BG58">
            <v>323.10000000000002</v>
          </cell>
          <cell r="BH58">
            <v>344.1</v>
          </cell>
          <cell r="BI58">
            <v>319.7</v>
          </cell>
          <cell r="BJ58">
            <v>319.3</v>
          </cell>
          <cell r="BK58">
            <v>362</v>
          </cell>
          <cell r="BL58">
            <v>391.4</v>
          </cell>
          <cell r="BM58">
            <v>389</v>
          </cell>
          <cell r="BN58">
            <v>369.44212097560978</v>
          </cell>
          <cell r="BO58">
            <v>390.01876422884453</v>
          </cell>
          <cell r="BP58">
            <v>418.50414539181475</v>
          </cell>
          <cell r="BQ58">
            <v>412.37920465855541</v>
          </cell>
          <cell r="BR58">
            <v>403.19164134924375</v>
          </cell>
          <cell r="BS58">
            <v>425.30850777566388</v>
          </cell>
          <cell r="BT58">
            <v>456.33549580696024</v>
          </cell>
        </row>
        <row r="59">
          <cell r="C59">
            <v>39447</v>
          </cell>
          <cell r="D59">
            <v>39538</v>
          </cell>
          <cell r="E59">
            <v>39629</v>
          </cell>
          <cell r="F59">
            <v>39721</v>
          </cell>
          <cell r="G59">
            <v>39813</v>
          </cell>
          <cell r="H59">
            <v>39903</v>
          </cell>
          <cell r="I59">
            <v>39994</v>
          </cell>
          <cell r="J59">
            <v>40086</v>
          </cell>
          <cell r="K59">
            <v>40178</v>
          </cell>
          <cell r="L59">
            <v>40268</v>
          </cell>
          <cell r="M59">
            <v>40359</v>
          </cell>
          <cell r="N59">
            <v>40451</v>
          </cell>
          <cell r="O59">
            <v>40543</v>
          </cell>
          <cell r="P59">
            <v>40633</v>
          </cell>
          <cell r="Q59">
            <v>40724</v>
          </cell>
          <cell r="R59">
            <v>40816</v>
          </cell>
          <cell r="S59">
            <v>40908.25</v>
          </cell>
          <cell r="T59">
            <v>40998.25</v>
          </cell>
          <cell r="U59">
            <v>41089.25</v>
          </cell>
          <cell r="V59">
            <v>41181.25</v>
          </cell>
          <cell r="W59">
            <v>41273.5</v>
          </cell>
          <cell r="X59">
            <v>41363.5</v>
          </cell>
          <cell r="Y59">
            <v>41454.5</v>
          </cell>
          <cell r="Z59">
            <v>41546.5</v>
          </cell>
          <cell r="AA59">
            <v>41638.75</v>
          </cell>
          <cell r="AB59">
            <v>41728.75</v>
          </cell>
          <cell r="AC59">
            <v>41819.75</v>
          </cell>
          <cell r="AD59">
            <v>41911.75</v>
          </cell>
          <cell r="AE59">
            <v>42004</v>
          </cell>
          <cell r="AF59">
            <v>42094</v>
          </cell>
          <cell r="AG59">
            <v>42185</v>
          </cell>
          <cell r="AH59">
            <v>42277</v>
          </cell>
          <cell r="AI59">
            <v>42369.25</v>
          </cell>
          <cell r="AJ59">
            <v>42459.25</v>
          </cell>
          <cell r="AK59">
            <v>42550.25</v>
          </cell>
          <cell r="AL59">
            <v>42642.25</v>
          </cell>
          <cell r="AN59" t="str">
            <v>Americas Net</v>
          </cell>
          <cell r="AO59">
            <v>58.900792650991981</v>
          </cell>
          <cell r="AP59">
            <v>50.15307682662089</v>
          </cell>
          <cell r="AQ59">
            <v>49.576162412360723</v>
          </cell>
          <cell r="AR59">
            <v>59.03544079396778</v>
          </cell>
          <cell r="AS59">
            <v>62.390119257285242</v>
          </cell>
          <cell r="AT59">
            <v>62.386361507847298</v>
          </cell>
          <cell r="AU59">
            <v>67.067702479877013</v>
          </cell>
          <cell r="AV59">
            <v>71.39776057730964</v>
          </cell>
          <cell r="AW59">
            <v>71.252262166398793</v>
          </cell>
          <cell r="AX59">
            <v>71.926518609668491</v>
          </cell>
          <cell r="AY59">
            <v>78.845233401800527</v>
          </cell>
          <cell r="AZ59">
            <v>82.212652283631087</v>
          </cell>
          <cell r="BA59">
            <v>78.317832532244978</v>
          </cell>
          <cell r="BB59">
            <v>88.330370422397451</v>
          </cell>
          <cell r="BC59">
            <v>94.253328412228328</v>
          </cell>
          <cell r="BD59">
            <v>97.902791621006372</v>
          </cell>
          <cell r="BE59">
            <v>107.66414992931001</v>
          </cell>
          <cell r="BF59">
            <v>94.833575346092289</v>
          </cell>
          <cell r="BG59">
            <v>93.485168567024772</v>
          </cell>
          <cell r="BH59">
            <v>119.11245709939335</v>
          </cell>
          <cell r="BI59">
            <v>97.215092671932268</v>
          </cell>
          <cell r="BJ59">
            <v>99.48950552497287</v>
          </cell>
          <cell r="BK59">
            <v>124.24910563094539</v>
          </cell>
          <cell r="BL59">
            <v>119.08451826212904</v>
          </cell>
          <cell r="BM59">
            <v>107.79326359135273</v>
          </cell>
          <cell r="BN59">
            <v>106.4897241309008</v>
          </cell>
          <cell r="BO59">
            <v>123.73776253550335</v>
          </cell>
          <cell r="BP59">
            <v>133.96880413453528</v>
          </cell>
          <cell r="BQ59">
            <v>120.10012651665673</v>
          </cell>
          <cell r="BR59">
            <v>113.94400482006387</v>
          </cell>
          <cell r="BS59">
            <v>132.39940591298858</v>
          </cell>
          <cell r="BT59">
            <v>143.34662042395274</v>
          </cell>
        </row>
        <row r="60">
          <cell r="B60" t="str">
            <v>GP Growth</v>
          </cell>
          <cell r="G60">
            <v>0.33902941258131269</v>
          </cell>
          <cell r="H60">
            <v>0.27880204014031196</v>
          </cell>
          <cell r="I60">
            <v>0.26380738172879004</v>
          </cell>
          <cell r="J60">
            <v>0.29480593769371399</v>
          </cell>
          <cell r="K60">
            <v>0.24649224529734148</v>
          </cell>
          <cell r="L60">
            <v>0.19278780142891994</v>
          </cell>
          <cell r="M60">
            <v>0.19486613487407967</v>
          </cell>
          <cell r="N60">
            <v>5.4906701437932859E-2</v>
          </cell>
          <cell r="O60">
            <v>0.20788804643124115</v>
          </cell>
          <cell r="P60">
            <v>0.19439062804839713</v>
          </cell>
          <cell r="Q60">
            <v>0.27631335553089142</v>
          </cell>
          <cell r="R60">
            <v>5.6632637713387113E-2</v>
          </cell>
          <cell r="S60">
            <v>0.11448667149500036</v>
          </cell>
          <cell r="T60">
            <v>0.1645351226891314</v>
          </cell>
          <cell r="U60">
            <v>0.19919945064084454</v>
          </cell>
          <cell r="V60">
            <v>0.1632529425598428</v>
          </cell>
          <cell r="W60">
            <v>9.0310310232101676E-2</v>
          </cell>
          <cell r="X60">
            <v>0.10384725252143734</v>
          </cell>
          <cell r="Y60">
            <v>0.10878451169375136</v>
          </cell>
          <cell r="Z60">
            <v>9.2655591108561364E-2</v>
          </cell>
          <cell r="AA60">
            <v>0.14651335349495365</v>
          </cell>
          <cell r="AB60">
            <v>0.10440386597166285</v>
          </cell>
          <cell r="AC60">
            <v>5.193990564319062E-2</v>
          </cell>
          <cell r="AD60">
            <v>5.1710539204605332E-2</v>
          </cell>
          <cell r="AE60">
            <v>0.11978048260163487</v>
          </cell>
          <cell r="AF60">
            <v>2.8043349601193812E-2</v>
          </cell>
          <cell r="AG60">
            <v>6.741153377495035E-2</v>
          </cell>
          <cell r="AH60">
            <v>7.2112089489346776E-2</v>
          </cell>
          <cell r="AI60">
            <v>4.5923898941781727E-2</v>
          </cell>
          <cell r="AJ60">
            <v>2.667875837483713E-2</v>
          </cell>
          <cell r="AK60">
            <v>4.2661921107531642E-2</v>
          </cell>
          <cell r="AL60">
            <v>7.7415453972585757E-2</v>
          </cell>
          <cell r="AN60" t="str">
            <v>International Net</v>
          </cell>
          <cell r="AO60">
            <v>126.59920734900803</v>
          </cell>
          <cell r="AP60">
            <v>109.74692317337912</v>
          </cell>
          <cell r="AQ60">
            <v>101.42383758763927</v>
          </cell>
          <cell r="AR60">
            <v>120.06455920603221</v>
          </cell>
          <cell r="AS60">
            <v>133.50988074271476</v>
          </cell>
          <cell r="AT60">
            <v>141.31363849215268</v>
          </cell>
          <cell r="AU60">
            <v>140.83229752012298</v>
          </cell>
          <cell r="AV60">
            <v>143.9022394226904</v>
          </cell>
          <cell r="AW60">
            <v>152.74773783360121</v>
          </cell>
          <cell r="AX60">
            <v>163.67348139033149</v>
          </cell>
          <cell r="AY60">
            <v>165.75476659819947</v>
          </cell>
          <cell r="AZ60">
            <v>164.9873477163689</v>
          </cell>
          <cell r="BA60">
            <v>168.482167467755</v>
          </cell>
          <cell r="BB60">
            <v>206.66962957760256</v>
          </cell>
          <cell r="BC60">
            <v>206.44667158777168</v>
          </cell>
          <cell r="BD60">
            <v>202.59720837899363</v>
          </cell>
          <cell r="BE60">
            <v>208.23585007068999</v>
          </cell>
          <cell r="BF60">
            <v>226.76642465390771</v>
          </cell>
          <cell r="BG60">
            <v>229.61483143297522</v>
          </cell>
          <cell r="BH60">
            <v>224.98754290060663</v>
          </cell>
          <cell r="BI60">
            <v>222.48490732806772</v>
          </cell>
          <cell r="BJ60">
            <v>219.81049447502713</v>
          </cell>
          <cell r="BK60">
            <v>237.75089436905461</v>
          </cell>
          <cell r="BL60">
            <v>272.31548173787098</v>
          </cell>
          <cell r="BM60">
            <v>281.20673640864732</v>
          </cell>
          <cell r="BN60">
            <v>262.95239684470897</v>
          </cell>
          <cell r="BO60">
            <v>266.28100169334118</v>
          </cell>
          <cell r="BP60">
            <v>284.53534125727947</v>
          </cell>
          <cell r="BQ60">
            <v>292.27907814189871</v>
          </cell>
          <cell r="BR60">
            <v>289.24763652917989</v>
          </cell>
          <cell r="BS60">
            <v>292.9091018626753</v>
          </cell>
          <cell r="BT60">
            <v>312.9888753830075</v>
          </cell>
        </row>
        <row r="61">
          <cell r="B61" t="str">
            <v>OP Growth</v>
          </cell>
          <cell r="G61">
            <v>0.37723286148517565</v>
          </cell>
          <cell r="H61">
            <v>0.37851203665993571</v>
          </cell>
          <cell r="I61">
            <v>0.50589140413281664</v>
          </cell>
          <cell r="J61">
            <v>0.280007675271156</v>
          </cell>
          <cell r="K61">
            <v>0.33985775088282422</v>
          </cell>
          <cell r="L61">
            <v>0.27760384484092659</v>
          </cell>
          <cell r="M61">
            <v>0.38842236216356762</v>
          </cell>
          <cell r="N61">
            <v>9.8851037178358525E-2</v>
          </cell>
          <cell r="O61">
            <v>0.35663932040128565</v>
          </cell>
          <cell r="P61">
            <v>0.22441709245232144</v>
          </cell>
          <cell r="Q61">
            <v>0.35038129249818639</v>
          </cell>
          <cell r="R61">
            <v>6.0759714634153528E-2</v>
          </cell>
          <cell r="S61">
            <v>9.1336687094462188E-2</v>
          </cell>
          <cell r="T61">
            <v>8.2995839160397988E-2</v>
          </cell>
          <cell r="U61">
            <v>0.16724416973530443</v>
          </cell>
          <cell r="V61">
            <v>0.12401606642305052</v>
          </cell>
          <cell r="W61">
            <v>7.4089071922610605E-3</v>
          </cell>
          <cell r="X61">
            <v>3.1863329174992128E-2</v>
          </cell>
          <cell r="Y61">
            <v>0.10037754493821205</v>
          </cell>
          <cell r="Z61">
            <v>1.0195666338030929E-2</v>
          </cell>
          <cell r="AA61">
            <v>9.9445659073277737E-2</v>
          </cell>
          <cell r="AB61">
            <v>4.4341454441850559E-2</v>
          </cell>
          <cell r="AC61">
            <v>-1.9725512983560733E-2</v>
          </cell>
          <cell r="AD61">
            <v>-5.1704558073423779E-2</v>
          </cell>
          <cell r="AE61">
            <v>1.7588713572343373E-2</v>
          </cell>
          <cell r="AF61">
            <v>-3.7147958485050814E-2</v>
          </cell>
          <cell r="AG61">
            <v>-1.3242139918472562E-2</v>
          </cell>
          <cell r="AH61">
            <v>1.3584361901158082E-2</v>
          </cell>
          <cell r="AI61">
            <v>9.9313496162795056E-2</v>
          </cell>
          <cell r="AJ61">
            <v>2.133079592195275E-2</v>
          </cell>
          <cell r="AK61">
            <v>4.6720599717690048E-2</v>
          </cell>
          <cell r="AL61">
            <v>-6.0828255094829142E-3</v>
          </cell>
          <cell r="AN61" t="str">
            <v>Other/Proton Orders</v>
          </cell>
          <cell r="AO61">
            <v>52.6</v>
          </cell>
          <cell r="AP61">
            <v>53.8</v>
          </cell>
          <cell r="AQ61">
            <v>29.5</v>
          </cell>
          <cell r="AR61">
            <v>97.2</v>
          </cell>
          <cell r="AS61">
            <v>49.000000000000007</v>
          </cell>
          <cell r="AT61">
            <v>-27.6</v>
          </cell>
          <cell r="AU61">
            <v>31.799999999999997</v>
          </cell>
          <cell r="AV61">
            <v>27.6</v>
          </cell>
          <cell r="AW61">
            <v>30.000000000000004</v>
          </cell>
          <cell r="AX61">
            <v>59.600000000000009</v>
          </cell>
          <cell r="AY61">
            <v>54.900000000000006</v>
          </cell>
          <cell r="AZ61">
            <v>141.6</v>
          </cell>
          <cell r="BA61">
            <v>125.30000000000003</v>
          </cell>
          <cell r="BB61">
            <v>124.40000000000003</v>
          </cell>
          <cell r="BC61">
            <v>124.69999999999997</v>
          </cell>
          <cell r="BD61">
            <v>1.8999999999999631</v>
          </cell>
          <cell r="BE61">
            <v>1.4000000000000625</v>
          </cell>
          <cell r="BF61">
            <v>1.4000000000000057</v>
          </cell>
          <cell r="BG61">
            <v>2.0999999999999375</v>
          </cell>
          <cell r="BH61">
            <v>1.4000000000000057</v>
          </cell>
          <cell r="BI61">
            <v>0.69999999999997442</v>
          </cell>
          <cell r="BJ61">
            <v>59.599999999999973</v>
          </cell>
          <cell r="BK61">
            <v>116.3</v>
          </cell>
          <cell r="BL61">
            <v>59.9</v>
          </cell>
          <cell r="BM61">
            <v>3.9</v>
          </cell>
          <cell r="BN61">
            <v>41.4</v>
          </cell>
          <cell r="BO61">
            <v>80</v>
          </cell>
          <cell r="BP61">
            <v>80</v>
          </cell>
          <cell r="BQ61">
            <v>90</v>
          </cell>
          <cell r="BR61">
            <v>100</v>
          </cell>
          <cell r="BS61">
            <v>100</v>
          </cell>
          <cell r="BT61">
            <v>100</v>
          </cell>
        </row>
        <row r="62">
          <cell r="AN62" t="str">
            <v>Total Net Orders</v>
          </cell>
          <cell r="AO62">
            <v>1276.5</v>
          </cell>
          <cell r="AP62">
            <v>1075.5</v>
          </cell>
          <cell r="AQ62">
            <v>1074</v>
          </cell>
          <cell r="AR62">
            <v>1305.5</v>
          </cell>
          <cell r="AS62">
            <v>1251.3</v>
          </cell>
          <cell r="AT62">
            <v>1088.8</v>
          </cell>
          <cell r="AU62">
            <v>1222.5</v>
          </cell>
          <cell r="AV62">
            <v>1406.2</v>
          </cell>
          <cell r="AW62">
            <v>1369.6999999999998</v>
          </cell>
          <cell r="AX62">
            <v>1274.3</v>
          </cell>
          <cell r="AY62">
            <v>1372.8000000000002</v>
          </cell>
          <cell r="AZ62">
            <v>1659.2</v>
          </cell>
          <cell r="BA62">
            <v>1574</v>
          </cell>
          <cell r="BB62">
            <v>1468.9</v>
          </cell>
          <cell r="BC62">
            <v>1552.1999999999998</v>
          </cell>
          <cell r="BD62">
            <v>1653</v>
          </cell>
          <cell r="BE62">
            <v>1582.8000000000002</v>
          </cell>
          <cell r="BF62">
            <v>1355.1</v>
          </cell>
          <cell r="BG62">
            <v>1462.4</v>
          </cell>
          <cell r="BH62">
            <v>1612.5</v>
          </cell>
          <cell r="BI62">
            <v>1495</v>
          </cell>
          <cell r="BJ62">
            <v>1427.6</v>
          </cell>
          <cell r="BK62">
            <v>1629.1</v>
          </cell>
          <cell r="BL62">
            <v>1923.4</v>
          </cell>
          <cell r="BM62">
            <v>1805</v>
          </cell>
          <cell r="BN62">
            <v>1507.9998342061147</v>
          </cell>
          <cell r="BO62">
            <v>1601.3067591606891</v>
          </cell>
          <cell r="BP62">
            <v>1868.9199474910474</v>
          </cell>
          <cell r="BQ62">
            <v>1815.1947411326541</v>
          </cell>
          <cell r="BR62">
            <v>1579.0977541285783</v>
          </cell>
          <cell r="BS62">
            <v>1667.2134154938667</v>
          </cell>
          <cell r="BT62">
            <v>1943.1191411197726</v>
          </cell>
        </row>
        <row r="63">
          <cell r="B63" t="str">
            <v>$ Profit Growth Yr/Yr</v>
          </cell>
          <cell r="AN63" t="str">
            <v>Order Backlog</v>
          </cell>
          <cell r="AO63">
            <v>3818.3</v>
          </cell>
          <cell r="AP63">
            <v>3831.5</v>
          </cell>
          <cell r="AQ63">
            <v>3842</v>
          </cell>
          <cell r="AR63">
            <v>3995.4</v>
          </cell>
          <cell r="AS63">
            <v>4063.5</v>
          </cell>
          <cell r="AT63">
            <v>4025.8</v>
          </cell>
          <cell r="AU63">
            <v>4084.7</v>
          </cell>
          <cell r="AV63">
            <v>4260.7</v>
          </cell>
          <cell r="AW63">
            <v>4398.2999999999993</v>
          </cell>
          <cell r="AX63">
            <v>4444.2999999999993</v>
          </cell>
          <cell r="AY63">
            <v>4519.2</v>
          </cell>
          <cell r="AZ63">
            <v>4810</v>
          </cell>
          <cell r="BA63">
            <v>5039.7</v>
          </cell>
          <cell r="BB63">
            <v>5163</v>
          </cell>
          <cell r="BC63">
            <v>5289.7000000000007</v>
          </cell>
          <cell r="BD63">
            <v>5481.2000000000007</v>
          </cell>
          <cell r="BE63">
            <v>5629.5</v>
          </cell>
          <cell r="BF63">
            <v>5537.7999999999993</v>
          </cell>
          <cell r="BG63">
            <v>5505.4</v>
          </cell>
          <cell r="BH63">
            <v>5621.8</v>
          </cell>
          <cell r="BI63">
            <v>5738</v>
          </cell>
          <cell r="BJ63">
            <v>2869</v>
          </cell>
          <cell r="BK63">
            <v>0</v>
          </cell>
          <cell r="BL63">
            <v>0</v>
          </cell>
          <cell r="BM63">
            <v>0</v>
          </cell>
          <cell r="BN63">
            <v>0</v>
          </cell>
          <cell r="BO63">
            <v>0</v>
          </cell>
          <cell r="BP63">
            <v>0</v>
          </cell>
          <cell r="BQ63">
            <v>0</v>
          </cell>
          <cell r="BR63">
            <v>0</v>
          </cell>
          <cell r="BS63">
            <v>0</v>
          </cell>
          <cell r="BT63">
            <v>0</v>
          </cell>
        </row>
        <row r="64">
          <cell r="C64">
            <v>39447</v>
          </cell>
          <cell r="D64">
            <v>39538</v>
          </cell>
          <cell r="E64">
            <v>39629</v>
          </cell>
          <cell r="F64">
            <v>39721</v>
          </cell>
          <cell r="G64">
            <v>39813</v>
          </cell>
          <cell r="H64">
            <v>39903</v>
          </cell>
          <cell r="I64">
            <v>39994</v>
          </cell>
          <cell r="J64">
            <v>40086</v>
          </cell>
          <cell r="K64">
            <v>40178</v>
          </cell>
          <cell r="L64">
            <v>40268</v>
          </cell>
          <cell r="M64">
            <v>40359</v>
          </cell>
          <cell r="N64">
            <v>40451</v>
          </cell>
          <cell r="O64">
            <v>40543</v>
          </cell>
          <cell r="P64">
            <v>40633</v>
          </cell>
          <cell r="Q64">
            <v>40724</v>
          </cell>
          <cell r="R64">
            <v>40816</v>
          </cell>
          <cell r="S64">
            <v>40908.25</v>
          </cell>
          <cell r="T64">
            <v>40998.25</v>
          </cell>
          <cell r="U64">
            <v>41089.25</v>
          </cell>
          <cell r="V64">
            <v>41181.25</v>
          </cell>
          <cell r="W64">
            <v>41273.5</v>
          </cell>
          <cell r="X64">
            <v>41363.5</v>
          </cell>
          <cell r="Y64">
            <v>41454.5</v>
          </cell>
          <cell r="Z64">
            <v>41546.5</v>
          </cell>
          <cell r="AA64">
            <v>41638.75</v>
          </cell>
          <cell r="AB64">
            <v>41728.75</v>
          </cell>
          <cell r="AC64">
            <v>41819.75</v>
          </cell>
          <cell r="AD64">
            <v>41911.75</v>
          </cell>
          <cell r="AE64">
            <v>42004</v>
          </cell>
          <cell r="AF64">
            <v>42094</v>
          </cell>
          <cell r="AG64">
            <v>42185</v>
          </cell>
          <cell r="AH64">
            <v>42277</v>
          </cell>
          <cell r="AI64">
            <v>42369.25</v>
          </cell>
          <cell r="AJ64">
            <v>42459.25</v>
          </cell>
          <cell r="AK64">
            <v>42550.25</v>
          </cell>
          <cell r="AL64">
            <v>42642.25</v>
          </cell>
        </row>
        <row r="65">
          <cell r="B65" t="str">
            <v>GP Growth</v>
          </cell>
          <cell r="C65">
            <v>30.954999999999927</v>
          </cell>
          <cell r="D65">
            <v>26.393000000000029</v>
          </cell>
          <cell r="E65">
            <v>41.841000000000008</v>
          </cell>
          <cell r="F65">
            <v>45.480000000000132</v>
          </cell>
          <cell r="G65">
            <v>27.851999999999975</v>
          </cell>
          <cell r="H65">
            <v>28.828999999999951</v>
          </cell>
          <cell r="I65">
            <v>3.9060000000000059</v>
          </cell>
          <cell r="J65">
            <v>22.386000000000251</v>
          </cell>
          <cell r="K65">
            <v>22.060000000000002</v>
          </cell>
          <cell r="L65">
            <v>13.586999999999989</v>
          </cell>
          <cell r="M65">
            <v>38.159999999999854</v>
          </cell>
          <cell r="N65">
            <v>-8.651000000000181</v>
          </cell>
          <cell r="O65">
            <v>25.82200000000006</v>
          </cell>
          <cell r="P65">
            <v>35.01600000000002</v>
          </cell>
          <cell r="Q65">
            <v>25.400000000000091</v>
          </cell>
          <cell r="R65">
            <v>24.034000000000049</v>
          </cell>
          <cell r="S65">
            <v>1.9609999999999559</v>
          </cell>
          <cell r="T65">
            <v>7.7059999999999036</v>
          </cell>
          <cell r="U65">
            <v>27.800000000000011</v>
          </cell>
          <cell r="V65">
            <v>22.900000000000034</v>
          </cell>
          <cell r="W65">
            <v>22.300000000000011</v>
          </cell>
          <cell r="X65">
            <v>22.900000000000034</v>
          </cell>
          <cell r="Y65">
            <v>2.9000000000000909</v>
          </cell>
          <cell r="Z65">
            <v>5.2999999999999545</v>
          </cell>
          <cell r="AA65">
            <v>18.500000000000057</v>
          </cell>
          <cell r="AB65">
            <v>8.7000000000000455</v>
          </cell>
          <cell r="AC65">
            <v>13.199999999999989</v>
          </cell>
          <cell r="AD65">
            <v>11.600000000000023</v>
          </cell>
          <cell r="AE65">
            <v>17.408324599999958</v>
          </cell>
          <cell r="AF65">
            <v>0.26980438996673684</v>
          </cell>
          <cell r="AG65">
            <v>8.0599540626616317</v>
          </cell>
          <cell r="AH65">
            <v>12.515702152830613</v>
          </cell>
          <cell r="AI65">
            <v>-3.3696702593789496</v>
          </cell>
          <cell r="AJ65">
            <v>8.4958082992504842</v>
          </cell>
          <cell r="AK65">
            <v>5.8928744487818108</v>
          </cell>
          <cell r="AL65">
            <v>14.321623852743073</v>
          </cell>
          <cell r="AU65" t="str">
            <v>Varian May '12 Investor Day Presentation</v>
          </cell>
        </row>
        <row r="66">
          <cell r="B66" t="str">
            <v>OP Growth</v>
          </cell>
          <cell r="C66">
            <v>17.045999999999935</v>
          </cell>
          <cell r="D66">
            <v>18.149000000000029</v>
          </cell>
          <cell r="E66">
            <v>26.021000000000015</v>
          </cell>
          <cell r="F66">
            <v>19.56300000000013</v>
          </cell>
          <cell r="G66">
            <v>11.657999999999959</v>
          </cell>
          <cell r="H66">
            <v>17.631999999999948</v>
          </cell>
          <cell r="I66">
            <v>10.349999999999994</v>
          </cell>
          <cell r="J66">
            <v>15.10200000000026</v>
          </cell>
          <cell r="K66">
            <v>20.341000000000008</v>
          </cell>
          <cell r="L66">
            <v>13.326999999999998</v>
          </cell>
          <cell r="M66">
            <v>28.29599999999985</v>
          </cell>
          <cell r="N66">
            <v>-1.889000000000209</v>
          </cell>
          <cell r="O66">
            <v>17.940000000000055</v>
          </cell>
          <cell r="P66">
            <v>15.64100000000002</v>
          </cell>
          <cell r="Q66">
            <v>9.7160000000000935</v>
          </cell>
          <cell r="R66">
            <v>10.906000000000063</v>
          </cell>
          <cell r="S66">
            <v>-8.1270000000000095</v>
          </cell>
          <cell r="T66">
            <v>-4.897000000000105</v>
          </cell>
          <cell r="U66">
            <v>13.060000000000031</v>
          </cell>
          <cell r="V66">
            <v>8.1000000000000227</v>
          </cell>
          <cell r="W66">
            <v>8.5999999999999943</v>
          </cell>
          <cell r="X66">
            <v>9.4000000000000341</v>
          </cell>
          <cell r="Y66">
            <v>1.1400000000000716</v>
          </cell>
          <cell r="Z66">
            <v>-6.8000000000000398</v>
          </cell>
          <cell r="AA66">
            <v>4.5000000000000568</v>
          </cell>
          <cell r="AB66">
            <v>-3.0999999999999375</v>
          </cell>
          <cell r="AC66">
            <v>-4.1999999999999886</v>
          </cell>
          <cell r="AD66">
            <v>-1.7999999999999829</v>
          </cell>
          <cell r="AE66">
            <v>-2.1496754000000351</v>
          </cell>
          <cell r="AF66">
            <v>-2.6304997236499048</v>
          </cell>
          <cell r="AG66">
            <v>2.0930307929485821</v>
          </cell>
          <cell r="AH66">
            <v>3.9425061910618524</v>
          </cell>
          <cell r="AI66">
            <v>16.006157087320986</v>
          </cell>
          <cell r="AJ66">
            <v>5.784124303161434</v>
          </cell>
          <cell r="AK66">
            <v>5.0070989596324011</v>
          </cell>
          <cell r="AL66">
            <v>-5.0325077292671665</v>
          </cell>
        </row>
        <row r="67">
          <cell r="B67" t="str">
            <v>T4Q</v>
          </cell>
          <cell r="J67">
            <v>54.742000000000161</v>
          </cell>
          <cell r="K67">
            <v>63.42500000000021</v>
          </cell>
          <cell r="L67">
            <v>59.12000000000026</v>
          </cell>
          <cell r="M67">
            <v>77.066000000000116</v>
          </cell>
          <cell r="N67">
            <v>60.074999999999648</v>
          </cell>
          <cell r="O67">
            <v>57.673999999999694</v>
          </cell>
          <cell r="P67">
            <v>59.987999999999715</v>
          </cell>
          <cell r="Q67">
            <v>41.407999999999959</v>
          </cell>
          <cell r="R67">
            <v>54.20300000000023</v>
          </cell>
          <cell r="S67">
            <v>28.136000000000166</v>
          </cell>
          <cell r="T67">
            <v>7.5980000000000416</v>
          </cell>
          <cell r="U67">
            <v>10.941999999999979</v>
          </cell>
          <cell r="V67">
            <v>8.1359999999999388</v>
          </cell>
          <cell r="W67">
            <v>24.862999999999943</v>
          </cell>
          <cell r="X67">
            <v>39.160000000000082</v>
          </cell>
          <cell r="Y67">
            <v>27.240000000000123</v>
          </cell>
          <cell r="Z67">
            <v>12.34000000000006</v>
          </cell>
          <cell r="AA67">
            <v>8.2400000000001228</v>
          </cell>
          <cell r="AB67">
            <v>-4.2599999999998488</v>
          </cell>
          <cell r="AC67">
            <v>-9.5999999999999091</v>
          </cell>
          <cell r="AD67">
            <v>-4.5999999999998522</v>
          </cell>
          <cell r="AE67">
            <v>-11.249675399999944</v>
          </cell>
          <cell r="AF67">
            <v>-10.780175123649911</v>
          </cell>
          <cell r="AG67">
            <v>-4.4871443307013408</v>
          </cell>
          <cell r="AH67">
            <v>1.2553618603604946</v>
          </cell>
          <cell r="AI67">
            <v>19.948663278382838</v>
          </cell>
          <cell r="AJ67">
            <v>21.79028139048242</v>
          </cell>
          <cell r="AK67">
            <v>26.797380350114821</v>
          </cell>
          <cell r="AL67">
            <v>21.764872620847655</v>
          </cell>
        </row>
        <row r="68">
          <cell r="B68" t="str">
            <v>2-Year $ Profit Growth Yr/Yr</v>
          </cell>
        </row>
        <row r="69">
          <cell r="B69" t="str">
            <v>GP Growth</v>
          </cell>
          <cell r="G69">
            <v>58.806999999999903</v>
          </cell>
          <cell r="H69">
            <v>55.22199999999998</v>
          </cell>
          <cell r="I69">
            <v>45.747000000000014</v>
          </cell>
          <cell r="J69">
            <v>67.866000000000383</v>
          </cell>
          <cell r="K69">
            <v>49.911999999999978</v>
          </cell>
          <cell r="L69">
            <v>42.41599999999994</v>
          </cell>
          <cell r="M69">
            <v>42.06599999999986</v>
          </cell>
          <cell r="N69">
            <v>13.73500000000007</v>
          </cell>
          <cell r="O69">
            <v>47.882000000000062</v>
          </cell>
          <cell r="P69">
            <v>48.603000000000009</v>
          </cell>
          <cell r="Q69">
            <v>63.559999999999945</v>
          </cell>
          <cell r="R69">
            <v>15.382999999999868</v>
          </cell>
          <cell r="S69">
            <v>27.783000000000015</v>
          </cell>
          <cell r="T69">
            <v>42.721999999999923</v>
          </cell>
          <cell r="U69">
            <v>53.200000000000102</v>
          </cell>
          <cell r="V69">
            <v>46.934000000000083</v>
          </cell>
          <cell r="W69">
            <v>24.260999999999967</v>
          </cell>
          <cell r="X69">
            <v>30.605999999999938</v>
          </cell>
          <cell r="Y69">
            <v>30.700000000000102</v>
          </cell>
          <cell r="Z69">
            <v>28.199999999999989</v>
          </cell>
          <cell r="AA69">
            <v>40.800000000000068</v>
          </cell>
          <cell r="AB69">
            <v>31.60000000000008</v>
          </cell>
          <cell r="AC69">
            <v>16.10000000000008</v>
          </cell>
          <cell r="AD69">
            <v>16.899999999999977</v>
          </cell>
          <cell r="AE69">
            <v>35.908324600000014</v>
          </cell>
          <cell r="AF69">
            <v>8.9698043899667823</v>
          </cell>
          <cell r="AG69">
            <v>21.25995406266162</v>
          </cell>
          <cell r="AH69">
            <v>24.115702152830636</v>
          </cell>
          <cell r="AI69">
            <v>14.038654340621008</v>
          </cell>
          <cell r="AJ69">
            <v>8.765612689217221</v>
          </cell>
          <cell r="AK69">
            <v>13.952828511443442</v>
          </cell>
          <cell r="AL69">
            <v>26.837326005573686</v>
          </cell>
        </row>
        <row r="70">
          <cell r="B70" t="str">
            <v>OP Growth</v>
          </cell>
          <cell r="G70">
            <v>28.703999999999894</v>
          </cell>
          <cell r="H70">
            <v>35.780999999999977</v>
          </cell>
          <cell r="I70">
            <v>36.371000000000009</v>
          </cell>
          <cell r="J70">
            <v>34.66500000000039</v>
          </cell>
          <cell r="K70">
            <v>31.998999999999967</v>
          </cell>
          <cell r="L70">
            <v>30.958999999999946</v>
          </cell>
          <cell r="M70">
            <v>38.645999999999844</v>
          </cell>
          <cell r="N70">
            <v>13.213000000000051</v>
          </cell>
          <cell r="O70">
            <v>38.281000000000063</v>
          </cell>
          <cell r="P70">
            <v>28.968000000000018</v>
          </cell>
          <cell r="Q70">
            <v>38.011999999999944</v>
          </cell>
          <cell r="R70">
            <v>9.0169999999998538</v>
          </cell>
          <cell r="S70">
            <v>9.813000000000045</v>
          </cell>
          <cell r="T70">
            <v>10.743999999999915</v>
          </cell>
          <cell r="U70">
            <v>22.776000000000124</v>
          </cell>
          <cell r="V70">
            <v>19.006000000000085</v>
          </cell>
          <cell r="W70">
            <v>0.47299999999998477</v>
          </cell>
          <cell r="X70">
            <v>4.5029999999999291</v>
          </cell>
          <cell r="Y70">
            <v>14.200000000000102</v>
          </cell>
          <cell r="Z70">
            <v>1.2999999999999829</v>
          </cell>
          <cell r="AA70">
            <v>13.100000000000051</v>
          </cell>
          <cell r="AB70">
            <v>6.3000000000000966</v>
          </cell>
          <cell r="AC70">
            <v>-3.059999999999917</v>
          </cell>
          <cell r="AD70">
            <v>-8.6000000000000227</v>
          </cell>
          <cell r="AE70">
            <v>2.3503246000000217</v>
          </cell>
          <cell r="AF70">
            <v>-5.7304997236498423</v>
          </cell>
          <cell r="AG70">
            <v>-2.1069692070514066</v>
          </cell>
          <cell r="AH70">
            <v>2.1425061910618695</v>
          </cell>
          <cell r="AI70">
            <v>13.856481687320951</v>
          </cell>
          <cell r="AJ70">
            <v>3.1536245795115292</v>
          </cell>
          <cell r="AK70">
            <v>7.1001297525809832</v>
          </cell>
          <cell r="AL70">
            <v>-1.0900015382053141</v>
          </cell>
        </row>
        <row r="72">
          <cell r="B72" t="str">
            <v>OPEX Y/Y</v>
          </cell>
          <cell r="C72">
            <v>39447</v>
          </cell>
          <cell r="D72">
            <v>39538</v>
          </cell>
          <cell r="E72">
            <v>39629</v>
          </cell>
          <cell r="F72">
            <v>39721</v>
          </cell>
          <cell r="G72">
            <v>39813</v>
          </cell>
          <cell r="H72">
            <v>39903</v>
          </cell>
          <cell r="I72">
            <v>39994</v>
          </cell>
          <cell r="J72">
            <v>40086</v>
          </cell>
          <cell r="K72">
            <v>40178</v>
          </cell>
          <cell r="L72">
            <v>40268</v>
          </cell>
          <cell r="M72">
            <v>40359</v>
          </cell>
          <cell r="N72">
            <v>40451</v>
          </cell>
          <cell r="O72">
            <v>40543</v>
          </cell>
          <cell r="P72">
            <v>40633</v>
          </cell>
          <cell r="Q72">
            <v>40724</v>
          </cell>
          <cell r="R72">
            <v>40816</v>
          </cell>
          <cell r="S72">
            <v>40908.25</v>
          </cell>
          <cell r="T72">
            <v>40998.25</v>
          </cell>
          <cell r="U72">
            <v>41089.25</v>
          </cell>
          <cell r="V72">
            <v>41181.25</v>
          </cell>
          <cell r="W72">
            <v>41273.5</v>
          </cell>
          <cell r="X72">
            <v>41363.5</v>
          </cell>
          <cell r="Y72">
            <v>41454.5</v>
          </cell>
          <cell r="Z72">
            <v>41546.5</v>
          </cell>
          <cell r="AA72">
            <v>41638.75</v>
          </cell>
          <cell r="AB72">
            <v>41728.75</v>
          </cell>
          <cell r="AC72">
            <v>41819.75</v>
          </cell>
          <cell r="AD72">
            <v>41911.75</v>
          </cell>
          <cell r="AE72">
            <v>42004</v>
          </cell>
          <cell r="AF72">
            <v>42094</v>
          </cell>
          <cell r="AG72">
            <v>42185</v>
          </cell>
          <cell r="AH72">
            <v>42277</v>
          </cell>
          <cell r="AI72">
            <v>42369.25</v>
          </cell>
          <cell r="AJ72">
            <v>42459.25</v>
          </cell>
          <cell r="AK72">
            <v>42550.25</v>
          </cell>
          <cell r="AL72">
            <v>42642.25</v>
          </cell>
        </row>
        <row r="73">
          <cell r="B73" t="str">
            <v>R&amp;D</v>
          </cell>
          <cell r="C73">
            <v>1.977999999999998</v>
          </cell>
          <cell r="D73">
            <v>3.4190000000000005</v>
          </cell>
          <cell r="E73">
            <v>6.4549999999999983</v>
          </cell>
          <cell r="F73">
            <v>6.4270000000000067</v>
          </cell>
          <cell r="G73">
            <v>8.0340000000000025</v>
          </cell>
          <cell r="H73">
            <v>5.0999999999999979</v>
          </cell>
          <cell r="I73">
            <v>-0.32499999999999574</v>
          </cell>
          <cell r="J73">
            <v>-1.032999999999987</v>
          </cell>
          <cell r="K73">
            <v>1.4099999999999966</v>
          </cell>
          <cell r="L73">
            <v>1.9410000000000025</v>
          </cell>
          <cell r="M73">
            <v>3.5489999999999995</v>
          </cell>
          <cell r="N73">
            <v>2.472999999999999</v>
          </cell>
          <cell r="O73">
            <v>0.11400000000000432</v>
          </cell>
          <cell r="P73">
            <v>4.9529999999999959</v>
          </cell>
          <cell r="Q73">
            <v>5.5259999999999962</v>
          </cell>
          <cell r="R73">
            <v>3.3339999999999961</v>
          </cell>
          <cell r="S73">
            <v>5.2979999999999947</v>
          </cell>
          <cell r="T73">
            <v>3.2270000000000039</v>
          </cell>
          <cell r="U73">
            <v>4.5</v>
          </cell>
          <cell r="V73">
            <v>2</v>
          </cell>
          <cell r="W73">
            <v>3.3000000000000043</v>
          </cell>
          <cell r="X73">
            <v>3.7999999999999972</v>
          </cell>
          <cell r="Y73">
            <v>4.5</v>
          </cell>
          <cell r="Z73">
            <v>10.899999999999999</v>
          </cell>
          <cell r="AA73">
            <v>10.899999999999999</v>
          </cell>
          <cell r="AB73">
            <v>9.8000000000000043</v>
          </cell>
          <cell r="AC73">
            <v>3.6000000000000014</v>
          </cell>
          <cell r="AD73">
            <v>2.3000000000000043</v>
          </cell>
          <cell r="AE73">
            <v>-0.92399999999999949</v>
          </cell>
          <cell r="AF73">
            <v>1.7726463394630656</v>
          </cell>
          <cell r="AG73">
            <v>6.401267104595874</v>
          </cell>
          <cell r="AH73">
            <v>5.8646676936849147</v>
          </cell>
          <cell r="AI73">
            <v>1.1265126179781149</v>
          </cell>
          <cell r="AJ73">
            <v>-0.30959482334786514</v>
          </cell>
          <cell r="AK73">
            <v>-1.1540820888502168</v>
          </cell>
          <cell r="AL73">
            <v>13.636924524874431</v>
          </cell>
        </row>
        <row r="74">
          <cell r="B74" t="str">
            <v>SG&amp;A</v>
          </cell>
          <cell r="C74">
            <v>11.93099999999999</v>
          </cell>
          <cell r="D74">
            <v>4.8250000000000028</v>
          </cell>
          <cell r="E74">
            <v>9.3650000000000091</v>
          </cell>
          <cell r="F74">
            <v>19.490000000000009</v>
          </cell>
          <cell r="G74">
            <v>8.1600000000000108</v>
          </cell>
          <cell r="H74">
            <v>6.0970000000000084</v>
          </cell>
          <cell r="I74">
            <v>-6.1189999999999998</v>
          </cell>
          <cell r="J74">
            <v>8.3169999999999504</v>
          </cell>
          <cell r="K74">
            <v>0.3089999999999975</v>
          </cell>
          <cell r="L74">
            <v>-1.6810000000000116</v>
          </cell>
          <cell r="M74">
            <v>6.3149999999999977</v>
          </cell>
          <cell r="N74">
            <v>-9.2349999999999568</v>
          </cell>
          <cell r="O74">
            <v>7.7680000000000007</v>
          </cell>
          <cell r="P74">
            <v>14.422000000000011</v>
          </cell>
          <cell r="Q74">
            <v>10.158000000000001</v>
          </cell>
          <cell r="R74">
            <v>9.7939999999999969</v>
          </cell>
          <cell r="S74">
            <v>4.789999999999992</v>
          </cell>
          <cell r="T74">
            <v>9.3759999999999906</v>
          </cell>
          <cell r="U74">
            <v>10.239999999999995</v>
          </cell>
          <cell r="V74">
            <v>12.799999999999997</v>
          </cell>
          <cell r="W74">
            <v>10.400000000000006</v>
          </cell>
          <cell r="X74">
            <v>9.7000000000000028</v>
          </cell>
          <cell r="Y74">
            <v>-2.7399999999999949</v>
          </cell>
          <cell r="Z74">
            <v>1.2000000000000028</v>
          </cell>
          <cell r="AA74">
            <v>3.0999999999999943</v>
          </cell>
          <cell r="AB74">
            <v>2</v>
          </cell>
          <cell r="AC74">
            <v>13.799999999999997</v>
          </cell>
          <cell r="AD74">
            <v>11.099999999999994</v>
          </cell>
          <cell r="AE74">
            <v>20.481999999999999</v>
          </cell>
          <cell r="AF74">
            <v>1.1276577741535618</v>
          </cell>
          <cell r="AG74">
            <v>-0.43434383488283856</v>
          </cell>
          <cell r="AH74">
            <v>2.7085282680838532</v>
          </cell>
          <cell r="AI74">
            <v>-20.502339964678058</v>
          </cell>
          <cell r="AJ74">
            <v>3.0212788194369153</v>
          </cell>
          <cell r="AK74">
            <v>2.0398575779996264</v>
          </cell>
          <cell r="AL74">
            <v>5.7172070571358091</v>
          </cell>
        </row>
        <row r="75">
          <cell r="B75" t="str">
            <v>ex Med Tech Tax</v>
          </cell>
          <cell r="T75">
            <v>5.6259999999999906</v>
          </cell>
          <cell r="U75">
            <v>6.4899999999999949</v>
          </cell>
          <cell r="V75">
            <v>9.0499999999999972</v>
          </cell>
          <cell r="W75">
            <v>6.6500000000000057</v>
          </cell>
        </row>
        <row r="76">
          <cell r="B76" t="str">
            <v>SUM</v>
          </cell>
          <cell r="G76">
            <v>16.194000000000013</v>
          </cell>
          <cell r="H76">
            <v>11.197000000000006</v>
          </cell>
          <cell r="I76">
            <v>-6.4439999999999955</v>
          </cell>
          <cell r="J76">
            <v>7.2839999999999634</v>
          </cell>
          <cell r="K76">
            <v>1.7189999999999941</v>
          </cell>
          <cell r="L76">
            <v>0.25999999999999091</v>
          </cell>
          <cell r="M76">
            <v>9.8639999999999972</v>
          </cell>
          <cell r="N76">
            <v>-6.7619999999999578</v>
          </cell>
          <cell r="O76">
            <v>7.882000000000005</v>
          </cell>
          <cell r="P76">
            <v>19.375000000000007</v>
          </cell>
          <cell r="Q76">
            <v>15.683999999999997</v>
          </cell>
          <cell r="R76">
            <v>13.127999999999993</v>
          </cell>
          <cell r="S76">
            <v>10.087999999999987</v>
          </cell>
          <cell r="T76">
            <v>8.8529999999999944</v>
          </cell>
          <cell r="U76">
            <v>10.989999999999995</v>
          </cell>
          <cell r="V76">
            <v>11.049999999999997</v>
          </cell>
          <cell r="W76">
            <v>9.9500000000000099</v>
          </cell>
          <cell r="X76">
            <v>13.5</v>
          </cell>
          <cell r="Y76">
            <v>1.7600000000000051</v>
          </cell>
          <cell r="Z76">
            <v>12.100000000000001</v>
          </cell>
          <cell r="AA76">
            <v>13.999999999999993</v>
          </cell>
          <cell r="AB76">
            <v>11.800000000000004</v>
          </cell>
          <cell r="AC76">
            <v>17.399999999999999</v>
          </cell>
          <cell r="AD76">
            <v>13.399999999999999</v>
          </cell>
          <cell r="AE76">
            <v>19.558</v>
          </cell>
          <cell r="AF76">
            <v>2.9003041136166274</v>
          </cell>
          <cell r="AG76">
            <v>5.9669232697130354</v>
          </cell>
          <cell r="AH76">
            <v>8.5731959617687679</v>
          </cell>
          <cell r="AI76">
            <v>-19.375827346699943</v>
          </cell>
          <cell r="AJ76">
            <v>2.7116839960890502</v>
          </cell>
          <cell r="AK76">
            <v>0.88577548914940962</v>
          </cell>
          <cell r="AL76">
            <v>19.35413158201024</v>
          </cell>
        </row>
        <row r="77">
          <cell r="B77" t="str">
            <v>T4Q</v>
          </cell>
          <cell r="J77">
            <v>28.230999999999987</v>
          </cell>
          <cell r="K77">
            <v>13.755999999999968</v>
          </cell>
          <cell r="L77">
            <v>2.8189999999999529</v>
          </cell>
          <cell r="M77">
            <v>19.126999999999946</v>
          </cell>
          <cell r="N77">
            <v>5.0810000000000244</v>
          </cell>
          <cell r="O77">
            <v>11.244000000000035</v>
          </cell>
          <cell r="P77">
            <v>30.359000000000052</v>
          </cell>
          <cell r="Q77">
            <v>36.179000000000052</v>
          </cell>
          <cell r="R77">
            <v>56.069000000000003</v>
          </cell>
          <cell r="S77">
            <v>58.274999999999984</v>
          </cell>
          <cell r="T77">
            <v>47.752999999999972</v>
          </cell>
          <cell r="U77">
            <v>43.058999999999969</v>
          </cell>
          <cell r="V77">
            <v>40.980999999999973</v>
          </cell>
          <cell r="W77">
            <v>40.842999999999996</v>
          </cell>
          <cell r="X77">
            <v>45.49</v>
          </cell>
          <cell r="Y77">
            <v>36.260000000000012</v>
          </cell>
          <cell r="Z77">
            <v>37.310000000000016</v>
          </cell>
          <cell r="AA77">
            <v>41.36</v>
          </cell>
          <cell r="AB77">
            <v>39.660000000000004</v>
          </cell>
          <cell r="AC77">
            <v>55.3</v>
          </cell>
          <cell r="AD77">
            <v>56.599999999999994</v>
          </cell>
          <cell r="AE77">
            <v>62.158000000000001</v>
          </cell>
          <cell r="AF77">
            <v>53.258304113616624</v>
          </cell>
          <cell r="AG77">
            <v>41.825227383329661</v>
          </cell>
          <cell r="AH77">
            <v>36.998423345098431</v>
          </cell>
          <cell r="AI77">
            <v>-1.9354040016015119</v>
          </cell>
          <cell r="AJ77">
            <v>-2.1240241191290892</v>
          </cell>
          <cell r="AK77">
            <v>-7.205171899692715</v>
          </cell>
          <cell r="AL77">
            <v>3.5757637205487569</v>
          </cell>
        </row>
        <row r="79">
          <cell r="B79" t="str">
            <v>Stacked</v>
          </cell>
        </row>
        <row r="80">
          <cell r="B80" t="str">
            <v>R&amp;D</v>
          </cell>
          <cell r="G80">
            <v>10.012</v>
          </cell>
          <cell r="H80">
            <v>8.5189999999999984</v>
          </cell>
          <cell r="I80">
            <v>6.1300000000000026</v>
          </cell>
          <cell r="J80">
            <v>5.3940000000000197</v>
          </cell>
          <cell r="K80">
            <v>9.4439999999999991</v>
          </cell>
          <cell r="L80">
            <v>7.0410000000000004</v>
          </cell>
          <cell r="M80">
            <v>3.2240000000000038</v>
          </cell>
          <cell r="N80">
            <v>1.4400000000000119</v>
          </cell>
          <cell r="O80">
            <v>1.5240000000000009</v>
          </cell>
          <cell r="P80">
            <v>6.8939999999999984</v>
          </cell>
          <cell r="Q80">
            <v>9.0749999999999957</v>
          </cell>
          <cell r="R80">
            <v>5.8069999999999951</v>
          </cell>
          <cell r="S80">
            <v>5.411999999999999</v>
          </cell>
          <cell r="T80">
            <v>8.18</v>
          </cell>
          <cell r="U80">
            <v>10.025999999999996</v>
          </cell>
          <cell r="V80">
            <v>5.3339999999999961</v>
          </cell>
          <cell r="W80">
            <v>8.597999999999999</v>
          </cell>
          <cell r="X80">
            <v>7.027000000000001</v>
          </cell>
          <cell r="Y80">
            <v>9</v>
          </cell>
          <cell r="Z80">
            <v>12.899999999999999</v>
          </cell>
          <cell r="AA80">
            <v>14.200000000000003</v>
          </cell>
          <cell r="AB80">
            <v>13.600000000000001</v>
          </cell>
          <cell r="AC80">
            <v>8.1000000000000014</v>
          </cell>
          <cell r="AD80">
            <v>13.200000000000003</v>
          </cell>
          <cell r="AE80">
            <v>9.9759999999999991</v>
          </cell>
          <cell r="AF80">
            <v>11.57264633946307</v>
          </cell>
          <cell r="AG80">
            <v>10.001267104595875</v>
          </cell>
          <cell r="AH80">
            <v>8.164667693684919</v>
          </cell>
          <cell r="AI80">
            <v>0.20251261797811537</v>
          </cell>
          <cell r="AJ80">
            <v>1.4630515161152005</v>
          </cell>
          <cell r="AK80">
            <v>5.2471850157456572</v>
          </cell>
          <cell r="AL80">
            <v>19.501592218559345</v>
          </cell>
        </row>
        <row r="81">
          <cell r="B81" t="str">
            <v>SG&amp;A</v>
          </cell>
          <cell r="G81">
            <v>20.091000000000001</v>
          </cell>
          <cell r="H81">
            <v>10.922000000000011</v>
          </cell>
          <cell r="I81">
            <v>3.2460000000000093</v>
          </cell>
          <cell r="J81">
            <v>27.80699999999996</v>
          </cell>
          <cell r="K81">
            <v>8.4690000000000083</v>
          </cell>
          <cell r="L81">
            <v>4.4159999999999968</v>
          </cell>
          <cell r="M81">
            <v>0.19599999999999795</v>
          </cell>
          <cell r="N81">
            <v>-0.91800000000000637</v>
          </cell>
          <cell r="O81">
            <v>8.0769999999999982</v>
          </cell>
          <cell r="P81">
            <v>12.741</v>
          </cell>
          <cell r="Q81">
            <v>16.472999999999999</v>
          </cell>
          <cell r="R81">
            <v>0.55900000000004013</v>
          </cell>
          <cell r="S81">
            <v>12.557999999999993</v>
          </cell>
          <cell r="T81">
            <v>23.798000000000002</v>
          </cell>
          <cell r="U81">
            <v>20.397999999999996</v>
          </cell>
          <cell r="V81">
            <v>22.593999999999994</v>
          </cell>
          <cell r="W81">
            <v>15.189999999999998</v>
          </cell>
          <cell r="X81">
            <v>19.075999999999993</v>
          </cell>
          <cell r="Y81">
            <v>7.5</v>
          </cell>
          <cell r="Z81">
            <v>14</v>
          </cell>
          <cell r="AA81">
            <v>13.5</v>
          </cell>
          <cell r="AB81">
            <v>11.700000000000003</v>
          </cell>
          <cell r="AC81">
            <v>11.060000000000002</v>
          </cell>
          <cell r="AD81">
            <v>12.299999999999997</v>
          </cell>
          <cell r="AE81">
            <v>23.581999999999994</v>
          </cell>
          <cell r="AF81">
            <v>3.1276577741535618</v>
          </cell>
          <cell r="AG81">
            <v>13.365656165117159</v>
          </cell>
          <cell r="AH81">
            <v>13.808528268083847</v>
          </cell>
          <cell r="AI81">
            <v>-2.0339964678058209E-2</v>
          </cell>
          <cell r="AJ81">
            <v>4.1489365935904772</v>
          </cell>
          <cell r="AK81">
            <v>1.6055137431167879</v>
          </cell>
          <cell r="AL81">
            <v>8.4257353252196623</v>
          </cell>
        </row>
        <row r="82">
          <cell r="B82" t="str">
            <v>SUM</v>
          </cell>
          <cell r="G82">
            <v>30.103000000000002</v>
          </cell>
          <cell r="H82">
            <v>19.44100000000001</v>
          </cell>
          <cell r="I82">
            <v>9.3760000000000119</v>
          </cell>
          <cell r="J82">
            <v>33.200999999999979</v>
          </cell>
          <cell r="K82">
            <v>17.913000000000007</v>
          </cell>
          <cell r="L82">
            <v>11.456999999999997</v>
          </cell>
          <cell r="M82">
            <v>3.4200000000000017</v>
          </cell>
          <cell r="N82">
            <v>0.52200000000000557</v>
          </cell>
          <cell r="O82">
            <v>9.6009999999999991</v>
          </cell>
          <cell r="P82">
            <v>19.634999999999998</v>
          </cell>
          <cell r="Q82">
            <v>25.547999999999995</v>
          </cell>
          <cell r="R82">
            <v>6.3660000000000352</v>
          </cell>
          <cell r="S82">
            <v>17.969999999999992</v>
          </cell>
          <cell r="T82">
            <v>31.978000000000002</v>
          </cell>
          <cell r="U82">
            <v>30.423999999999992</v>
          </cell>
          <cell r="V82">
            <v>27.92799999999999</v>
          </cell>
          <cell r="W82">
            <v>23.787999999999997</v>
          </cell>
          <cell r="X82">
            <v>26.102999999999994</v>
          </cell>
          <cell r="Y82">
            <v>16.5</v>
          </cell>
          <cell r="Z82">
            <v>26.9</v>
          </cell>
          <cell r="AA82">
            <v>27.700000000000003</v>
          </cell>
          <cell r="AB82">
            <v>25.300000000000004</v>
          </cell>
          <cell r="AC82">
            <v>19.160000000000004</v>
          </cell>
          <cell r="AD82">
            <v>25.5</v>
          </cell>
          <cell r="AE82">
            <v>33.557999999999993</v>
          </cell>
          <cell r="AF82">
            <v>14.700304113616632</v>
          </cell>
          <cell r="AG82">
            <v>23.366923269713034</v>
          </cell>
          <cell r="AH82">
            <v>21.973195961768766</v>
          </cell>
          <cell r="AI82">
            <v>0.18217265330005716</v>
          </cell>
          <cell r="AJ82">
            <v>5.6119881097056776</v>
          </cell>
          <cell r="AK82">
            <v>6.8526987588624451</v>
          </cell>
          <cell r="AL82">
            <v>27.927327543779008</v>
          </cell>
        </row>
        <row r="111">
          <cell r="K111">
            <v>40543</v>
          </cell>
          <cell r="L111">
            <v>40633</v>
          </cell>
          <cell r="M111">
            <v>40724</v>
          </cell>
          <cell r="N111">
            <v>40816</v>
          </cell>
          <cell r="O111">
            <v>40908.25</v>
          </cell>
          <cell r="P111">
            <v>40998.25</v>
          </cell>
          <cell r="Q111">
            <v>41089.25</v>
          </cell>
          <cell r="R111">
            <v>41181.25</v>
          </cell>
          <cell r="S111">
            <v>41273.5</v>
          </cell>
        </row>
        <row r="112">
          <cell r="B112" t="str">
            <v>% of WW Orders</v>
          </cell>
          <cell r="K112">
            <v>0.32</v>
          </cell>
          <cell r="L112">
            <v>0.4</v>
          </cell>
          <cell r="M112">
            <v>0.42</v>
          </cell>
          <cell r="N112">
            <v>0.4</v>
          </cell>
          <cell r="O112">
            <v>0.4</v>
          </cell>
          <cell r="P112">
            <v>0.46</v>
          </cell>
          <cell r="Q112">
            <v>0.55000000000000004</v>
          </cell>
          <cell r="R112">
            <v>0.5</v>
          </cell>
          <cell r="S112">
            <v>0.5</v>
          </cell>
        </row>
        <row r="113">
          <cell r="B113" t="str">
            <v>TrueBeam</v>
          </cell>
          <cell r="K113">
            <v>45</v>
          </cell>
          <cell r="L113">
            <v>55</v>
          </cell>
          <cell r="M113">
            <v>62</v>
          </cell>
          <cell r="N113">
            <v>88</v>
          </cell>
          <cell r="O113">
            <v>45</v>
          </cell>
          <cell r="P113">
            <v>62</v>
          </cell>
          <cell r="Q113">
            <v>62</v>
          </cell>
          <cell r="R113">
            <v>95</v>
          </cell>
          <cell r="S113">
            <v>45</v>
          </cell>
        </row>
        <row r="114">
          <cell r="B114" t="str">
            <v>TB Order Growth</v>
          </cell>
          <cell r="K114">
            <v>45</v>
          </cell>
          <cell r="L114">
            <v>55</v>
          </cell>
          <cell r="M114">
            <v>62</v>
          </cell>
          <cell r="N114">
            <v>23</v>
          </cell>
          <cell r="O114">
            <v>0</v>
          </cell>
          <cell r="P114">
            <v>7</v>
          </cell>
          <cell r="Q114">
            <v>0</v>
          </cell>
          <cell r="R114">
            <v>7</v>
          </cell>
          <cell r="S114">
            <v>0</v>
          </cell>
        </row>
        <row r="115">
          <cell r="B115" t="str">
            <v>Cumulative TB Orders</v>
          </cell>
          <cell r="K115">
            <v>172</v>
          </cell>
          <cell r="L115">
            <v>225</v>
          </cell>
          <cell r="M115">
            <v>295</v>
          </cell>
          <cell r="N115">
            <v>380</v>
          </cell>
          <cell r="O115">
            <v>425</v>
          </cell>
          <cell r="P115">
            <v>488</v>
          </cell>
          <cell r="Q115">
            <v>550</v>
          </cell>
          <cell r="R115">
            <v>645</v>
          </cell>
          <cell r="S115">
            <v>690</v>
          </cell>
        </row>
        <row r="116">
          <cell r="B116" t="str">
            <v>Installs</v>
          </cell>
          <cell r="K116">
            <v>42</v>
          </cell>
          <cell r="L116">
            <v>65</v>
          </cell>
          <cell r="M116">
            <v>103</v>
          </cell>
          <cell r="N116">
            <v>145</v>
          </cell>
          <cell r="O116">
            <v>175</v>
          </cell>
          <cell r="P116">
            <v>232</v>
          </cell>
          <cell r="Q116">
            <v>270</v>
          </cell>
          <cell r="R116">
            <v>330</v>
          </cell>
          <cell r="S116">
            <v>380</v>
          </cell>
        </row>
        <row r="117">
          <cell r="B117" t="str">
            <v>Total Hi Energy Orders</v>
          </cell>
          <cell r="K117">
            <v>140.625</v>
          </cell>
          <cell r="L117">
            <v>137.5</v>
          </cell>
          <cell r="M117">
            <v>147.61904761904762</v>
          </cell>
          <cell r="N117">
            <v>220</v>
          </cell>
          <cell r="O117">
            <v>112.5</v>
          </cell>
          <cell r="P117">
            <v>134.78260869565216</v>
          </cell>
          <cell r="Q117">
            <v>112.72727272727272</v>
          </cell>
          <cell r="R117">
            <v>190</v>
          </cell>
          <cell r="S117">
            <v>90</v>
          </cell>
        </row>
        <row r="118">
          <cell r="B118" t="str">
            <v>Yr/Yr</v>
          </cell>
          <cell r="K118">
            <v>0</v>
          </cell>
          <cell r="L118">
            <v>0</v>
          </cell>
          <cell r="M118">
            <v>0</v>
          </cell>
          <cell r="N118">
            <v>0</v>
          </cell>
          <cell r="O118">
            <v>-28.125</v>
          </cell>
          <cell r="P118">
            <v>-2.7173913043478422</v>
          </cell>
          <cell r="Q118">
            <v>-34.891774891774901</v>
          </cell>
          <cell r="R118">
            <v>-30</v>
          </cell>
          <cell r="S118">
            <v>-22.5</v>
          </cell>
        </row>
        <row r="119">
          <cell r="O119" t="e">
            <v>#REF!</v>
          </cell>
          <cell r="P119" t="e">
            <v>#REF!</v>
          </cell>
          <cell r="Q119" t="e">
            <v>#REF!</v>
          </cell>
          <cell r="R119" t="e">
            <v>#REF!</v>
          </cell>
          <cell r="S119" t="e">
            <v>#REF!</v>
          </cell>
        </row>
      </sheetData>
      <sheetData sheetId="1" refreshError="1"/>
      <sheetData sheetId="2"/>
      <sheetData sheetId="3" refreshError="1"/>
      <sheetData sheetId="4"/>
      <sheetData sheetId="5"/>
      <sheetData sheetId="6">
        <row r="1">
          <cell r="A1" t="str">
            <v>Natera</v>
          </cell>
          <cell r="B1" t="str">
            <v>($ in 000s, except per share data)</v>
          </cell>
          <cell r="H1" t="str">
            <v>Updated:</v>
          </cell>
        </row>
        <row r="2">
          <cell r="A2" t="str">
            <v>Earnings Charts</v>
          </cell>
          <cell r="C2" t="str">
            <v>2014E</v>
          </cell>
          <cell r="D2" t="str">
            <v>2015E</v>
          </cell>
          <cell r="E2" t="str">
            <v>2016E</v>
          </cell>
          <cell r="F2" t="str">
            <v>Comments</v>
          </cell>
          <cell r="H2" t="str">
            <v>2014E</v>
          </cell>
          <cell r="I2" t="str">
            <v>2015E</v>
          </cell>
          <cell r="J2" t="str">
            <v>2016E</v>
          </cell>
        </row>
        <row r="3">
          <cell r="A3" t="str">
            <v>(All numbers in millions, except per share numbers or unless otherwise indicated)</v>
          </cell>
          <cell r="B3" t="str">
            <v>($ in millions, except per share data)</v>
          </cell>
          <cell r="H3">
            <v>119</v>
          </cell>
          <cell r="I3">
            <v>2943.3257996000002</v>
          </cell>
          <cell r="J3">
            <v>15349.708356514771</v>
          </cell>
          <cell r="L3" t="str">
            <v>Changes</v>
          </cell>
        </row>
        <row r="4">
          <cell r="B4" t="str">
            <v>Current</v>
          </cell>
          <cell r="C4">
            <v>119</v>
          </cell>
          <cell r="D4" t="str">
            <v>2010A</v>
          </cell>
          <cell r="E4" t="str">
            <v>2011A</v>
          </cell>
          <cell r="F4" t="str">
            <v>2012A</v>
          </cell>
          <cell r="G4" t="str">
            <v>2013A</v>
          </cell>
          <cell r="H4" t="str">
            <v>2014A</v>
          </cell>
          <cell r="I4" t="str">
            <v>2015E</v>
          </cell>
          <cell r="J4" t="str">
            <v>2016E</v>
          </cell>
          <cell r="K4" t="str">
            <v>4Q12</v>
          </cell>
          <cell r="L4" t="str">
            <v>2013A</v>
          </cell>
          <cell r="M4" t="str">
            <v>2014A</v>
          </cell>
          <cell r="N4" t="str">
            <v>2015E</v>
          </cell>
          <cell r="O4" t="str">
            <v>2016E</v>
          </cell>
          <cell r="P4" t="str">
            <v>1Q14</v>
          </cell>
          <cell r="Q4" t="str">
            <v>2Q14</v>
          </cell>
          <cell r="R4" t="str">
            <v>3Q14</v>
          </cell>
          <cell r="S4" t="str">
            <v>4Q14</v>
          </cell>
        </row>
        <row r="5">
          <cell r="B5" t="str">
            <v>Net Orders</v>
          </cell>
          <cell r="C5" t="str">
            <v>NM</v>
          </cell>
          <cell r="D5">
            <v>23.733830248739498</v>
          </cell>
          <cell r="E5">
            <v>4.2150898003207145</v>
          </cell>
          <cell r="G5" t="str">
            <v>Incremental EBIT</v>
          </cell>
          <cell r="P5" t="str">
            <v>Last Update: 02/19/15</v>
          </cell>
        </row>
        <row r="6">
          <cell r="B6" t="str">
            <v>Current</v>
          </cell>
          <cell r="C6" t="str">
            <v>NM</v>
          </cell>
          <cell r="D6">
            <v>2495</v>
          </cell>
          <cell r="E6">
            <v>2933.5</v>
          </cell>
          <cell r="F6">
            <v>3121.9000000000005</v>
          </cell>
          <cell r="G6">
            <v>2967.6000000000004</v>
          </cell>
          <cell r="H6">
            <v>3351</v>
          </cell>
          <cell r="I6">
            <v>3376.9197816971623</v>
          </cell>
          <cell r="J6">
            <v>3522.2168952483507</v>
          </cell>
          <cell r="K6" t="str">
            <v>NA</v>
          </cell>
          <cell r="L6">
            <v>0</v>
          </cell>
          <cell r="M6">
            <v>0</v>
          </cell>
          <cell r="N6">
            <v>-67.572487271147111</v>
          </cell>
          <cell r="O6">
            <v>-104.91685523742399</v>
          </cell>
          <cell r="P6">
            <v>-0.26604112501361077</v>
          </cell>
          <cell r="Q6">
            <v>-3.4071098077047932E-2</v>
          </cell>
          <cell r="R6">
            <v>0.10277444600319846</v>
          </cell>
          <cell r="S6">
            <v>8.8873267388562119E-2</v>
          </cell>
        </row>
        <row r="7">
          <cell r="B7" t="str">
            <v xml:space="preserve">y/y growth </v>
          </cell>
          <cell r="C7" t="e">
            <v>#VALUE!</v>
          </cell>
          <cell r="D7">
            <v>0</v>
          </cell>
          <cell r="E7">
            <v>0.17575150300601194</v>
          </cell>
          <cell r="F7">
            <v>6.422362365774692E-2</v>
          </cell>
          <cell r="G7">
            <v>-4.9425029629392436E-2</v>
          </cell>
          <cell r="H7">
            <v>0.1291953093408813</v>
          </cell>
          <cell r="I7">
            <v>7.7349393306960224E-3</v>
          </cell>
          <cell r="J7">
            <v>4.3026522080475749E-2</v>
          </cell>
          <cell r="L7">
            <v>0</v>
          </cell>
          <cell r="M7">
            <v>0</v>
          </cell>
          <cell r="N7">
            <v>-1.9617546504578556E-2</v>
          </cell>
          <cell r="O7">
            <v>-2.892555457139475E-2</v>
          </cell>
        </row>
        <row r="8">
          <cell r="B8" t="str">
            <v>ex-FX</v>
          </cell>
          <cell r="C8" t="str">
            <v>Prior</v>
          </cell>
          <cell r="D8">
            <v>538.57600000000002</v>
          </cell>
          <cell r="E8">
            <v>0.15602823819697687</v>
          </cell>
          <cell r="F8">
            <v>7.6198652030220249E-2</v>
          </cell>
          <cell r="G8">
            <v>-4.2523711496154193E-2</v>
          </cell>
          <cell r="H8">
            <v>0.13380980524628072</v>
          </cell>
          <cell r="I8">
            <v>4.8125579680255992E-2</v>
          </cell>
          <cell r="J8">
            <v>5.1941892429559156E-2</v>
          </cell>
        </row>
        <row r="9">
          <cell r="B9" t="str">
            <v>Oncology</v>
          </cell>
          <cell r="C9" t="str">
            <v>% Y/Y</v>
          </cell>
          <cell r="D9">
            <v>2076</v>
          </cell>
          <cell r="E9">
            <v>2249.5</v>
          </cell>
          <cell r="F9">
            <v>2400.1000000000004</v>
          </cell>
          <cell r="G9">
            <v>2299.1000000000004</v>
          </cell>
          <cell r="H9">
            <v>2520.8000000000002</v>
          </cell>
          <cell r="I9">
            <v>2467.5735153297373</v>
          </cell>
          <cell r="J9">
            <v>2462.6897580921468</v>
          </cell>
          <cell r="L9">
            <v>0</v>
          </cell>
          <cell r="M9">
            <v>0</v>
          </cell>
          <cell r="N9">
            <v>-51.223753638571907</v>
          </cell>
          <cell r="O9">
            <v>-120.5880423936278</v>
          </cell>
        </row>
        <row r="10">
          <cell r="B10" t="str">
            <v>X-Ray</v>
          </cell>
          <cell r="C10" t="str">
            <v>% Change</v>
          </cell>
          <cell r="D10">
            <v>419</v>
          </cell>
          <cell r="E10">
            <v>482.8</v>
          </cell>
          <cell r="F10">
            <v>595.5</v>
          </cell>
          <cell r="G10">
            <v>665.7</v>
          </cell>
          <cell r="H10">
            <v>710.7</v>
          </cell>
          <cell r="I10">
            <v>787.94626636742464</v>
          </cell>
          <cell r="J10">
            <v>859.52713715620393</v>
          </cell>
          <cell r="L10">
            <v>0</v>
          </cell>
          <cell r="M10">
            <v>0</v>
          </cell>
          <cell r="N10">
            <v>-2.0336592495811694E-2</v>
          </cell>
          <cell r="O10">
            <v>-4.6680245682811088E-2</v>
          </cell>
        </row>
        <row r="11">
          <cell r="B11" t="str">
            <v>Constant currency</v>
          </cell>
        </row>
        <row r="12">
          <cell r="B12" t="str">
            <v>Prior</v>
          </cell>
          <cell r="C12" t="str">
            <v>Current</v>
          </cell>
          <cell r="D12">
            <v>2495</v>
          </cell>
          <cell r="E12">
            <v>2933.5</v>
          </cell>
          <cell r="F12">
            <v>3121.9</v>
          </cell>
          <cell r="G12">
            <v>2967.6000000000004</v>
          </cell>
          <cell r="H12">
            <v>3351</v>
          </cell>
          <cell r="I12">
            <v>3444.4922689683094</v>
          </cell>
          <cell r="J12">
            <v>3627.1337504857747</v>
          </cell>
        </row>
        <row r="13">
          <cell r="B13" t="str">
            <v xml:space="preserve">y/y growth </v>
          </cell>
          <cell r="C13" t="str">
            <v>% sales</v>
          </cell>
          <cell r="D13">
            <v>0.5140240188942693</v>
          </cell>
          <cell r="E13">
            <v>0.17575150300601194</v>
          </cell>
          <cell r="F13">
            <v>6.4223623657746698E-2</v>
          </cell>
          <cell r="G13">
            <v>-4.9425029629392214E-2</v>
          </cell>
          <cell r="H13">
            <v>0.1291953093408813</v>
          </cell>
          <cell r="I13">
            <v>2.7899811688543608E-2</v>
          </cell>
          <cell r="J13">
            <v>5.3024210030284014E-2</v>
          </cell>
        </row>
        <row r="14">
          <cell r="B14" t="str">
            <v>ex-FX</v>
          </cell>
          <cell r="C14">
            <v>119</v>
          </cell>
          <cell r="D14">
            <v>1197.4651599200001</v>
          </cell>
          <cell r="E14">
            <v>0.15602823819697687</v>
          </cell>
          <cell r="F14">
            <v>7.6198652030220027E-2</v>
          </cell>
          <cell r="G14">
            <v>-4.2523711496153971E-2</v>
          </cell>
          <cell r="H14">
            <v>0.13380980524628072</v>
          </cell>
          <cell r="I14">
            <v>6.7438996115503191E-2</v>
          </cell>
          <cell r="J14">
            <v>5.3024210030284014E-2</v>
          </cell>
        </row>
        <row r="15">
          <cell r="B15" t="str">
            <v>Oncology</v>
          </cell>
          <cell r="C15">
            <v>1</v>
          </cell>
          <cell r="D15">
            <v>2076</v>
          </cell>
          <cell r="E15">
            <v>2249.5</v>
          </cell>
          <cell r="F15">
            <v>2400.1</v>
          </cell>
          <cell r="G15">
            <v>2299.1000000000004</v>
          </cell>
          <cell r="H15">
            <v>2520.8000000000002</v>
          </cell>
          <cell r="I15">
            <v>2518.7972689683093</v>
          </cell>
          <cell r="J15">
            <v>2583.2778004857746</v>
          </cell>
        </row>
        <row r="16">
          <cell r="B16" t="str">
            <v>X-Ray</v>
          </cell>
          <cell r="D16">
            <v>419</v>
          </cell>
          <cell r="E16">
            <v>482.8</v>
          </cell>
          <cell r="F16">
            <v>595.5</v>
          </cell>
          <cell r="G16">
            <v>665.7</v>
          </cell>
          <cell r="H16">
            <v>710.7</v>
          </cell>
          <cell r="I16">
            <v>765.69500000000016</v>
          </cell>
          <cell r="J16">
            <v>843.85595000000012</v>
          </cell>
        </row>
        <row r="17">
          <cell r="B17" t="str">
            <v>Total Revenues</v>
          </cell>
          <cell r="C17" t="str">
            <v>Current</v>
          </cell>
          <cell r="D17">
            <v>154.63200000000001</v>
          </cell>
          <cell r="E17">
            <v>168.38326496942005</v>
          </cell>
          <cell r="F17">
            <v>194.82626258154122</v>
          </cell>
          <cell r="G17">
            <v>227.89467509951075</v>
          </cell>
        </row>
        <row r="18">
          <cell r="B18" t="str">
            <v>Current</v>
          </cell>
          <cell r="C18" t="str">
            <v>% sales</v>
          </cell>
          <cell r="D18">
            <v>2356.5340000000001</v>
          </cell>
          <cell r="E18">
            <v>2596.7069999999999</v>
          </cell>
          <cell r="F18">
            <v>2806.9999999999995</v>
          </cell>
          <cell r="G18">
            <v>2942.9</v>
          </cell>
          <cell r="H18">
            <v>3049.7999999999997</v>
          </cell>
          <cell r="I18">
            <v>3145.9745554550982</v>
          </cell>
          <cell r="J18">
            <v>3221.3503087651952</v>
          </cell>
          <cell r="L18">
            <v>0</v>
          </cell>
          <cell r="M18">
            <v>0</v>
          </cell>
          <cell r="N18">
            <v>-59.864444544901744</v>
          </cell>
          <cell r="O18">
            <v>-131.62666123480494</v>
          </cell>
        </row>
        <row r="19">
          <cell r="B19" t="str">
            <v xml:space="preserve">y/y growth </v>
          </cell>
          <cell r="C19" t="str">
            <v>Prior</v>
          </cell>
          <cell r="D19">
            <v>154.63200000000001</v>
          </cell>
          <cell r="E19">
            <v>0.10191790146036506</v>
          </cell>
          <cell r="F19">
            <v>8.098449305216171E-2</v>
          </cell>
          <cell r="G19">
            <v>4.8414677591735122E-2</v>
          </cell>
          <cell r="H19">
            <v>3.6324713717761359E-2</v>
          </cell>
          <cell r="I19">
            <v>3.1534708982588588E-2</v>
          </cell>
          <cell r="J19">
            <v>2.3959428781582526E-2</v>
          </cell>
          <cell r="L19">
            <v>0</v>
          </cell>
          <cell r="M19">
            <v>0</v>
          </cell>
          <cell r="N19">
            <v>-1.867356549873582E-2</v>
          </cell>
          <cell r="O19">
            <v>-3.925665532823655E-2</v>
          </cell>
        </row>
        <row r="20">
          <cell r="B20" t="str">
            <v>ex-FX</v>
          </cell>
          <cell r="C20">
            <v>11019</v>
          </cell>
          <cell r="D20">
            <v>20197.443027859998</v>
          </cell>
          <cell r="E20">
            <v>8.2170789511093245E-2</v>
          </cell>
          <cell r="F20">
            <v>9.2959521424635039E-2</v>
          </cell>
          <cell r="G20">
            <v>0.06</v>
          </cell>
          <cell r="H20">
            <v>4.0939209623160888E-2</v>
          </cell>
          <cell r="I20">
            <v>7.1925349332148558E-2</v>
          </cell>
          <cell r="J20">
            <v>3.2874799130665711E-2</v>
          </cell>
        </row>
        <row r="21">
          <cell r="B21" t="str">
            <v>Oncology</v>
          </cell>
          <cell r="C21">
            <v>92.596638655462186</v>
          </cell>
          <cell r="D21">
            <v>1862</v>
          </cell>
          <cell r="E21">
            <v>2021.9</v>
          </cell>
          <cell r="F21">
            <v>2189.5</v>
          </cell>
          <cell r="G21">
            <v>2252.6999999999998</v>
          </cell>
          <cell r="H21">
            <v>2344.1999999999998</v>
          </cell>
          <cell r="I21">
            <v>2377.9501847425845</v>
          </cell>
          <cell r="J21">
            <v>2397.1727927998695</v>
          </cell>
          <cell r="L21">
            <v>0</v>
          </cell>
          <cell r="M21">
            <v>0</v>
          </cell>
          <cell r="N21">
            <v>-75.654815257415521</v>
          </cell>
          <cell r="O21">
            <v>-151.59139720013081</v>
          </cell>
        </row>
        <row r="22">
          <cell r="B22" t="str">
            <v>X-Ray</v>
          </cell>
          <cell r="C22" t="str">
            <v>Current</v>
          </cell>
          <cell r="D22">
            <v>403.20000000000005</v>
          </cell>
          <cell r="E22">
            <v>469.2</v>
          </cell>
          <cell r="F22">
            <v>580.4</v>
          </cell>
          <cell r="G22">
            <v>641.9</v>
          </cell>
          <cell r="H22">
            <v>660.2</v>
          </cell>
          <cell r="I22">
            <v>703.20757708023473</v>
          </cell>
          <cell r="J22">
            <v>732.34916698540974</v>
          </cell>
          <cell r="L22">
            <v>0</v>
          </cell>
          <cell r="M22">
            <v>0</v>
          </cell>
          <cell r="N22">
            <v>-3.0834146187921657E-2</v>
          </cell>
          <cell r="O22">
            <v>-5.9476430889485621E-2</v>
          </cell>
        </row>
        <row r="23">
          <cell r="B23" t="str">
            <v>Prior</v>
          </cell>
          <cell r="C23" t="str">
            <v>% sales</v>
          </cell>
          <cell r="D23">
            <v>0.19509781349336025</v>
          </cell>
          <cell r="E23">
            <v>0.19425326372427026</v>
          </cell>
          <cell r="F23">
            <v>0.1452214937953665</v>
          </cell>
          <cell r="G23">
            <v>0.14249999999999996</v>
          </cell>
        </row>
        <row r="24">
          <cell r="B24" t="str">
            <v>Prior</v>
          </cell>
          <cell r="C24" t="str">
            <v>Prior</v>
          </cell>
          <cell r="D24">
            <v>2356.5340000000001</v>
          </cell>
          <cell r="E24">
            <v>2596.7069999999999</v>
          </cell>
          <cell r="F24">
            <v>2806.9999999999995</v>
          </cell>
          <cell r="G24">
            <v>2942.9</v>
          </cell>
          <cell r="H24">
            <v>3049.7999999999997</v>
          </cell>
          <cell r="I24">
            <v>3205.8389999999999</v>
          </cell>
          <cell r="J24">
            <v>3352.9769700000002</v>
          </cell>
        </row>
        <row r="25">
          <cell r="B25" t="str">
            <v xml:space="preserve">y/y growth </v>
          </cell>
          <cell r="C25" t="str">
            <v>% sales</v>
          </cell>
          <cell r="D25">
            <v>0.19509781349336025</v>
          </cell>
          <cell r="E25">
            <v>0.10191790146036506</v>
          </cell>
          <cell r="F25">
            <v>8.098449305216171E-2</v>
          </cell>
          <cell r="G25">
            <v>4.8414677591735122E-2</v>
          </cell>
          <cell r="H25">
            <v>3.6324713717761359E-2</v>
          </cell>
          <cell r="I25">
            <v>5.1163682864450166E-2</v>
          </cell>
          <cell r="J25">
            <v>4.5896868183336714E-2</v>
          </cell>
        </row>
        <row r="26">
          <cell r="B26" t="str">
            <v>ex-FX</v>
          </cell>
          <cell r="C26">
            <v>19781</v>
          </cell>
          <cell r="D26">
            <v>25005.791897800002</v>
          </cell>
          <cell r="E26">
            <v>8.2170789511093245E-2</v>
          </cell>
          <cell r="F26">
            <v>9.2959521424635039E-2</v>
          </cell>
          <cell r="G26">
            <v>0.06</v>
          </cell>
          <cell r="H26">
            <v>4.0939209623160888E-2</v>
          </cell>
          <cell r="I26">
            <v>9.0702867291409861E-2</v>
          </cell>
          <cell r="J26">
            <v>4.5896868183336714E-2</v>
          </cell>
        </row>
        <row r="27">
          <cell r="B27" t="str">
            <v>Oncology</v>
          </cell>
          <cell r="C27">
            <v>166.22689075630251</v>
          </cell>
          <cell r="D27">
            <v>1862</v>
          </cell>
          <cell r="E27">
            <v>2021.9</v>
          </cell>
          <cell r="F27">
            <v>2189.5</v>
          </cell>
          <cell r="G27">
            <v>2252.6999999999998</v>
          </cell>
          <cell r="H27">
            <v>2344.1999999999998</v>
          </cell>
          <cell r="I27">
            <v>2453.605</v>
          </cell>
          <cell r="J27">
            <v>2548.7641900000003</v>
          </cell>
        </row>
        <row r="28">
          <cell r="B28" t="str">
            <v>X-Ray</v>
          </cell>
          <cell r="C28" t="str">
            <v>% sales</v>
          </cell>
          <cell r="D28">
            <v>403.20000000000005</v>
          </cell>
          <cell r="E28">
            <v>469.2</v>
          </cell>
          <cell r="F28">
            <v>580.4</v>
          </cell>
          <cell r="G28">
            <v>641.9</v>
          </cell>
          <cell r="H28">
            <v>660.2</v>
          </cell>
          <cell r="I28">
            <v>704.95399999999995</v>
          </cell>
          <cell r="J28">
            <v>754.30078000000003</v>
          </cell>
        </row>
        <row r="29">
          <cell r="B29" t="str">
            <v>Gross Profit</v>
          </cell>
          <cell r="C29" t="str">
            <v>Prior</v>
          </cell>
          <cell r="D29">
            <v>11.307999999999993</v>
          </cell>
          <cell r="E29">
            <v>28.123756495465727</v>
          </cell>
          <cell r="F29">
            <v>104.03579834137071</v>
          </cell>
          <cell r="G29">
            <v>130.76725661239186</v>
          </cell>
        </row>
        <row r="30">
          <cell r="B30" t="str">
            <v>Current</v>
          </cell>
          <cell r="C30" t="str">
            <v>% sales</v>
          </cell>
          <cell r="D30">
            <v>1025.6610000000001</v>
          </cell>
          <cell r="E30">
            <v>1135.9329999999998</v>
          </cell>
          <cell r="F30">
            <v>1196.2999999999997</v>
          </cell>
          <cell r="G30">
            <v>1249.7000000000003</v>
          </cell>
          <cell r="H30">
            <v>1301.6999999999998</v>
          </cell>
          <cell r="I30">
            <v>1339.9537852054589</v>
          </cell>
          <cell r="J30">
            <v>1365.2944215468556</v>
          </cell>
          <cell r="L30">
            <v>0</v>
          </cell>
          <cell r="M30">
            <v>0</v>
          </cell>
          <cell r="N30">
            <v>-17.482711794540819</v>
          </cell>
          <cell r="O30">
            <v>-46.365306993144486</v>
          </cell>
        </row>
        <row r="31">
          <cell r="B31" t="str">
            <v>gross margin</v>
          </cell>
          <cell r="D31">
            <v>0.43524133324619974</v>
          </cell>
          <cell r="E31">
            <v>0.43745135666057039</v>
          </cell>
          <cell r="F31">
            <v>0.42618453865336653</v>
          </cell>
          <cell r="G31">
            <v>0.42464915559482153</v>
          </cell>
          <cell r="H31">
            <v>0.42681487310643318</v>
          </cell>
          <cell r="I31">
            <v>0.42592645349975516</v>
          </cell>
          <cell r="J31">
            <v>0.42382674676266391</v>
          </cell>
        </row>
        <row r="32">
          <cell r="B32">
            <v>2013</v>
          </cell>
          <cell r="C32">
            <v>2014</v>
          </cell>
          <cell r="D32" t="str">
            <v>2015E</v>
          </cell>
          <cell r="E32" t="str">
            <v>2016E</v>
          </cell>
          <cell r="F32">
            <v>-1.5482299786918672</v>
          </cell>
          <cell r="G32">
            <v>-1.8833134069685435</v>
          </cell>
          <cell r="H32">
            <v>-30681</v>
          </cell>
          <cell r="I32">
            <v>-44005.769765739999</v>
          </cell>
          <cell r="J32">
            <v>-41799.301640778896</v>
          </cell>
        </row>
        <row r="33">
          <cell r="A33" t="str">
            <v>Total Revenues</v>
          </cell>
          <cell r="B33" t="str">
            <v>Prior</v>
          </cell>
          <cell r="C33">
            <v>-257.8235294117647</v>
          </cell>
          <cell r="D33">
            <v>1025.6610000000001</v>
          </cell>
          <cell r="E33">
            <v>1135.9329999999998</v>
          </cell>
          <cell r="F33">
            <v>1196.2999999999997</v>
          </cell>
          <cell r="G33">
            <v>1249.7000000000003</v>
          </cell>
          <cell r="H33">
            <v>1301.6999999999998</v>
          </cell>
          <cell r="I33">
            <v>1357.4364969999997</v>
          </cell>
          <cell r="J33">
            <v>1411.6597285400001</v>
          </cell>
        </row>
        <row r="34">
          <cell r="A34" t="str">
            <v>Current</v>
          </cell>
          <cell r="B34" t="str">
            <v>gross margin</v>
          </cell>
          <cell r="C34">
            <v>159.334788</v>
          </cell>
          <cell r="D34">
            <v>0.43524133324619974</v>
          </cell>
          <cell r="E34">
            <v>0.43745135666057039</v>
          </cell>
          <cell r="F34">
            <v>0.42618453865336653</v>
          </cell>
          <cell r="G34">
            <v>0.42464915559482153</v>
          </cell>
          <cell r="H34">
            <v>0.42681487310643318</v>
          </cell>
          <cell r="I34">
            <v>0.42342628466370263</v>
          </cell>
          <cell r="J34">
            <v>0.42101682808158386</v>
          </cell>
        </row>
        <row r="35">
          <cell r="A35" t="str">
            <v>% Y/Y</v>
          </cell>
          <cell r="B35" t="str">
            <v>SG&amp;A</v>
          </cell>
          <cell r="C35">
            <v>1.8880260677619884</v>
          </cell>
          <cell r="D35">
            <v>0.12327254188160985</v>
          </cell>
          <cell r="E35">
            <v>0.30854382554246107</v>
          </cell>
          <cell r="F35">
            <v>-5.8771447934294046E-3</v>
          </cell>
          <cell r="G35">
            <v>-4.8999325007970662E-3</v>
          </cell>
        </row>
        <row r="36">
          <cell r="A36" t="str">
            <v>Prior</v>
          </cell>
          <cell r="B36" t="str">
            <v>Current</v>
          </cell>
          <cell r="C36">
            <v>159.334788</v>
          </cell>
          <cell r="D36">
            <v>334.69200000000001</v>
          </cell>
          <cell r="E36">
            <v>376.834</v>
          </cell>
          <cell r="F36">
            <v>414.03999999999996</v>
          </cell>
          <cell r="G36">
            <v>432.59999999999997</v>
          </cell>
          <cell r="H36">
            <v>462.6</v>
          </cell>
          <cell r="I36">
            <v>486.4838422073546</v>
          </cell>
        </row>
        <row r="37">
          <cell r="A37" t="str">
            <v>% Y/Y</v>
          </cell>
          <cell r="B37" t="str">
            <v>% of sales</v>
          </cell>
          <cell r="C37">
            <v>1.8880260677619884</v>
          </cell>
          <cell r="D37">
            <v>0.14202723151883231</v>
          </cell>
          <cell r="E37">
            <v>0.14511995384924059</v>
          </cell>
          <cell r="F37">
            <v>0.14750267189169933</v>
          </cell>
          <cell r="G37">
            <v>0.14699785925447686</v>
          </cell>
          <cell r="H37">
            <v>0.15168207751327958</v>
          </cell>
          <cell r="I37">
            <v>0.15463692844043986</v>
          </cell>
        </row>
        <row r="38">
          <cell r="A38" t="str">
            <v>Gross Profit</v>
          </cell>
          <cell r="B38" t="str">
            <v>Current</v>
          </cell>
          <cell r="C38">
            <v>-31390</v>
          </cell>
          <cell r="D38">
            <v>-45759.117170728205</v>
          </cell>
          <cell r="E38">
            <v>-43384.949049218398</v>
          </cell>
          <cell r="F38">
            <v>0.13534617178021008</v>
          </cell>
          <cell r="G38">
            <v>0.14629203751560077</v>
          </cell>
          <cell r="H38">
            <v>-31390</v>
          </cell>
          <cell r="I38">
            <v>-45759.117170728205</v>
          </cell>
          <cell r="J38">
            <v>-43384.949049218398</v>
          </cell>
        </row>
        <row r="39">
          <cell r="A39" t="str">
            <v>Current</v>
          </cell>
          <cell r="B39" t="str">
            <v>Prior</v>
          </cell>
          <cell r="C39">
            <v>80.938778000000013</v>
          </cell>
          <cell r="D39">
            <v>334.69200000000001</v>
          </cell>
          <cell r="E39">
            <v>376.834</v>
          </cell>
          <cell r="F39">
            <v>414.03999999999996</v>
          </cell>
          <cell r="G39">
            <v>432.59999999999997</v>
          </cell>
          <cell r="H39">
            <v>462.6</v>
          </cell>
          <cell r="I39">
            <v>473.51474903999997</v>
          </cell>
        </row>
        <row r="40">
          <cell r="A40" t="str">
            <v>% of Revenues</v>
          </cell>
          <cell r="B40" t="str">
            <v>% of sales</v>
          </cell>
          <cell r="C40">
            <v>0.50797932464064288</v>
          </cell>
          <cell r="D40">
            <v>0.14202723151883231</v>
          </cell>
          <cell r="E40">
            <v>0.14511995384924059</v>
          </cell>
          <cell r="F40">
            <v>0.14750267189169933</v>
          </cell>
          <cell r="G40">
            <v>0.14699785925447686</v>
          </cell>
          <cell r="H40">
            <v>0.15168207751327958</v>
          </cell>
          <cell r="I40">
            <v>0.14799999999999996</v>
          </cell>
        </row>
        <row r="41">
          <cell r="A41" t="str">
            <v>Prior</v>
          </cell>
          <cell r="B41" t="str">
            <v>R&amp;D</v>
          </cell>
          <cell r="C41">
            <v>80.938778000000013</v>
          </cell>
          <cell r="D41">
            <v>65.939895400537921</v>
          </cell>
          <cell r="E41">
            <v>93.51316070262925</v>
          </cell>
          <cell r="H41">
            <v>-35960</v>
          </cell>
          <cell r="I41">
            <v>-45759.117170728205</v>
          </cell>
          <cell r="J41">
            <v>-43384.949049218398</v>
          </cell>
        </row>
        <row r="42">
          <cell r="A42" t="str">
            <v>% of Revenues</v>
          </cell>
          <cell r="B42" t="str">
            <v>Current</v>
          </cell>
          <cell r="C42">
            <v>0.50797932464064288</v>
          </cell>
          <cell r="D42">
            <v>156.74799999999999</v>
          </cell>
          <cell r="E42">
            <v>170.67500000000001</v>
          </cell>
          <cell r="F42">
            <v>185.70000000000002</v>
          </cell>
          <cell r="G42">
            <v>208.2</v>
          </cell>
          <cell r="H42">
            <v>234.79999999999998</v>
          </cell>
          <cell r="I42">
            <v>247.91458113774388</v>
          </cell>
        </row>
        <row r="43">
          <cell r="A43" t="str">
            <v>SG&amp;A</v>
          </cell>
          <cell r="B43" t="str">
            <v>% of sales</v>
          </cell>
          <cell r="C43" t="str">
            <v>% Y/Y</v>
          </cell>
          <cell r="D43">
            <v>6.6516332885500476E-2</v>
          </cell>
          <cell r="E43">
            <v>6.5727477147017363E-2</v>
          </cell>
          <cell r="F43">
            <v>6.6156038475240486E-2</v>
          </cell>
          <cell r="G43">
            <v>7.0746542526079717E-2</v>
          </cell>
          <cell r="H43">
            <v>7.6988654993770084E-2</v>
          </cell>
          <cell r="I43">
            <v>7.880374642822896E-2</v>
          </cell>
        </row>
        <row r="44">
          <cell r="A44" t="str">
            <v>Current</v>
          </cell>
          <cell r="B44">
            <v>31.614000000000001</v>
          </cell>
          <cell r="C44">
            <v>62.936010000000003</v>
          </cell>
          <cell r="D44">
            <v>107.50577968557693</v>
          </cell>
          <cell r="E44">
            <v>112.02148831833924</v>
          </cell>
          <cell r="F44">
            <v>1.273076232326896</v>
          </cell>
          <cell r="G44">
            <v>1.5911988128674197</v>
          </cell>
          <cell r="H44">
            <v>-4.1452779278590226</v>
          </cell>
          <cell r="I44">
            <v>-2.2365877132167404</v>
          </cell>
          <cell r="J44">
            <v>-1.8317241889128859</v>
          </cell>
        </row>
        <row r="45">
          <cell r="A45" t="str">
            <v>% of Revenues</v>
          </cell>
          <cell r="B45" t="str">
            <v>Prior</v>
          </cell>
          <cell r="C45">
            <v>0.3949922724973281</v>
          </cell>
          <cell r="D45">
            <v>156.74799999999999</v>
          </cell>
          <cell r="E45">
            <v>170.67500000000001</v>
          </cell>
          <cell r="F45">
            <v>185.70000000000002</v>
          </cell>
          <cell r="G45">
            <v>208.2</v>
          </cell>
          <cell r="H45">
            <v>234.79999999999998</v>
          </cell>
          <cell r="I45">
            <v>281.79453696000036</v>
          </cell>
        </row>
        <row r="46">
          <cell r="A46" t="str">
            <v>Prior</v>
          </cell>
          <cell r="B46" t="str">
            <v>% of sales</v>
          </cell>
          <cell r="C46">
            <v>62.936010000000003</v>
          </cell>
          <cell r="D46">
            <v>6.6516332885500476E-2</v>
          </cell>
          <cell r="E46">
            <v>6.5727477147017363E-2</v>
          </cell>
          <cell r="F46">
            <v>6.6156038475240486E-2</v>
          </cell>
          <cell r="G46">
            <v>7.0746542526079717E-2</v>
          </cell>
          <cell r="H46">
            <v>7.6988654993770084E-2</v>
          </cell>
          <cell r="I46">
            <v>8.80766471469656E-2</v>
          </cell>
        </row>
        <row r="47">
          <cell r="A47" t="str">
            <v>% of Revenues</v>
          </cell>
          <cell r="B47" t="str">
            <v>Operating Income</v>
          </cell>
          <cell r="C47">
            <v>0.3949922724973281</v>
          </cell>
          <cell r="D47">
            <v>0.59897120336558185</v>
          </cell>
          <cell r="E47">
            <v>0.4780832247244855</v>
          </cell>
        </row>
        <row r="48">
          <cell r="A48" t="str">
            <v>R&amp;D</v>
          </cell>
          <cell r="B48" t="str">
            <v>Current</v>
          </cell>
          <cell r="C48" t="str">
            <v>Current</v>
          </cell>
          <cell r="D48">
            <v>534.221</v>
          </cell>
          <cell r="E48">
            <v>588.42399999999975</v>
          </cell>
          <cell r="F48">
            <v>596.55999999999972</v>
          </cell>
          <cell r="G48">
            <v>608.90000000000032</v>
          </cell>
          <cell r="H48">
            <v>604.29999999999984</v>
          </cell>
          <cell r="I48">
            <v>605.55536186036034</v>
          </cell>
          <cell r="J48">
            <v>627.32023448120844</v>
          </cell>
          <cell r="L48">
            <v>0</v>
          </cell>
          <cell r="M48">
            <v>0</v>
          </cell>
          <cell r="N48">
            <v>-16.53757913963932</v>
          </cell>
          <cell r="O48">
            <v>-47.230037618791471</v>
          </cell>
        </row>
        <row r="49">
          <cell r="A49" t="str">
            <v>Current</v>
          </cell>
          <cell r="B49" t="str">
            <v>operating margin</v>
          </cell>
          <cell r="C49">
            <v>17.292000000000002</v>
          </cell>
          <cell r="D49">
            <v>0.2266977688418669</v>
          </cell>
          <cell r="E49">
            <v>0.22660392566431245</v>
          </cell>
          <cell r="F49">
            <v>0.21252582828642672</v>
          </cell>
          <cell r="G49">
            <v>0.20690475381426493</v>
          </cell>
          <cell r="H49">
            <v>0.19814414059938354</v>
          </cell>
          <cell r="I49">
            <v>0.19248577863108635</v>
          </cell>
          <cell r="J49">
            <v>0.194738284990083</v>
          </cell>
        </row>
        <row r="50">
          <cell r="A50" t="str">
            <v>% of Revenues</v>
          </cell>
          <cell r="B50">
            <v>0.20934976913297157</v>
          </cell>
          <cell r="C50">
            <v>0.10852620584024628</v>
          </cell>
          <cell r="D50">
            <v>0.15119930868627454</v>
          </cell>
          <cell r="E50">
            <v>0.12239036211636012</v>
          </cell>
          <cell r="F50">
            <v>75.443368598411681</v>
          </cell>
          <cell r="G50">
            <v>76.595733290397533</v>
          </cell>
        </row>
        <row r="51">
          <cell r="A51" t="str">
            <v>Prior</v>
          </cell>
          <cell r="B51" t="str">
            <v>Prior</v>
          </cell>
          <cell r="C51">
            <v>17.292000000000002</v>
          </cell>
          <cell r="D51">
            <v>534.221</v>
          </cell>
          <cell r="E51">
            <v>588.42399999999975</v>
          </cell>
          <cell r="F51">
            <v>596.55999999999972</v>
          </cell>
          <cell r="G51">
            <v>608.90000000000032</v>
          </cell>
          <cell r="H51">
            <v>604.29999999999984</v>
          </cell>
          <cell r="I51">
            <v>622.09294099999966</v>
          </cell>
          <cell r="J51">
            <v>674.55027209999992</v>
          </cell>
        </row>
        <row r="52">
          <cell r="A52" t="str">
            <v>% of Revenues</v>
          </cell>
          <cell r="B52" t="str">
            <v>operating margin</v>
          </cell>
          <cell r="C52">
            <v>0.10852620584024628</v>
          </cell>
          <cell r="D52">
            <v>0.2266977688418669</v>
          </cell>
          <cell r="E52">
            <v>0.22660392566431245</v>
          </cell>
          <cell r="F52">
            <v>0.21252582828642672</v>
          </cell>
          <cell r="G52">
            <v>0.20690475381426493</v>
          </cell>
          <cell r="H52">
            <v>0.19814414059938354</v>
          </cell>
          <cell r="I52">
            <v>0.19404996351969006</v>
          </cell>
          <cell r="J52">
            <v>0.20117951245576252</v>
          </cell>
        </row>
        <row r="53">
          <cell r="A53" t="str">
            <v>EBIT</v>
          </cell>
          <cell r="B53" t="str">
            <v>EPS, diluted</v>
          </cell>
          <cell r="C53" t="str">
            <v>Current</v>
          </cell>
          <cell r="D53">
            <v>-6.6010000000000097</v>
          </cell>
          <cell r="E53">
            <v>-70.354183864934541</v>
          </cell>
          <cell r="F53">
            <v>57.88300453924569</v>
          </cell>
          <cell r="G53">
            <v>93.224302471320925</v>
          </cell>
        </row>
        <row r="54">
          <cell r="A54" t="str">
            <v>Current</v>
          </cell>
          <cell r="B54" t="str">
            <v>Current</v>
          </cell>
          <cell r="C54">
            <v>0.71076800000000162</v>
          </cell>
          <cell r="D54">
            <v>2.9631122757508566</v>
          </cell>
          <cell r="E54">
            <v>3.4267537293089911</v>
          </cell>
          <cell r="F54">
            <v>3.7900727994705474</v>
          </cell>
          <cell r="G54">
            <v>3.9803703384095548</v>
          </cell>
          <cell r="H54">
            <v>3.987741129886099</v>
          </cell>
          <cell r="I54">
            <v>4.219649235109503</v>
          </cell>
          <cell r="J54">
            <v>4.5518801414962899</v>
          </cell>
          <cell r="L54">
            <v>0</v>
          </cell>
          <cell r="M54">
            <v>0</v>
          </cell>
          <cell r="N54">
            <v>-0.20238490331692294</v>
          </cell>
          <cell r="O54">
            <v>-0.44983259924487129</v>
          </cell>
        </row>
        <row r="55">
          <cell r="A55" t="str">
            <v>% of Revenues</v>
          </cell>
          <cell r="B55" t="str">
            <v>Prior</v>
          </cell>
          <cell r="C55">
            <v>4.4608463030684897E-3</v>
          </cell>
          <cell r="D55">
            <v>2.9631122757508566</v>
          </cell>
          <cell r="E55">
            <v>3.4267537293089911</v>
          </cell>
          <cell r="F55">
            <v>3.7900727994705474</v>
          </cell>
          <cell r="G55">
            <v>3.9803703384095548</v>
          </cell>
          <cell r="H55">
            <v>3.987741129886099</v>
          </cell>
          <cell r="I55">
            <v>4.4220341384264259</v>
          </cell>
          <cell r="J55">
            <v>5.0017127407411612</v>
          </cell>
          <cell r="L55">
            <v>0</v>
          </cell>
          <cell r="M55">
            <v>0</v>
          </cell>
          <cell r="N55">
            <v>-4.5767376954023539E-2</v>
          </cell>
          <cell r="O55">
            <v>-8.99357125371847E-2</v>
          </cell>
        </row>
        <row r="56">
          <cell r="A56" t="str">
            <v>Prior</v>
          </cell>
          <cell r="B56">
            <v>-25.268172499999991</v>
          </cell>
          <cell r="C56">
            <v>0.71076800000000162</v>
          </cell>
          <cell r="D56">
            <v>-66.066090530088672</v>
          </cell>
          <cell r="E56">
            <v>-44.310866783117916</v>
          </cell>
          <cell r="F56" t="str">
            <v>NM</v>
          </cell>
          <cell r="G56">
            <v>0.62407303324195484</v>
          </cell>
        </row>
        <row r="57">
          <cell r="A57" t="str">
            <v>% of Revenues</v>
          </cell>
          <cell r="B57">
            <v>-0.45799879474347177</v>
          </cell>
          <cell r="C57">
            <v>4.4608463030684897E-3</v>
          </cell>
          <cell r="D57">
            <v>-0.37532703122651329</v>
          </cell>
          <cell r="E57">
            <v>-0.19300177035539473</v>
          </cell>
        </row>
        <row r="58">
          <cell r="A58" t="str">
            <v>Net Income</v>
          </cell>
        </row>
        <row r="59">
          <cell r="A59" t="str">
            <v>Current</v>
          </cell>
          <cell r="B59">
            <v>-37.11017249999999</v>
          </cell>
          <cell r="C59">
            <v>-5.1522319999999979</v>
          </cell>
          <cell r="D59">
            <v>-74.885670805278494</v>
          </cell>
          <cell r="E59">
            <v>-44.72402637605984</v>
          </cell>
        </row>
        <row r="60">
          <cell r="A60" t="str">
            <v>% of Revenues</v>
          </cell>
          <cell r="B60">
            <v>-0.67264121604846305</v>
          </cell>
          <cell r="C60">
            <v>-3.2335888883223654E-2</v>
          </cell>
          <cell r="D60">
            <v>-0.41841088554566741</v>
          </cell>
          <cell r="E60">
            <v>-0.1909663611547652</v>
          </cell>
        </row>
        <row r="61">
          <cell r="A61" t="str">
            <v>Prior</v>
          </cell>
          <cell r="B61">
            <v>-37.11017249999999</v>
          </cell>
          <cell r="C61">
            <v>-5.1522319999999979</v>
          </cell>
          <cell r="D61">
            <v>-72.23273394025199</v>
          </cell>
          <cell r="E61">
            <v>-47.909402768076234</v>
          </cell>
        </row>
        <row r="62">
          <cell r="A62" t="str">
            <v>% of Revenues</v>
          </cell>
          <cell r="B62">
            <v>-0.67264121604846305</v>
          </cell>
          <cell r="C62">
            <v>-3.2335888883223654E-2</v>
          </cell>
          <cell r="D62">
            <v>-0.41036025243270885</v>
          </cell>
          <cell r="E62">
            <v>-0.20867566405699928</v>
          </cell>
        </row>
        <row r="63">
          <cell r="A63" t="str">
            <v>EPS</v>
          </cell>
        </row>
        <row r="64">
          <cell r="A64" t="str">
            <v>Current</v>
          </cell>
          <cell r="B64">
            <v>-1.6029250119246357</v>
          </cell>
          <cell r="C64">
            <v>-0.15938353028521926</v>
          </cell>
          <cell r="D64">
            <v>-1.5847119906451357</v>
          </cell>
          <cell r="E64">
            <v>-0.7725051213012647</v>
          </cell>
        </row>
        <row r="65">
          <cell r="A65" t="str">
            <v>Prior</v>
          </cell>
          <cell r="B65">
            <v>-1.6029250119246357</v>
          </cell>
          <cell r="C65">
            <v>-0.15938353028521926</v>
          </cell>
          <cell r="D65">
            <v>-1.5400112895511378</v>
          </cell>
          <cell r="E65">
            <v>-0.83768358196159576</v>
          </cell>
        </row>
      </sheetData>
      <sheetData sheetId="7" refreshError="1"/>
      <sheetData sheetId="8">
        <row r="1">
          <cell r="A1" t="str">
            <v>Natera</v>
          </cell>
          <cell r="X1">
            <v>2012</v>
          </cell>
          <cell r="Y1">
            <v>2012</v>
          </cell>
          <cell r="Z1">
            <v>2012</v>
          </cell>
          <cell r="AA1">
            <v>2012</v>
          </cell>
          <cell r="AB1">
            <v>2012</v>
          </cell>
          <cell r="AD1">
            <v>2014</v>
          </cell>
          <cell r="AE1">
            <v>2014</v>
          </cell>
          <cell r="AF1">
            <v>2014</v>
          </cell>
          <cell r="AG1">
            <v>2014</v>
          </cell>
          <cell r="AH1">
            <v>2014</v>
          </cell>
          <cell r="AJ1">
            <v>2015</v>
          </cell>
          <cell r="AK1">
            <v>2015</v>
          </cell>
          <cell r="AL1">
            <v>2015</v>
          </cell>
          <cell r="AM1">
            <v>2015</v>
          </cell>
          <cell r="AN1">
            <v>2015</v>
          </cell>
          <cell r="AP1">
            <v>2016</v>
          </cell>
          <cell r="AQ1">
            <v>2016</v>
          </cell>
          <cell r="AR1">
            <v>2016</v>
          </cell>
          <cell r="AS1">
            <v>2016</v>
          </cell>
          <cell r="AT1">
            <v>2016</v>
          </cell>
        </row>
        <row r="2">
          <cell r="A2" t="str">
            <v>Company Guidance, MS Estimates vs Consensus</v>
          </cell>
          <cell r="X2" t="str">
            <v>Q1</v>
          </cell>
          <cell r="Y2" t="str">
            <v>Q2</v>
          </cell>
          <cell r="Z2" t="str">
            <v>Q3</v>
          </cell>
          <cell r="AA2" t="str">
            <v>Q4</v>
          </cell>
          <cell r="AB2" t="str">
            <v>FY</v>
          </cell>
          <cell r="AD2" t="str">
            <v>Q1</v>
          </cell>
          <cell r="AE2" t="str">
            <v>Q2</v>
          </cell>
          <cell r="AF2" t="str">
            <v>Q3</v>
          </cell>
          <cell r="AG2" t="str">
            <v>Q4</v>
          </cell>
          <cell r="AH2" t="str">
            <v>FY</v>
          </cell>
          <cell r="AJ2" t="str">
            <v>Q1</v>
          </cell>
          <cell r="AK2" t="str">
            <v>Q2</v>
          </cell>
          <cell r="AL2" t="str">
            <v>Q3</v>
          </cell>
          <cell r="AM2" t="str">
            <v>Q4</v>
          </cell>
          <cell r="AN2" t="str">
            <v>FY</v>
          </cell>
          <cell r="AP2" t="str">
            <v>Q1</v>
          </cell>
          <cell r="AQ2" t="str">
            <v>Q2</v>
          </cell>
          <cell r="AR2" t="str">
            <v>Q3</v>
          </cell>
          <cell r="AS2" t="str">
            <v>Q4</v>
          </cell>
          <cell r="AT2" t="str">
            <v>FY</v>
          </cell>
        </row>
        <row r="3">
          <cell r="X3" t="str">
            <v>2012Q1</v>
          </cell>
          <cell r="Y3" t="str">
            <v>2012Q2</v>
          </cell>
          <cell r="Z3" t="str">
            <v>2012Q3</v>
          </cell>
          <cell r="AA3" t="str">
            <v>2012Q4</v>
          </cell>
          <cell r="AB3" t="str">
            <v>2012FY</v>
          </cell>
          <cell r="AD3" t="str">
            <v>2014Q1</v>
          </cell>
          <cell r="AE3" t="str">
            <v>2014Q2</v>
          </cell>
          <cell r="AF3" t="str">
            <v>2014Q3</v>
          </cell>
          <cell r="AG3" t="str">
            <v>2014Q4</v>
          </cell>
          <cell r="AH3" t="str">
            <v>2014FY</v>
          </cell>
          <cell r="AJ3" t="str">
            <v>2015Q1</v>
          </cell>
          <cell r="AK3" t="str">
            <v>2015Q2</v>
          </cell>
          <cell r="AL3" t="str">
            <v>2015Q3</v>
          </cell>
          <cell r="AM3" t="str">
            <v>2015Q4</v>
          </cell>
          <cell r="AN3" t="str">
            <v>2015FY</v>
          </cell>
          <cell r="AP3" t="str">
            <v>2016Q1</v>
          </cell>
          <cell r="AQ3" t="str">
            <v>2016Q2</v>
          </cell>
          <cell r="AR3" t="str">
            <v>2016Q3</v>
          </cell>
          <cell r="AS3" t="str">
            <v>2016Q4</v>
          </cell>
          <cell r="AT3" t="str">
            <v>2016FY</v>
          </cell>
        </row>
        <row r="4">
          <cell r="A4" t="str">
            <v>Annual</v>
          </cell>
          <cell r="G4" t="str">
            <v>MS</v>
          </cell>
          <cell r="H4" t="str">
            <v>MS</v>
          </cell>
          <cell r="O4" t="str">
            <v>MS</v>
          </cell>
          <cell r="R4" t="str">
            <v>*Jose we will paste like this as this is likely what will be provided can be a full sized exhibit if easier</v>
          </cell>
          <cell r="T4" t="str">
            <v>Updated 7/23/14</v>
          </cell>
        </row>
        <row r="5">
          <cell r="A5" t="str">
            <v>Guidance as of</v>
          </cell>
          <cell r="B5" t="str">
            <v>Varian Guidance Tracker</v>
          </cell>
          <cell r="C5">
            <v>42150</v>
          </cell>
          <cell r="D5">
            <v>42208</v>
          </cell>
          <cell r="E5">
            <v>42228</v>
          </cell>
          <cell r="F5">
            <v>42580</v>
          </cell>
          <cell r="G5" t="str">
            <v>Current</v>
          </cell>
          <cell r="H5" t="str">
            <v>Prior</v>
          </cell>
          <cell r="I5" t="str">
            <v>Prior</v>
          </cell>
          <cell r="J5">
            <v>42114</v>
          </cell>
          <cell r="K5">
            <v>42150</v>
          </cell>
          <cell r="L5">
            <v>42208</v>
          </cell>
          <cell r="M5">
            <v>42228</v>
          </cell>
          <cell r="O5" t="str">
            <v>Current</v>
          </cell>
          <cell r="P5" t="str">
            <v>Prior</v>
          </cell>
          <cell r="W5" t="str">
            <v>Varian Medical Systems, Inc.: MS Estimates vs Consensus</v>
          </cell>
          <cell r="AV5" t="str">
            <v>SIE reports 2000, 150 placements per year so implies 7.5% or 13 year cycle</v>
          </cell>
        </row>
        <row r="6">
          <cell r="A6" t="str">
            <v>Period</v>
          </cell>
          <cell r="B6">
            <v>2015</v>
          </cell>
          <cell r="C6">
            <v>2015</v>
          </cell>
          <cell r="D6" t="str">
            <v>2015E</v>
          </cell>
          <cell r="E6" t="str">
            <v>2015E</v>
          </cell>
          <cell r="F6" t="str">
            <v>2016E</v>
          </cell>
          <cell r="G6" t="str">
            <v>2015E</v>
          </cell>
          <cell r="H6" t="str">
            <v>2016E</v>
          </cell>
          <cell r="J6">
            <v>2016</v>
          </cell>
          <cell r="K6">
            <v>2016</v>
          </cell>
          <cell r="L6" t="str">
            <v>2016E</v>
          </cell>
          <cell r="M6" t="str">
            <v>2016E</v>
          </cell>
          <cell r="O6" t="str">
            <v>2016E</v>
          </cell>
          <cell r="T6" t="str">
            <v>MS</v>
          </cell>
          <cell r="AD6">
            <v>2014</v>
          </cell>
          <cell r="AJ6">
            <v>2015</v>
          </cell>
          <cell r="AP6">
            <v>2016</v>
          </cell>
          <cell r="AV6" t="str">
            <v>But Tim Guertin indicating only 100 incremental are up for grabs</v>
          </cell>
        </row>
        <row r="7">
          <cell r="A7" t="str">
            <v>GAAP / Non-GAAP</v>
          </cell>
          <cell r="B7" t="str">
            <v>Non-GAAP</v>
          </cell>
          <cell r="C7">
            <v>40660</v>
          </cell>
          <cell r="D7">
            <v>40751</v>
          </cell>
          <cell r="E7">
            <v>40843</v>
          </cell>
          <cell r="F7">
            <v>40933</v>
          </cell>
          <cell r="G7">
            <v>41024</v>
          </cell>
          <cell r="H7">
            <v>41115</v>
          </cell>
          <cell r="I7">
            <v>41207</v>
          </cell>
          <cell r="J7">
            <v>41297</v>
          </cell>
          <cell r="K7">
            <v>41388</v>
          </cell>
          <cell r="L7">
            <v>41479</v>
          </cell>
          <cell r="M7">
            <v>41570</v>
          </cell>
          <cell r="N7">
            <v>41661</v>
          </cell>
          <cell r="O7">
            <v>41752</v>
          </cell>
          <cell r="P7">
            <v>41843</v>
          </cell>
          <cell r="Q7">
            <v>41935</v>
          </cell>
          <cell r="R7">
            <v>42105</v>
          </cell>
          <cell r="T7" t="str">
            <v>Current</v>
          </cell>
          <cell r="U7" t="str">
            <v>Prior</v>
          </cell>
          <cell r="AD7" t="str">
            <v>1Q14</v>
          </cell>
          <cell r="AE7" t="str">
            <v>2Q14</v>
          </cell>
          <cell r="AF7" t="str">
            <v>3Q14</v>
          </cell>
          <cell r="AG7" t="str">
            <v>4Q14</v>
          </cell>
          <cell r="AH7" t="str">
            <v>FY</v>
          </cell>
          <cell r="AJ7" t="str">
            <v>1Q15e</v>
          </cell>
          <cell r="AK7" t="str">
            <v>2Q15e</v>
          </cell>
          <cell r="AL7" t="str">
            <v>3Q15e</v>
          </cell>
          <cell r="AM7" t="str">
            <v>4Q15e</v>
          </cell>
          <cell r="AN7" t="str">
            <v>FY</v>
          </cell>
          <cell r="AP7" t="str">
            <v>1Q16e</v>
          </cell>
          <cell r="AQ7" t="str">
            <v>2Q16e</v>
          </cell>
          <cell r="AR7" t="str">
            <v>3Q16e</v>
          </cell>
          <cell r="AS7" t="str">
            <v>4Q16e</v>
          </cell>
          <cell r="AT7" t="str">
            <v>FY</v>
          </cell>
        </row>
        <row r="8">
          <cell r="A8" t="str">
            <v>Revenue</v>
          </cell>
          <cell r="B8" t="str">
            <v>$200-$220mn</v>
          </cell>
          <cell r="C8" t="str">
            <v>$175-$200mn</v>
          </cell>
          <cell r="D8" t="str">
            <v>$175-$190mn</v>
          </cell>
          <cell r="E8" t="str">
            <v>$175-$190mn</v>
          </cell>
          <cell r="F8" t="str">
            <v>$618-$635</v>
          </cell>
          <cell r="G8">
            <v>178.97639232692742</v>
          </cell>
          <cell r="H8">
            <v>176.02273493117309</v>
          </cell>
          <cell r="I8">
            <v>619.49096252947254</v>
          </cell>
          <cell r="J8" t="str">
            <v>$260-$340mn</v>
          </cell>
          <cell r="K8" t="str">
            <v>$220-$260mn</v>
          </cell>
          <cell r="L8" t="str">
            <v>$220-$240mn</v>
          </cell>
          <cell r="M8" t="str">
            <v>$220-$240mn</v>
          </cell>
          <cell r="O8">
            <v>2014</v>
          </cell>
          <cell r="P8">
            <v>2014</v>
          </cell>
          <cell r="Q8" t="str">
            <v>2015E</v>
          </cell>
          <cell r="R8" t="str">
            <v>2015E</v>
          </cell>
          <cell r="W8" t="str">
            <v>Total Revenue ($mn)</v>
          </cell>
          <cell r="AD8">
            <v>711.5</v>
          </cell>
          <cell r="AE8">
            <v>778.5</v>
          </cell>
          <cell r="AF8">
            <v>747.7</v>
          </cell>
          <cell r="AG8">
            <v>812.1</v>
          </cell>
          <cell r="AH8">
            <v>3049.7999999999997</v>
          </cell>
          <cell r="AJ8">
            <v>737.85399999999993</v>
          </cell>
          <cell r="AK8">
            <v>784.64633631184847</v>
          </cell>
          <cell r="AL8">
            <v>782.20037949403491</v>
          </cell>
          <cell r="AM8">
            <v>841.27383964921523</v>
          </cell>
          <cell r="AN8">
            <v>3145.9745554550982</v>
          </cell>
          <cell r="AP8">
            <v>740.40310834676984</v>
          </cell>
          <cell r="AQ8">
            <v>805.06038238912492</v>
          </cell>
          <cell r="AR8">
            <v>795.98320096700536</v>
          </cell>
          <cell r="AS8">
            <v>879.90361706229498</v>
          </cell>
          <cell r="AT8">
            <v>3221.3503087651952</v>
          </cell>
          <cell r="AV8" t="str">
            <v>This number is 45% WW, 35% in APAC and EMEA, US 75%</v>
          </cell>
        </row>
        <row r="9">
          <cell r="A9" t="str">
            <v>US Volume</v>
          </cell>
          <cell r="B9" t="str">
            <v>Reported Revenue</v>
          </cell>
          <cell r="C9" t="str">
            <v>189.7-203.8K</v>
          </cell>
          <cell r="D9" t="str">
            <v>Reported +14%-15%
CC +16%-17%</v>
          </cell>
          <cell r="E9" t="str">
            <v>10% - 11%</v>
          </cell>
          <cell r="F9">
            <v>0.1</v>
          </cell>
          <cell r="G9">
            <v>0.1</v>
          </cell>
          <cell r="H9">
            <v>158550.19019142055</v>
          </cell>
          <cell r="I9" t="str">
            <v>8-9% Incl ~$80-90mn Proton</v>
          </cell>
          <cell r="J9" t="str">
            <v>8-9% Incl ~$80mn Proton</v>
          </cell>
          <cell r="K9" t="str">
            <v>349.0-404.4K</v>
          </cell>
          <cell r="M9" t="str">
            <v>6-8%</v>
          </cell>
          <cell r="N9" t="str">
            <v>6-8%</v>
          </cell>
          <cell r="O9" t="str">
            <v>6-8%</v>
          </cell>
          <cell r="P9">
            <v>344577.05199666077</v>
          </cell>
          <cell r="Q9" t="str">
            <v>5-6%</v>
          </cell>
          <cell r="R9" t="str">
            <v>5% due to FX</v>
          </cell>
          <cell r="T9">
            <v>3.1534708982588588E-2</v>
          </cell>
          <cell r="U9">
            <v>5.1163682864450166E-2</v>
          </cell>
          <cell r="W9" t="str">
            <v>Growth</v>
          </cell>
          <cell r="AH9" t="e">
            <v>#DIV/0!</v>
          </cell>
          <cell r="AN9">
            <v>3.1534708982588588E-2</v>
          </cell>
          <cell r="AT9">
            <v>2.3959428781582526E-2</v>
          </cell>
          <cell r="AV9" t="str">
            <v>TBs coming off warranty should drive some upside to service</v>
          </cell>
        </row>
        <row r="10">
          <cell r="A10" t="str">
            <v>LDT US</v>
          </cell>
          <cell r="B10" t="str">
            <v>Proton</v>
          </cell>
          <cell r="C10" t="str">
            <v>0.0-0.0K</v>
          </cell>
          <cell r="D10" t="str">
            <v>~ 51%</v>
          </cell>
          <cell r="E10" t="str">
            <v>~ 52%</v>
          </cell>
          <cell r="F10" t="str">
            <v>~ 52%</v>
          </cell>
          <cell r="H10">
            <v>0.51930429312706039</v>
          </cell>
          <cell r="I10">
            <v>0.52287067435657553</v>
          </cell>
          <cell r="M10" t="str">
            <v>$100-150mn</v>
          </cell>
          <cell r="R10" t="str">
            <v>+$65mn</v>
          </cell>
          <cell r="T10">
            <v>64.81679363227903</v>
          </cell>
          <cell r="U10">
            <v>47.280000000000129</v>
          </cell>
          <cell r="W10" t="str">
            <v>Consensus</v>
          </cell>
          <cell r="AD10" t="str">
            <v>#Refresh#</v>
          </cell>
          <cell r="AE10" t="str">
            <v>#Refresh#</v>
          </cell>
          <cell r="AF10" t="str">
            <v>#Refresh#</v>
          </cell>
          <cell r="AG10" t="str">
            <v>#Refresh#</v>
          </cell>
          <cell r="AH10" t="str">
            <v>#Refresh#</v>
          </cell>
          <cell r="AJ10" t="str">
            <v>#Refresh#</v>
          </cell>
          <cell r="AK10" t="str">
            <v>#Refresh#</v>
          </cell>
          <cell r="AL10" t="str">
            <v>#Refresh#</v>
          </cell>
          <cell r="AM10" t="str">
            <v>#Refresh#</v>
          </cell>
          <cell r="AN10" t="str">
            <v>#Refresh#</v>
          </cell>
          <cell r="AP10" t="str">
            <v>#Refresh#</v>
          </cell>
          <cell r="AQ10" t="str">
            <v>#Refresh#</v>
          </cell>
          <cell r="AR10" t="str">
            <v>#Refresh#</v>
          </cell>
          <cell r="AS10" t="str">
            <v>#Refresh#</v>
          </cell>
          <cell r="AT10" t="str">
            <v>#Refresh#</v>
          </cell>
        </row>
        <row r="11">
          <cell r="A11" t="str">
            <v>US Lab Volumes</v>
          </cell>
          <cell r="B11" t="str">
            <v>Gross Margin</v>
          </cell>
          <cell r="C11" t="str">
            <v>52.1-53.0K</v>
          </cell>
          <cell r="D11" t="str">
            <v>Trend 10% below guide</v>
          </cell>
          <cell r="E11" t="str">
            <v>~ 5%</v>
          </cell>
          <cell r="F11" t="str">
            <v>~ 5%</v>
          </cell>
          <cell r="G11">
            <v>43595.328968398142</v>
          </cell>
          <cell r="H11">
            <v>40003.547547855138</v>
          </cell>
          <cell r="I11">
            <v>4.5398170750760108E-2</v>
          </cell>
          <cell r="J11" t="str">
            <v>100.7-119.2K</v>
          </cell>
          <cell r="K11" t="str">
            <v>81.9-98.6K</v>
          </cell>
          <cell r="M11">
            <v>0.42</v>
          </cell>
          <cell r="O11">
            <v>65053.90127503594</v>
          </cell>
          <cell r="P11">
            <v>62023.869359398945</v>
          </cell>
          <cell r="R11" t="str">
            <v>43%-44%</v>
          </cell>
          <cell r="T11">
            <v>0.42592645349975516</v>
          </cell>
          <cell r="U11">
            <v>0.42342628466370263</v>
          </cell>
          <cell r="W11" t="str">
            <v>Growth</v>
          </cell>
          <cell r="AH11" t="e">
            <v>#VALUE!</v>
          </cell>
          <cell r="AJ11" t="e">
            <v>#VALUE!</v>
          </cell>
          <cell r="AK11" t="e">
            <v>#VALUE!</v>
          </cell>
          <cell r="AL11" t="e">
            <v>#VALUE!</v>
          </cell>
          <cell r="AN11" t="e">
            <v>#VALUE!</v>
          </cell>
          <cell r="AT11" t="e">
            <v>#VALUE!</v>
          </cell>
        </row>
        <row r="12">
          <cell r="A12" t="str">
            <v>International Volume</v>
          </cell>
          <cell r="B12" t="str">
            <v>EBIT Margin</v>
          </cell>
          <cell r="C12" t="str">
            <v>56.1-57.7K</v>
          </cell>
          <cell r="D12" t="str">
            <v>Trend 15% below guide</v>
          </cell>
          <cell r="E12">
            <v>0.23</v>
          </cell>
          <cell r="F12" t="str">
            <v>$(0.44)  -  $(0.47)</v>
          </cell>
          <cell r="G12">
            <v>55488.393086927215</v>
          </cell>
          <cell r="H12">
            <v>53765.862089335234</v>
          </cell>
          <cell r="I12">
            <v>-0.50285141545457879</v>
          </cell>
          <cell r="J12" t="str">
            <v>101.1-154.0K</v>
          </cell>
          <cell r="K12" t="str">
            <v>108.4-139.3K</v>
          </cell>
          <cell r="M12" t="str">
            <v>20-21%</v>
          </cell>
          <cell r="O12">
            <v>95635.525812537206</v>
          </cell>
          <cell r="P12">
            <v>94898.234704332746</v>
          </cell>
          <cell r="R12" t="str">
            <v>~19%</v>
          </cell>
          <cell r="T12">
            <v>0.19248577863108635</v>
          </cell>
          <cell r="U12">
            <v>0.19404996351969006</v>
          </cell>
          <cell r="W12" t="str">
            <v>MSe vs Consensus</v>
          </cell>
          <cell r="AD12" t="str">
            <v>NM</v>
          </cell>
          <cell r="AE12" t="str">
            <v>NM</v>
          </cell>
          <cell r="AF12" t="str">
            <v>NM</v>
          </cell>
          <cell r="AG12" t="str">
            <v>NM</v>
          </cell>
          <cell r="AH12" t="str">
            <v>NM</v>
          </cell>
          <cell r="AJ12" t="str">
            <v>NM</v>
          </cell>
          <cell r="AK12" t="str">
            <v>NM</v>
          </cell>
          <cell r="AL12" t="str">
            <v>NM</v>
          </cell>
          <cell r="AM12" t="str">
            <v>NM</v>
          </cell>
          <cell r="AN12" t="str">
            <v>NM</v>
          </cell>
          <cell r="AP12" t="str">
            <v>NM</v>
          </cell>
          <cell r="AQ12" t="str">
            <v>NM</v>
          </cell>
          <cell r="AR12" t="str">
            <v>NM</v>
          </cell>
          <cell r="AS12" t="str">
            <v>NM</v>
          </cell>
          <cell r="AT12" t="str">
            <v>NM</v>
          </cell>
        </row>
        <row r="13">
          <cell r="A13" t="str">
            <v>LDT International</v>
          </cell>
          <cell r="B13" t="str">
            <v>R&amp;D</v>
          </cell>
          <cell r="C13" t="str">
            <v>14.0-17.3K</v>
          </cell>
          <cell r="D13" t="str">
            <v>$(0.01)  -  $0.01</v>
          </cell>
          <cell r="E13" t="str">
            <v>Grow &gt;Sales</v>
          </cell>
          <cell r="F13" t="str">
            <v xml:space="preserve">$0.31  -  $0.34 </v>
          </cell>
          <cell r="H13">
            <v>0.32544434366078834</v>
          </cell>
          <cell r="I13">
            <v>0.26904301927540586</v>
          </cell>
          <cell r="J13" t="str">
            <v>60.7-100.1K</v>
          </cell>
          <cell r="K13" t="str">
            <v>59.6-80.8K</v>
          </cell>
          <cell r="M13">
            <v>7.0000000000000007E-2</v>
          </cell>
          <cell r="T13">
            <v>7.880374642822896E-2</v>
          </cell>
          <cell r="U13">
            <v>8.1376321144012581E-2</v>
          </cell>
          <cell r="W13" t="str">
            <v>EPS</v>
          </cell>
          <cell r="AD13">
            <v>0.91247672253258871</v>
          </cell>
          <cell r="AE13">
            <v>1.0356011607837188</v>
          </cell>
          <cell r="AF13">
            <v>1.0181124880838901</v>
          </cell>
          <cell r="AG13">
            <v>1.0231884057971017</v>
          </cell>
          <cell r="AH13">
            <v>3.987741129886099</v>
          </cell>
          <cell r="AJ13">
            <v>0.99087310954133134</v>
          </cell>
          <cell r="AK13">
            <v>1.028022203602458</v>
          </cell>
          <cell r="AL13">
            <v>1.0578723801434591</v>
          </cell>
          <cell r="AM13">
            <v>1.1449731598146324</v>
          </cell>
          <cell r="AN13">
            <v>4.219649235109503</v>
          </cell>
          <cell r="AP13">
            <v>1.1198511720808866</v>
          </cell>
          <cell r="AQ13">
            <v>1.1221842385804406</v>
          </cell>
          <cell r="AR13">
            <v>1.1476992361722782</v>
          </cell>
          <cell r="AS13">
            <v>1.1627815329980131</v>
          </cell>
          <cell r="AT13">
            <v>4.5518801414962899</v>
          </cell>
        </row>
        <row r="14">
          <cell r="A14" t="str">
            <v>Horizon Volume</v>
          </cell>
          <cell r="B14" t="str">
            <v>Tax Rate</v>
          </cell>
          <cell r="C14" t="str">
            <v>27.7-35.5K</v>
          </cell>
          <cell r="D14" t="str">
            <v>Trend +10% above guide</v>
          </cell>
          <cell r="E14">
            <v>0.31</v>
          </cell>
          <cell r="F14">
            <v>0.3</v>
          </cell>
          <cell r="G14">
            <v>0.28000000000000003</v>
          </cell>
          <cell r="H14">
            <v>27831.585080713929</v>
          </cell>
          <cell r="I14" t="str">
            <v>28-29%</v>
          </cell>
          <cell r="J14" t="str">
            <v>28-29%</v>
          </cell>
          <cell r="K14" t="str">
            <v>66.8-76.5K</v>
          </cell>
          <cell r="M14">
            <v>0.28000000000000003</v>
          </cell>
          <cell r="O14">
            <v>33785.583085702063</v>
          </cell>
          <cell r="P14">
            <v>34849.090626071578</v>
          </cell>
          <cell r="T14">
            <v>0.28879985127257674</v>
          </cell>
          <cell r="U14">
            <v>0.29000000000000009</v>
          </cell>
          <cell r="W14" t="str">
            <v>Growth</v>
          </cell>
          <cell r="AH14" t="e">
            <v>#DIV/0!</v>
          </cell>
          <cell r="AN14">
            <v>5.8155255737482703E-2</v>
          </cell>
          <cell r="AT14">
            <v>7.8734247297729487E-2</v>
          </cell>
        </row>
        <row r="15">
          <cell r="A15" t="str">
            <v>Gross Margin (%)</v>
          </cell>
          <cell r="B15" t="str">
            <v>EPS ex Items</v>
          </cell>
          <cell r="C15" t="str">
            <v>38%-41%</v>
          </cell>
          <cell r="D15" t="str">
            <v>~35%</v>
          </cell>
          <cell r="E15" t="str">
            <v>$3.92 - $4.02</v>
          </cell>
          <cell r="F15" t="str">
            <v>~$3.94/+15%</v>
          </cell>
          <cell r="G15" t="str">
            <v>$3.76 - 3.84 / 9%-12%</v>
          </cell>
          <cell r="H15">
            <v>0.37461010605431838</v>
          </cell>
          <cell r="I15" t="str">
            <v>$4.06-4.16</v>
          </cell>
          <cell r="J15" t="str">
            <v>$4.08-4.16</v>
          </cell>
          <cell r="K15" t="str">
            <v>39%-43%</v>
          </cell>
          <cell r="M15" t="str">
            <v>$4.22-4.34</v>
          </cell>
          <cell r="N15" t="str">
            <v>$4.22-4.34</v>
          </cell>
          <cell r="O15" t="str">
            <v>$4.22-4.34 ex $0.16 litigation</v>
          </cell>
          <cell r="P15" t="str">
            <v>$4.11-4.26</v>
          </cell>
          <cell r="Q15" t="str">
            <v>$4.25-4.35</v>
          </cell>
          <cell r="R15" t="str">
            <v>$4.25-4.35</v>
          </cell>
          <cell r="T15">
            <v>4.219649235109503</v>
          </cell>
          <cell r="U15">
            <v>4.4220341384264259</v>
          </cell>
          <cell r="W15" t="str">
            <v>Consensus</v>
          </cell>
          <cell r="AD15">
            <v>0.91247672253258871</v>
          </cell>
          <cell r="AE15">
            <v>1.0356011607837188</v>
          </cell>
          <cell r="AF15">
            <v>1.0181124880838901</v>
          </cell>
          <cell r="AG15">
            <v>1.0231884057971017</v>
          </cell>
          <cell r="AH15">
            <v>3.987741129886099</v>
          </cell>
          <cell r="AJ15" t="str">
            <v>#Refresh#</v>
          </cell>
          <cell r="AK15" t="str">
            <v>#Refresh#</v>
          </cell>
          <cell r="AL15" t="str">
            <v>#Refresh#</v>
          </cell>
          <cell r="AM15" t="e">
            <v>#VALUE!</v>
          </cell>
          <cell r="AN15" t="str">
            <v>#Refresh#</v>
          </cell>
          <cell r="AP15" t="str">
            <v>#Refresh#</v>
          </cell>
          <cell r="AQ15" t="str">
            <v>#Refresh#</v>
          </cell>
          <cell r="AR15" t="str">
            <v>#Refresh#</v>
          </cell>
          <cell r="AS15" t="str">
            <v>#Refresh#</v>
          </cell>
          <cell r="AT15" t="str">
            <v>#Refresh#</v>
          </cell>
        </row>
        <row r="16">
          <cell r="A16" t="str">
            <v>R&amp;D (%)</v>
          </cell>
          <cell r="B16" t="str">
            <v>Shares</v>
          </cell>
          <cell r="C16" t="str">
            <v>NA</v>
          </cell>
          <cell r="D16" t="str">
            <v>15%-18%</v>
          </cell>
          <cell r="E16" t="str">
            <v>116mn</v>
          </cell>
          <cell r="G16">
            <v>0.15119930868627454</v>
          </cell>
          <cell r="H16">
            <v>0.15096593391524982</v>
          </cell>
          <cell r="I16">
            <v>0.12866421033502107</v>
          </cell>
          <cell r="O16">
            <v>0.12239036211636012</v>
          </cell>
          <cell r="P16">
            <v>0.12222733639489843</v>
          </cell>
          <cell r="T16">
            <v>100.292</v>
          </cell>
          <cell r="U16">
            <v>101.15</v>
          </cell>
          <cell r="W16" t="str">
            <v>Growth</v>
          </cell>
          <cell r="AH16" t="e">
            <v>#DIV/0!</v>
          </cell>
          <cell r="AJ16" t="e">
            <v>#VALUE!</v>
          </cell>
          <cell r="AK16" t="e">
            <v>#VALUE!</v>
          </cell>
          <cell r="AL16" t="e">
            <v>#VALUE!</v>
          </cell>
          <cell r="AM16" t="e">
            <v>#VALUE!</v>
          </cell>
          <cell r="AN16" t="e">
            <v>#VALUE!</v>
          </cell>
          <cell r="AT16" t="e">
            <v>#VALUE!</v>
          </cell>
        </row>
        <row r="17">
          <cell r="A17" t="str">
            <v>SG&amp;A (%)</v>
          </cell>
          <cell r="D17" t="str">
            <v>~60%</v>
          </cell>
          <cell r="E17" t="str">
            <v>~60%</v>
          </cell>
          <cell r="G17">
            <v>0.60067016821526598</v>
          </cell>
          <cell r="H17">
            <v>0.59897120336558185</v>
          </cell>
          <cell r="O17">
            <v>0.47831865171122673</v>
          </cell>
          <cell r="P17">
            <v>0.4780832247244855</v>
          </cell>
          <cell r="W17" t="str">
            <v>MSe vs Consensus</v>
          </cell>
          <cell r="AJ17" t="str">
            <v>NM</v>
          </cell>
          <cell r="AK17" t="str">
            <v>NM</v>
          </cell>
          <cell r="AL17" t="str">
            <v>NM</v>
          </cell>
          <cell r="AM17" t="str">
            <v>NM</v>
          </cell>
          <cell r="AN17" t="str">
            <v>NM</v>
          </cell>
          <cell r="AP17" t="str">
            <v>NM</v>
          </cell>
          <cell r="AQ17" t="str">
            <v>NM</v>
          </cell>
          <cell r="AR17" t="str">
            <v>NM</v>
          </cell>
          <cell r="AS17" t="str">
            <v>NM</v>
          </cell>
          <cell r="AT17" t="str">
            <v>NM</v>
          </cell>
        </row>
        <row r="18">
          <cell r="A18" t="str">
            <v>Quarterly</v>
          </cell>
          <cell r="H18" t="str">
            <v>MS</v>
          </cell>
          <cell r="O18" t="str">
            <v>3Q14</v>
          </cell>
          <cell r="P18" t="str">
            <v>4Q14</v>
          </cell>
          <cell r="Q18" t="str">
            <v>1Q15E</v>
          </cell>
          <cell r="R18" t="str">
            <v>2Q15E</v>
          </cell>
          <cell r="AU18" t="str">
            <v>Varian estimates Siemens $100-200mn "potential"</v>
          </cell>
          <cell r="AX18" t="str">
            <v>THIS WAS THE FY12 HIT, SO DOUBLE THE IMPACTS FOR FY13</v>
          </cell>
        </row>
        <row r="19">
          <cell r="A19" t="str">
            <v>Pre-Updated Guidance</v>
          </cell>
          <cell r="B19" t="str">
            <v>Reported Revenue</v>
          </cell>
          <cell r="C19">
            <v>42208</v>
          </cell>
          <cell r="D19">
            <v>42297</v>
          </cell>
          <cell r="E19" t="str">
            <v>10% - 11%</v>
          </cell>
          <cell r="F19">
            <v>0.1</v>
          </cell>
          <cell r="G19">
            <v>0.1</v>
          </cell>
          <cell r="H19" t="str">
            <v>Current</v>
          </cell>
          <cell r="I19" t="str">
            <v>8-9% Incl ~$80-90mn Proton</v>
          </cell>
          <cell r="J19" t="str">
            <v>8-9% Incl ~$80mn Proton</v>
          </cell>
          <cell r="K19" t="str">
            <v>8% Incl ~$80mn Proton</v>
          </cell>
          <cell r="L19">
            <v>0.05</v>
          </cell>
          <cell r="O19" t="str">
            <v>5-6%</v>
          </cell>
          <cell r="P19" t="str">
            <v>7-15%</v>
          </cell>
          <cell r="Q19" t="str">
            <v>0-2%</v>
          </cell>
          <cell r="R19">
            <v>0.02</v>
          </cell>
          <cell r="T19">
            <v>7.8951012355150674E-3</v>
          </cell>
          <cell r="U19">
            <v>4.405266538214514E-2</v>
          </cell>
          <cell r="AX19" t="str">
            <v>($mn)</v>
          </cell>
          <cell r="AY19">
            <v>2011</v>
          </cell>
          <cell r="AZ19">
            <v>2012</v>
          </cell>
          <cell r="BA19" t="str">
            <v>Change</v>
          </cell>
        </row>
        <row r="20">
          <cell r="A20" t="str">
            <v>Revenue</v>
          </cell>
          <cell r="B20" t="str">
            <v>EBIT Margin</v>
          </cell>
          <cell r="C20" t="str">
            <v>3Q15</v>
          </cell>
          <cell r="D20" t="str">
            <v>4Q15</v>
          </cell>
          <cell r="E20">
            <v>0.23</v>
          </cell>
          <cell r="F20" t="str">
            <v>3Q16</v>
          </cell>
          <cell r="G20">
            <v>1.6779976728058754E-2</v>
          </cell>
          <cell r="H20">
            <v>188.9199680241542</v>
          </cell>
          <cell r="O20">
            <v>2.0081965074272068E-2</v>
          </cell>
          <cell r="P20">
            <v>254.61637786748523</v>
          </cell>
          <cell r="T20">
            <v>0.19113005864688892</v>
          </cell>
          <cell r="U20">
            <v>0.19192385779932206</v>
          </cell>
          <cell r="AU20" t="str">
            <v>Siemens Impact in Varian Est's</v>
          </cell>
          <cell r="AX20" t="str">
            <v>Average Center Revenue</v>
          </cell>
          <cell r="AY20">
            <v>6800</v>
          </cell>
          <cell r="AZ20">
            <v>6260</v>
          </cell>
          <cell r="BA20">
            <v>-7.9411764705882404E-2</v>
          </cell>
        </row>
        <row r="21">
          <cell r="A21" t="str">
            <v>US Volume</v>
          </cell>
          <cell r="B21" t="str">
            <v>R&amp;D</v>
          </cell>
          <cell r="C21" t="str">
            <v>Non-GAAP</v>
          </cell>
          <cell r="D21" t="str">
            <v>Non-GAAP</v>
          </cell>
          <cell r="E21" t="str">
            <v>Grow &gt;Sales</v>
          </cell>
          <cell r="F21" t="str">
            <v>Non-GAAP</v>
          </cell>
          <cell r="H21">
            <v>179744.99178521754</v>
          </cell>
          <cell r="P21">
            <v>404143.8381669654</v>
          </cell>
          <cell r="T21">
            <v>7.9618859412648874E-2</v>
          </cell>
          <cell r="U21">
            <v>7.9752979533584775E-2</v>
          </cell>
          <cell r="AU21" t="str">
            <v>Installed Base</v>
          </cell>
          <cell r="AV21">
            <v>2200</v>
          </cell>
          <cell r="AX21" t="str">
            <v>Physician/Contract Svcs</v>
          </cell>
          <cell r="AY21">
            <v>-1373</v>
          </cell>
          <cell r="AZ21">
            <v>-1264</v>
          </cell>
          <cell r="BA21">
            <v>-7.9388201019664928E-2</v>
          </cell>
        </row>
        <row r="22">
          <cell r="A22" t="str">
            <v>LDT US</v>
          </cell>
          <cell r="B22" t="str">
            <v>Tax Rate</v>
          </cell>
          <cell r="C22" t="str">
            <v>$125-$128</v>
          </cell>
          <cell r="D22" t="str">
            <v>$146-$150</v>
          </cell>
          <cell r="E22">
            <v>0.31</v>
          </cell>
          <cell r="F22">
            <v>0.3</v>
          </cell>
          <cell r="G22">
            <v>0.28000000000000003</v>
          </cell>
          <cell r="H22">
            <v>152.75029504233635</v>
          </cell>
          <cell r="I22" t="str">
            <v>28-29%</v>
          </cell>
          <cell r="J22" t="str">
            <v>28-29%</v>
          </cell>
          <cell r="K22" t="str">
            <v>28-29%</v>
          </cell>
          <cell r="L22" t="str">
            <v>Approach 29%</v>
          </cell>
          <cell r="T22">
            <v>0.28999999999999998</v>
          </cell>
          <cell r="U22">
            <v>0.28999999999999998</v>
          </cell>
          <cell r="AU22" t="str">
            <v>Annual Repl. Rate</v>
          </cell>
          <cell r="AV22">
            <v>8.3333333333333329E-2</v>
          </cell>
          <cell r="AX22" t="str">
            <v>Staff Salaries</v>
          </cell>
          <cell r="AY22">
            <v>-858</v>
          </cell>
          <cell r="AZ22">
            <v>-832</v>
          </cell>
          <cell r="BA22">
            <v>-3.0303030303030276E-2</v>
          </cell>
        </row>
        <row r="23">
          <cell r="A23" t="str">
            <v>US Lab Volumes</v>
          </cell>
          <cell r="B23" t="str">
            <v>EPS</v>
          </cell>
          <cell r="C23" t="str">
            <v>Reported +9%-11%
CC NA</v>
          </cell>
          <cell r="D23" t="str">
            <v>Reported +11%-14%
CC +14%-17%</v>
          </cell>
          <cell r="E23" t="str">
            <v>$3.92 - $4.02</v>
          </cell>
          <cell r="F23" t="str">
            <v>~$3.94/+15%</v>
          </cell>
          <cell r="G23" t="str">
            <v>$3.76 - 3.84 / 9%-12%</v>
          </cell>
          <cell r="H23">
            <v>45302.247946304393</v>
          </cell>
          <cell r="I23" t="str">
            <v>$4.06-4.16</v>
          </cell>
          <cell r="J23" t="str">
            <v>$4.08-4.16</v>
          </cell>
          <cell r="K23" t="str">
            <v>$4.09-4.14</v>
          </cell>
          <cell r="L23" t="str">
            <v>$4.00-4.04</v>
          </cell>
          <cell r="O23" t="str">
            <v>$1.06-1.10</v>
          </cell>
          <cell r="P23" t="str">
            <v>$1.14-1.29</v>
          </cell>
          <cell r="Q23" t="str">
            <v>$0.76-0.80</v>
          </cell>
          <cell r="R23" t="str">
            <v>$0.98-1.02</v>
          </cell>
          <cell r="T23">
            <v>1.028022203602458</v>
          </cell>
          <cell r="U23">
            <v>1.1069145896542205</v>
          </cell>
          <cell r="AU23" t="str">
            <v>ASP ($000s)</v>
          </cell>
          <cell r="AV23">
            <v>1000</v>
          </cell>
          <cell r="AX23" t="str">
            <v>Other Services</v>
          </cell>
          <cell r="AY23">
            <v>-340</v>
          </cell>
          <cell r="AZ23">
            <v>-330</v>
          </cell>
          <cell r="BA23">
            <v>-2.9411764705882359E-2</v>
          </cell>
        </row>
        <row r="24">
          <cell r="A24" t="str">
            <v>International Volume</v>
          </cell>
          <cell r="B24" t="str">
            <v>Shares</v>
          </cell>
          <cell r="C24" t="str">
            <v>~ 51%</v>
          </cell>
          <cell r="D24" t="str">
            <v>~ 52%</v>
          </cell>
          <cell r="E24" t="str">
            <v>116mn</v>
          </cell>
          <cell r="F24" t="str">
            <v>Below 52%</v>
          </cell>
          <cell r="H24">
            <v>53765.862089335234</v>
          </cell>
          <cell r="I24">
            <v>0.52441666666666664</v>
          </cell>
          <cell r="P24">
            <v>94898.234704332746</v>
          </cell>
          <cell r="T24">
            <v>100.642</v>
          </cell>
          <cell r="U24">
            <v>101.5</v>
          </cell>
          <cell r="AU24" t="str">
            <v>Varian New Order Share</v>
          </cell>
          <cell r="AV24">
            <v>0.6</v>
          </cell>
          <cell r="AX24" t="str">
            <v>Medical/Office Supplies</v>
          </cell>
          <cell r="AY24">
            <v>-71</v>
          </cell>
          <cell r="AZ24">
            <v>-68</v>
          </cell>
          <cell r="BA24">
            <v>-4.2253521126760618E-2</v>
          </cell>
        </row>
        <row r="25">
          <cell r="A25" t="str">
            <v>LDT International</v>
          </cell>
          <cell r="B25" t="str">
            <v>NA</v>
          </cell>
          <cell r="C25" t="str">
            <v>NA</v>
          </cell>
          <cell r="D25" t="str">
            <v>NA</v>
          </cell>
          <cell r="H25">
            <v>4.3273002615563369E-2</v>
          </cell>
          <cell r="I25">
            <v>4.1247845253627444E-2</v>
          </cell>
          <cell r="AU25" t="str">
            <v>% Incremental *</v>
          </cell>
          <cell r="AV25">
            <v>0.67</v>
          </cell>
          <cell r="AX25" t="str">
            <v>Office Expenses</v>
          </cell>
          <cell r="AY25">
            <v>-38</v>
          </cell>
          <cell r="AZ25">
            <v>-37</v>
          </cell>
          <cell r="BA25">
            <v>-2.6315789473684181E-2</v>
          </cell>
        </row>
        <row r="26">
          <cell r="A26" t="str">
            <v>Horizon Volume</v>
          </cell>
          <cell r="B26" t="str">
            <v>$(0.23) - $(0.22)</v>
          </cell>
          <cell r="C26" t="str">
            <v>$(0.30) - $(0.28)</v>
          </cell>
          <cell r="D26" t="str">
            <v>$(0.19) - $(0.17)</v>
          </cell>
          <cell r="H26">
            <v>27831.585080713929</v>
          </cell>
          <cell r="I26">
            <v>-0.13675105476128729</v>
          </cell>
          <cell r="P26">
            <v>34849.090626071578</v>
          </cell>
          <cell r="U26">
            <v>-3.0232558139534849E-2</v>
          </cell>
          <cell r="AU26" t="str">
            <v>Incremental '13 $ Orders</v>
          </cell>
          <cell r="AV26">
            <v>73.699999999999989</v>
          </cell>
          <cell r="AX26" t="str">
            <v>G&amp;A</v>
          </cell>
          <cell r="AY26">
            <v>-4</v>
          </cell>
          <cell r="AZ26">
            <v>-4</v>
          </cell>
          <cell r="BA26">
            <v>0</v>
          </cell>
        </row>
        <row r="27">
          <cell r="A27" t="str">
            <v>Gross Margin (%)</v>
          </cell>
          <cell r="B27" t="str">
            <v>$(0.06) - $(0.05)</v>
          </cell>
          <cell r="C27" t="str">
            <v>$(0.08) - $(0.06)</v>
          </cell>
          <cell r="D27" t="str">
            <v>$0.01 - $0.03</v>
          </cell>
          <cell r="H27">
            <v>0.41519587188367379</v>
          </cell>
          <cell r="I27">
            <v>5.6618151097226566E-2</v>
          </cell>
          <cell r="P27">
            <v>0.41037262481687647</v>
          </cell>
          <cell r="AU27" t="str">
            <v>% of Oncology</v>
          </cell>
          <cell r="AV27">
            <v>3.2056021921621491E-2</v>
          </cell>
          <cell r="AX27" t="str">
            <v xml:space="preserve">Rent </v>
          </cell>
          <cell r="AY27">
            <v>-487</v>
          </cell>
          <cell r="AZ27">
            <v>-487</v>
          </cell>
          <cell r="BA27">
            <v>0</v>
          </cell>
        </row>
        <row r="28">
          <cell r="A28" t="str">
            <v>R&amp;D (%)</v>
          </cell>
          <cell r="B28" t="str">
            <v>Loss: 71mn 
Income: 74mn</v>
          </cell>
          <cell r="C28" t="str">
            <v>Loss: 75mn 
Income: 75mn</v>
          </cell>
          <cell r="D28" t="str">
            <v>Loss: 72mn 
Income: 75mn</v>
          </cell>
          <cell r="H28">
            <v>0.127</v>
          </cell>
          <cell r="I28">
            <v>73.077826780284397</v>
          </cell>
          <cell r="P28">
            <v>0.11600000000000001</v>
          </cell>
          <cell r="AU28" t="str">
            <v>% of VAR</v>
          </cell>
          <cell r="AV28">
            <v>2.4834883407467308E-2</v>
          </cell>
          <cell r="AX28" t="str">
            <v>Equipment Leases</v>
          </cell>
          <cell r="AY28">
            <v>-916</v>
          </cell>
          <cell r="AZ28">
            <v>-916</v>
          </cell>
          <cell r="BA28">
            <v>0</v>
          </cell>
        </row>
        <row r="29">
          <cell r="A29" t="str">
            <v>SG&amp;A (%)</v>
          </cell>
          <cell r="B29" t="str">
            <v>NA</v>
          </cell>
          <cell r="C29" t="str">
            <v>NA</v>
          </cell>
          <cell r="D29" t="str">
            <v>NA</v>
          </cell>
          <cell r="H29">
            <v>0.51900000000000002</v>
          </cell>
          <cell r="I29">
            <v>10.13100133036963</v>
          </cell>
          <cell r="P29">
            <v>0.437</v>
          </cell>
          <cell r="AU29" t="str">
            <v>PV Discounted 10%</v>
          </cell>
          <cell r="AV29">
            <v>2.2351395066720577E-2</v>
          </cell>
          <cell r="AX29" t="str">
            <v xml:space="preserve">Operating Profit </v>
          </cell>
          <cell r="AY29">
            <v>2713</v>
          </cell>
          <cell r="AZ29">
            <v>2322</v>
          </cell>
          <cell r="BA29">
            <v>-0.14412089937338735</v>
          </cell>
        </row>
        <row r="30">
          <cell r="AU30" t="str">
            <v>* Varian estimate; reflects baseline</v>
          </cell>
          <cell r="AX30" t="str">
            <v>Operating Margin</v>
          </cell>
          <cell r="AY30">
            <v>0.39897058823529413</v>
          </cell>
          <cell r="AZ30">
            <v>0.37092651757188499</v>
          </cell>
        </row>
        <row r="31">
          <cell r="D31">
            <v>159.334788</v>
          </cell>
          <cell r="E31">
            <v>182.5</v>
          </cell>
          <cell r="L31">
            <v>230</v>
          </cell>
          <cell r="AU31" t="str">
            <v>rate of share capture</v>
          </cell>
        </row>
        <row r="32">
          <cell r="E32">
            <v>0.14538703249161133</v>
          </cell>
          <cell r="L32">
            <v>0.26027397260273966</v>
          </cell>
          <cell r="AX32" t="str">
            <v>Source: AMAC</v>
          </cell>
        </row>
        <row r="33">
          <cell r="L33" t="str">
            <v>Long Term Financial Model</v>
          </cell>
          <cell r="AU33" t="str">
            <v>US</v>
          </cell>
          <cell r="AV33">
            <v>250</v>
          </cell>
        </row>
        <row r="34">
          <cell r="L34">
            <v>2017</v>
          </cell>
          <cell r="M34" t="str">
            <v>Beyond 2017</v>
          </cell>
          <cell r="AU34" t="str">
            <v>Europe</v>
          </cell>
          <cell r="AV34">
            <v>250</v>
          </cell>
        </row>
        <row r="35">
          <cell r="A35" t="str">
            <v>Commercial Revenue Growth</v>
          </cell>
          <cell r="L35" t="str">
            <v>High teens to 20%</v>
          </cell>
          <cell r="AU35" t="str">
            <v>Other</v>
          </cell>
          <cell r="AV35">
            <v>1700</v>
          </cell>
        </row>
        <row r="36">
          <cell r="A36" t="str">
            <v>Commercial Clinical Rev. Growth</v>
          </cell>
          <cell r="L36" t="str">
            <v>Low 20%s</v>
          </cell>
        </row>
        <row r="37">
          <cell r="A37" t="str">
            <v>Gross Margin</v>
          </cell>
          <cell r="L37" t="str">
            <v>56%-58%</v>
          </cell>
          <cell r="M37">
            <v>0.6</v>
          </cell>
          <cell r="AU37" t="str">
            <v>ESTIMATE OF REIMBURSEMENT CUT IMPACT</v>
          </cell>
        </row>
        <row r="38">
          <cell r="A38" t="str">
            <v>R&amp;D</v>
          </cell>
          <cell r="L38" t="str">
            <v>~14%</v>
          </cell>
        </row>
        <row r="39">
          <cell r="A39" t="str">
            <v>S&amp;M</v>
          </cell>
          <cell r="L39" t="str">
            <v>~20%</v>
          </cell>
        </row>
        <row r="40">
          <cell r="A40" t="str">
            <v>G&amp;A</v>
          </cell>
          <cell r="L40" t="str">
            <v>8%</v>
          </cell>
          <cell r="AU40" t="str">
            <v>5% Installed base reduction over 2 years</v>
          </cell>
        </row>
        <row r="41">
          <cell r="A41" t="str">
            <v>EBIT Margin</v>
          </cell>
          <cell r="L41" t="str">
            <v>Mid to high teens</v>
          </cell>
          <cell r="M41" t="str">
            <v>Low 20%s</v>
          </cell>
          <cell r="AU41" t="str">
            <v>Company Response</v>
          </cell>
        </row>
        <row r="42">
          <cell r="AU42" t="str">
            <v>we are proposing a bundling system with registry tied to NCCN guidelines</v>
          </cell>
        </row>
        <row r="43">
          <cell r="AU43" t="str">
            <v>- increasing costs would suggest a payment increase even if you cut the treatment times to 30 minutes</v>
          </cell>
        </row>
        <row r="44">
          <cell r="AU44" t="str">
            <v>- you can't change minutes without changing the resource/cost basis at the same time</v>
          </cell>
        </row>
        <row r="45">
          <cell r="AU45" t="str">
            <v>- they assume 1.8mn linac price - they do not assume cost of the vault</v>
          </cell>
        </row>
        <row r="47">
          <cell r="AU47" t="str">
            <v>will halt investments and acquisitions until we have clarity on the outcome of the payment proposals</v>
          </cell>
        </row>
        <row r="48">
          <cell r="AU48" t="str">
            <v>*** so orders could be down in NA oncology by 10% at VAR assuming they cut all system spend?</v>
          </cell>
        </row>
        <row r="49">
          <cell r="AU49" t="str">
            <v xml:space="preserve">Capex-we had already been taking it down to 20-25mn, this would prompt a move to 15-20mn </v>
          </cell>
        </row>
        <row r="50">
          <cell r="AU50" t="str">
            <v>Capex trend:  2009: 35.4, 2010: 43.8, 2011: 36.6</v>
          </cell>
        </row>
        <row r="52">
          <cell r="AV52" t="str">
            <v>RTSX</v>
          </cell>
          <cell r="AX52" t="str">
            <v>Varian US</v>
          </cell>
        </row>
        <row r="53">
          <cell r="AV53" t="str">
            <v>Capex</v>
          </cell>
          <cell r="AX53" t="str">
            <v>FSC Mix</v>
          </cell>
        </row>
        <row r="54">
          <cell r="AU54">
            <v>2009</v>
          </cell>
          <cell r="AV54">
            <v>35.4</v>
          </cell>
          <cell r="AX54">
            <v>0.25</v>
          </cell>
        </row>
        <row r="55">
          <cell r="AU55">
            <v>2010</v>
          </cell>
          <cell r="AV55">
            <v>43.8</v>
          </cell>
          <cell r="AW55">
            <v>0.23728813559322037</v>
          </cell>
          <cell r="AX55">
            <v>0.3</v>
          </cell>
        </row>
        <row r="56">
          <cell r="AU56">
            <v>2011</v>
          </cell>
          <cell r="AV56">
            <v>36.6</v>
          </cell>
          <cell r="AW56">
            <v>-0.1643835616438355</v>
          </cell>
        </row>
        <row r="57">
          <cell r="AU57">
            <v>2012</v>
          </cell>
          <cell r="AV57">
            <v>22</v>
          </cell>
          <cell r="AW57">
            <v>-0.39890710382513661</v>
          </cell>
        </row>
        <row r="58">
          <cell r="AU58">
            <v>2013</v>
          </cell>
          <cell r="AV58">
            <v>17</v>
          </cell>
          <cell r="AW58">
            <v>-0.22727272727272729</v>
          </cell>
        </row>
      </sheetData>
      <sheetData sheetId="9">
        <row r="2">
          <cell r="H2" t="str">
            <v>Y/Y Growth</v>
          </cell>
          <cell r="J2" t="str">
            <v>Cons</v>
          </cell>
          <cell r="L2" t="str">
            <v>Results versus</v>
          </cell>
        </row>
        <row r="3">
          <cell r="B3" t="str">
            <v>($ in millions, except EPS)</v>
          </cell>
          <cell r="C3" t="str">
            <v>2Q15E</v>
          </cell>
          <cell r="D3" t="str">
            <v>2Q15A</v>
          </cell>
          <cell r="E3" t="str">
            <v>A vs E ($/%)</v>
          </cell>
          <cell r="G3" t="str">
            <v>EPS Impact</v>
          </cell>
          <cell r="H3" t="str">
            <v>2Q15A</v>
          </cell>
          <cell r="I3" t="str">
            <v>% Chg</v>
          </cell>
          <cell r="J3" t="str">
            <v>Est.</v>
          </cell>
          <cell r="L3" t="str">
            <v>MS</v>
          </cell>
          <cell r="M3" t="str">
            <v>Consens.</v>
          </cell>
          <cell r="N3" t="str">
            <v>Last Update: 1/27/15</v>
          </cell>
        </row>
        <row r="4">
          <cell r="B4" t="str">
            <v>Net Orders</v>
          </cell>
        </row>
        <row r="5">
          <cell r="B5" t="str">
            <v>Oncology Sys.</v>
          </cell>
          <cell r="C5">
            <v>565.45771323050485</v>
          </cell>
          <cell r="D5">
            <v>565.45771323050485</v>
          </cell>
          <cell r="E5">
            <v>0</v>
          </cell>
          <cell r="F5">
            <v>0</v>
          </cell>
          <cell r="H5">
            <v>559.1</v>
          </cell>
          <cell r="I5">
            <v>7.0244956772334E-3</v>
          </cell>
          <cell r="J5">
            <v>500.2</v>
          </cell>
          <cell r="L5">
            <v>-559.09297550432279</v>
          </cell>
          <cell r="M5">
            <v>0.13046324116454389</v>
          </cell>
        </row>
        <row r="6">
          <cell r="C6">
            <v>271.62926170344406</v>
          </cell>
          <cell r="D6">
            <v>271.62926170344406</v>
          </cell>
          <cell r="E6">
            <v>0</v>
          </cell>
          <cell r="F6">
            <v>0</v>
          </cell>
          <cell r="H6">
            <v>258.69453495566097</v>
          </cell>
          <cell r="I6">
            <v>-8.4211914187691805E-3</v>
          </cell>
          <cell r="L6">
            <v>-258.70295614707976</v>
          </cell>
        </row>
        <row r="7">
          <cell r="C7">
            <v>293.82845152706085</v>
          </cell>
          <cell r="D7">
            <v>293.82845152706085</v>
          </cell>
          <cell r="E7">
            <v>0</v>
          </cell>
          <cell r="F7">
            <v>0</v>
          </cell>
          <cell r="H7">
            <v>300.40546504433905</v>
          </cell>
          <cell r="I7">
            <v>2.0716421018831976E-2</v>
          </cell>
          <cell r="L7">
            <v>-300.38474862332021</v>
          </cell>
        </row>
        <row r="8">
          <cell r="B8" t="str">
            <v>Total Net Orders</v>
          </cell>
          <cell r="C8">
            <v>210.44212097560975</v>
          </cell>
          <cell r="D8">
            <v>210.44212097560975</v>
          </cell>
          <cell r="E8">
            <v>0</v>
          </cell>
          <cell r="F8">
            <v>0</v>
          </cell>
          <cell r="H8">
            <v>200.6</v>
          </cell>
          <cell r="I8">
            <v>0.11444444444444435</v>
          </cell>
          <cell r="J8">
            <v>132.80000000000001</v>
          </cell>
          <cell r="L8">
            <v>-200.48555555555555</v>
          </cell>
          <cell r="M8">
            <v>0.58465452541874807</v>
          </cell>
        </row>
        <row r="9">
          <cell r="B9" t="str">
            <v>Americas Net</v>
          </cell>
          <cell r="C9">
            <v>58.213141463414622</v>
          </cell>
          <cell r="D9">
            <v>58.213141463414622</v>
          </cell>
          <cell r="E9">
            <v>0</v>
          </cell>
          <cell r="F9">
            <v>0</v>
          </cell>
          <cell r="H9">
            <v>0.05</v>
          </cell>
          <cell r="I9">
            <v>0.75861962854954634</v>
          </cell>
          <cell r="L9">
            <v>0.7086196285495463</v>
          </cell>
        </row>
        <row r="10">
          <cell r="B10" t="str">
            <v>International Net</v>
          </cell>
          <cell r="C10">
            <v>152.22897951219514</v>
          </cell>
          <cell r="D10">
            <v>152.22897951219514</v>
          </cell>
          <cell r="E10">
            <v>0</v>
          </cell>
          <cell r="F10">
            <v>0</v>
          </cell>
          <cell r="H10">
            <v>0.12</v>
          </cell>
          <cell r="I10">
            <v>-5.0982260196642426E-2</v>
          </cell>
          <cell r="L10">
            <v>-0.17098226019664242</v>
          </cell>
        </row>
        <row r="11">
          <cell r="B11" t="str">
            <v>Other/Proton Orders</v>
          </cell>
          <cell r="C11">
            <v>40</v>
          </cell>
          <cell r="D11">
            <v>40</v>
          </cell>
          <cell r="E11">
            <v>0</v>
          </cell>
          <cell r="F11">
            <v>0</v>
          </cell>
          <cell r="H11">
            <v>58.9</v>
          </cell>
          <cell r="I11">
            <v>83.142857142865338</v>
          </cell>
          <cell r="L11">
            <v>24.24285714286534</v>
          </cell>
        </row>
        <row r="12">
          <cell r="B12" t="str">
            <v>Total Net Orders</v>
          </cell>
          <cell r="C12">
            <v>815.89983420611463</v>
          </cell>
          <cell r="D12">
            <v>815.89983420611463</v>
          </cell>
          <cell r="E12">
            <v>0</v>
          </cell>
          <cell r="F12">
            <v>0</v>
          </cell>
          <cell r="H12">
            <v>818.6</v>
          </cell>
          <cell r="I12">
            <v>0.11237939937491515</v>
          </cell>
          <cell r="J12">
            <v>644.79999999999995</v>
          </cell>
          <cell r="L12">
            <v>-818.48762060062506</v>
          </cell>
          <cell r="M12">
            <v>0.26535334089037632</v>
          </cell>
        </row>
        <row r="13">
          <cell r="B13" t="str">
            <v>Backlog</v>
          </cell>
          <cell r="C13">
            <v>3124.4459999999999</v>
          </cell>
          <cell r="D13">
            <v>3124.4459999999999</v>
          </cell>
          <cell r="E13">
            <v>0</v>
          </cell>
          <cell r="F13">
            <v>0</v>
          </cell>
          <cell r="H13">
            <v>2806.6</v>
          </cell>
          <cell r="I13">
            <v>1.9617815883165024E-2</v>
          </cell>
          <cell r="J13">
            <v>3110</v>
          </cell>
          <cell r="L13">
            <v>-2806.5803821841168</v>
          </cell>
          <cell r="M13">
            <v>4.645016077170494E-3</v>
          </cell>
        </row>
        <row r="14">
          <cell r="I14" t="str">
            <v>Y/Y</v>
          </cell>
          <cell r="J14" t="str">
            <v>Cons</v>
          </cell>
        </row>
        <row r="15">
          <cell r="B15" t="str">
            <v>($mn, except EPS)</v>
          </cell>
          <cell r="C15" t="str">
            <v>2Q15E</v>
          </cell>
          <cell r="D15" t="str">
            <v>2Q15A</v>
          </cell>
          <cell r="E15" t="str">
            <v>A vs E ($/%)</v>
          </cell>
          <cell r="G15" t="str">
            <v>EPS Impact</v>
          </cell>
          <cell r="H15" t="str">
            <v>2Q15A</v>
          </cell>
          <cell r="I15" t="str">
            <v>% Chg</v>
          </cell>
          <cell r="J15" t="str">
            <v>Est.</v>
          </cell>
        </row>
        <row r="16">
          <cell r="B16" t="str">
            <v>Revenues:</v>
          </cell>
        </row>
        <row r="17">
          <cell r="B17" t="str">
            <v>Total Revenues</v>
          </cell>
          <cell r="C17">
            <v>784.64633631184847</v>
          </cell>
          <cell r="D17">
            <v>784.64633631184847</v>
          </cell>
          <cell r="E17">
            <v>0</v>
          </cell>
          <cell r="F17">
            <v>0</v>
          </cell>
          <cell r="G17">
            <v>0</v>
          </cell>
          <cell r="H17">
            <v>778.5</v>
          </cell>
          <cell r="I17">
            <v>7.8951012355150674E-3</v>
          </cell>
          <cell r="J17">
            <v>799.33</v>
          </cell>
          <cell r="M17">
            <v>-1.8369964455420829E-2</v>
          </cell>
        </row>
        <row r="18">
          <cell r="B18" t="str">
            <v>FX Impact</v>
          </cell>
        </row>
        <row r="19">
          <cell r="B19" t="str">
            <v>COGS</v>
          </cell>
          <cell r="C19">
            <v>456.07653192188172</v>
          </cell>
          <cell r="D19">
            <v>456.07653192188172</v>
          </cell>
          <cell r="E19">
            <v>0</v>
          </cell>
          <cell r="F19">
            <v>0</v>
          </cell>
          <cell r="G19">
            <v>0</v>
          </cell>
          <cell r="H19">
            <v>450.2</v>
          </cell>
          <cell r="I19">
            <v>1.3053158422660527E-2</v>
          </cell>
        </row>
        <row r="20">
          <cell r="B20" t="str">
            <v>Gross Profit</v>
          </cell>
          <cell r="C20">
            <v>328.56980438996675</v>
          </cell>
          <cell r="D20">
            <v>328.56980438996675</v>
          </cell>
          <cell r="E20">
            <v>0</v>
          </cell>
          <cell r="F20">
            <v>0</v>
          </cell>
          <cell r="G20">
            <v>0</v>
          </cell>
          <cell r="H20">
            <v>328.3</v>
          </cell>
          <cell r="I20">
            <v>8.2182269255781648E-4</v>
          </cell>
        </row>
        <row r="21">
          <cell r="B21" t="str">
            <v>Op. Exps:</v>
          </cell>
        </row>
        <row r="22">
          <cell r="B22" t="str">
            <v>SG&amp;A</v>
          </cell>
          <cell r="C22">
            <v>116.12765777415356</v>
          </cell>
          <cell r="D22">
            <v>116.12765777415356</v>
          </cell>
          <cell r="E22">
            <v>0</v>
          </cell>
          <cell r="F22">
            <v>0</v>
          </cell>
          <cell r="G22">
            <v>0</v>
          </cell>
          <cell r="H22">
            <v>115</v>
          </cell>
          <cell r="I22">
            <v>9.805719775248356E-3</v>
          </cell>
        </row>
        <row r="23">
          <cell r="B23" t="str">
            <v>R&amp;D</v>
          </cell>
          <cell r="C23">
            <v>62.472646339463068</v>
          </cell>
          <cell r="D23">
            <v>62.472646339463068</v>
          </cell>
          <cell r="E23">
            <v>0</v>
          </cell>
          <cell r="F23">
            <v>0</v>
          </cell>
          <cell r="G23">
            <v>0</v>
          </cell>
          <cell r="H23">
            <v>60.7</v>
          </cell>
          <cell r="I23">
            <v>2.9203399332175639E-2</v>
          </cell>
        </row>
        <row r="24">
          <cell r="B24" t="str">
            <v>Total Op. Exps</v>
          </cell>
          <cell r="C24">
            <v>178.60030411361663</v>
          </cell>
          <cell r="D24">
            <v>178.60030411361663</v>
          </cell>
          <cell r="E24">
            <v>0</v>
          </cell>
          <cell r="F24">
            <v>0</v>
          </cell>
          <cell r="G24">
            <v>0</v>
          </cell>
          <cell r="H24">
            <v>175.7</v>
          </cell>
          <cell r="I24">
            <v>1.650713781227453E-2</v>
          </cell>
        </row>
        <row r="25">
          <cell r="B25" t="str">
            <v>Op. Inc (Loss)</v>
          </cell>
          <cell r="C25">
            <v>149.96950027635012</v>
          </cell>
          <cell r="D25">
            <v>149.96950027635012</v>
          </cell>
          <cell r="E25">
            <v>0</v>
          </cell>
          <cell r="F25">
            <v>0</v>
          </cell>
          <cell r="G25">
            <v>0</v>
          </cell>
          <cell r="H25">
            <v>152.60000000000002</v>
          </cell>
          <cell r="I25">
            <v>-1.7237874991152702E-2</v>
          </cell>
          <cell r="J25">
            <v>145.94</v>
          </cell>
          <cell r="M25">
            <v>2.7610663809443103E-2</v>
          </cell>
        </row>
        <row r="26">
          <cell r="B26" t="str">
            <v>Total Non-Op. Exp</v>
          </cell>
          <cell r="C26">
            <v>-4.2480768749999998</v>
          </cell>
          <cell r="D26">
            <v>-4.2480768749999998</v>
          </cell>
          <cell r="E26">
            <v>0</v>
          </cell>
          <cell r="F26" t="str">
            <v>N/A</v>
          </cell>
          <cell r="G26">
            <v>0</v>
          </cell>
          <cell r="H26">
            <v>0.6</v>
          </cell>
          <cell r="I26">
            <v>-8.0801281249999999</v>
          </cell>
        </row>
        <row r="27">
          <cell r="B27" t="str">
            <v>Inc Taxes</v>
          </cell>
          <cell r="C27">
            <v>42.259212786391529</v>
          </cell>
          <cell r="D27">
            <v>42.259212786391529</v>
          </cell>
          <cell r="E27">
            <v>0</v>
          </cell>
          <cell r="F27">
            <v>0</v>
          </cell>
          <cell r="G27">
            <v>0</v>
          </cell>
          <cell r="H27">
            <v>44</v>
          </cell>
          <cell r="I27">
            <v>-3.9563345763828917E-2</v>
          </cell>
        </row>
        <row r="28">
          <cell r="B28" t="str">
            <v>Net Inc (Loss)</v>
          </cell>
          <cell r="C28">
            <v>103.46221061495858</v>
          </cell>
          <cell r="D28">
            <v>103.46221061495858</v>
          </cell>
          <cell r="E28">
            <v>0</v>
          </cell>
          <cell r="F28">
            <v>0</v>
          </cell>
          <cell r="G28">
            <v>0</v>
          </cell>
          <cell r="H28">
            <v>109.20000000000002</v>
          </cell>
          <cell r="I28">
            <v>-5.2543858837375779E-2</v>
          </cell>
          <cell r="J28">
            <v>103.48</v>
          </cell>
        </row>
        <row r="29">
          <cell r="B29" t="str">
            <v>Diluted Shares Out</v>
          </cell>
          <cell r="C29">
            <v>100.642</v>
          </cell>
          <cell r="D29">
            <v>100.642</v>
          </cell>
          <cell r="E29">
            <v>0</v>
          </cell>
          <cell r="F29">
            <v>0</v>
          </cell>
          <cell r="G29">
            <v>0</v>
          </cell>
          <cell r="H29">
            <v>105.446</v>
          </cell>
          <cell r="I29">
            <v>-4.5558864252792874E-2</v>
          </cell>
        </row>
        <row r="30">
          <cell r="B30" t="str">
            <v>EPS, Diluted</v>
          </cell>
          <cell r="C30">
            <v>1.028022203602458</v>
          </cell>
          <cell r="D30">
            <v>1.028022203602458</v>
          </cell>
          <cell r="E30">
            <v>0</v>
          </cell>
          <cell r="F30">
            <v>0</v>
          </cell>
          <cell r="G30">
            <v>0</v>
          </cell>
          <cell r="H30">
            <v>1.0356011607837188</v>
          </cell>
          <cell r="I30">
            <v>-7.3184131770624994E-3</v>
          </cell>
          <cell r="J30">
            <v>1</v>
          </cell>
          <cell r="M30">
            <v>2.8022203602457996E-2</v>
          </cell>
        </row>
        <row r="32">
          <cell r="B32" t="str">
            <v>Margin Analysis</v>
          </cell>
        </row>
        <row r="33">
          <cell r="B33" t="str">
            <v>Gross Profit</v>
          </cell>
          <cell r="C33">
            <v>0.41874891805953779</v>
          </cell>
          <cell r="D33">
            <v>0.41874891805953779</v>
          </cell>
          <cell r="F33">
            <v>0</v>
          </cell>
          <cell r="H33">
            <v>0.42170841361592809</v>
          </cell>
          <cell r="I33">
            <v>-30</v>
          </cell>
          <cell r="J33">
            <v>0.42059999999999997</v>
          </cell>
        </row>
        <row r="34">
          <cell r="B34" t="str">
            <v>SG&amp;A</v>
          </cell>
          <cell r="C34">
            <v>0.14799999999999999</v>
          </cell>
          <cell r="D34">
            <v>0.14799999999999999</v>
          </cell>
          <cell r="F34">
            <v>0</v>
          </cell>
          <cell r="H34">
            <v>0.14771997430956968</v>
          </cell>
          <cell r="I34">
            <v>0</v>
          </cell>
        </row>
        <row r="35">
          <cell r="B35" t="str">
            <v>R&amp;D</v>
          </cell>
          <cell r="C35">
            <v>7.9618859412648874E-2</v>
          </cell>
          <cell r="D35">
            <v>7.9618859412648874E-2</v>
          </cell>
          <cell r="F35">
            <v>0</v>
          </cell>
          <cell r="H35">
            <v>7.7970456005138092E-2</v>
          </cell>
          <cell r="I35">
            <v>20</v>
          </cell>
        </row>
        <row r="36">
          <cell r="B36" t="str">
            <v>Op. Inc</v>
          </cell>
          <cell r="C36">
            <v>0.19113005864688892</v>
          </cell>
          <cell r="D36">
            <v>0.19113005864688892</v>
          </cell>
          <cell r="F36">
            <v>0</v>
          </cell>
          <cell r="H36">
            <v>0.19601798330122033</v>
          </cell>
          <cell r="I36">
            <v>-50</v>
          </cell>
          <cell r="J36">
            <v>0.18257790899878648</v>
          </cell>
        </row>
        <row r="37">
          <cell r="B37" t="str">
            <v>Effective Tax Rate</v>
          </cell>
          <cell r="C37">
            <v>0.28999999999999998</v>
          </cell>
          <cell r="D37">
            <v>0.28999999999999998</v>
          </cell>
          <cell r="F37">
            <v>0</v>
          </cell>
          <cell r="H37">
            <v>0.28720626631853785</v>
          </cell>
          <cell r="I37">
            <v>30</v>
          </cell>
        </row>
        <row r="38">
          <cell r="B38" t="str">
            <v>Net Inc</v>
          </cell>
          <cell r="C38">
            <v>0.13185840018226855</v>
          </cell>
          <cell r="D38">
            <v>0.13185840018226855</v>
          </cell>
          <cell r="F38">
            <v>0</v>
          </cell>
          <cell r="H38">
            <v>0.14026974951830445</v>
          </cell>
          <cell r="I38">
            <v>-80</v>
          </cell>
          <cell r="J38">
            <v>0.12945842142794589</v>
          </cell>
        </row>
      </sheetData>
      <sheetData sheetId="10" refreshError="1"/>
      <sheetData sheetId="11">
        <row r="2">
          <cell r="C2" t="str">
            <v>2Q15E</v>
          </cell>
          <cell r="F2" t="str">
            <v>Y/Y</v>
          </cell>
          <cell r="H2" t="str">
            <v>MS/C</v>
          </cell>
        </row>
        <row r="3">
          <cell r="B3" t="str">
            <v>($mn, except EPS)</v>
          </cell>
          <cell r="C3" t="str">
            <v>Mse</v>
          </cell>
          <cell r="D3" t="str">
            <v>Cons</v>
          </cell>
          <cell r="E3" t="str">
            <v>2Q15A</v>
          </cell>
          <cell r="F3" t="str">
            <v>% Δ</v>
          </cell>
          <cell r="H3" t="str">
            <v>% Δ</v>
          </cell>
        </row>
        <row r="4">
          <cell r="B4" t="str">
            <v>Total Revenues</v>
          </cell>
          <cell r="C4">
            <v>784.64633631184847</v>
          </cell>
          <cell r="D4">
            <v>799.33</v>
          </cell>
          <cell r="E4">
            <v>778.5</v>
          </cell>
          <cell r="F4">
            <v>7.8951012355150674E-3</v>
          </cell>
          <cell r="H4">
            <v>-1.8369964455420829E-2</v>
          </cell>
        </row>
        <row r="6">
          <cell r="B6" t="str">
            <v>COGS</v>
          </cell>
          <cell r="C6">
            <v>456.07653192188172</v>
          </cell>
          <cell r="E6">
            <v>450.2</v>
          </cell>
          <cell r="F6">
            <v>1.3053158422660527E-2</v>
          </cell>
        </row>
        <row r="7">
          <cell r="B7" t="str">
            <v>Op. Exps:</v>
          </cell>
        </row>
        <row r="8">
          <cell r="B8" t="str">
            <v>SG&amp;A</v>
          </cell>
          <cell r="C8">
            <v>116.12765777415356</v>
          </cell>
          <cell r="E8">
            <v>115</v>
          </cell>
          <cell r="F8">
            <v>9.805719775248356E-3</v>
          </cell>
        </row>
        <row r="9">
          <cell r="B9" t="str">
            <v>R&amp;D</v>
          </cell>
          <cell r="C9">
            <v>62.472646339463068</v>
          </cell>
          <cell r="E9">
            <v>60.7</v>
          </cell>
          <cell r="F9">
            <v>2.9203399332175639E-2</v>
          </cell>
        </row>
        <row r="10">
          <cell r="B10" t="str">
            <v>Total Op. Exps</v>
          </cell>
          <cell r="C10">
            <v>178.60030411361663</v>
          </cell>
          <cell r="E10">
            <v>175.7</v>
          </cell>
          <cell r="F10">
            <v>1.650713781227453E-2</v>
          </cell>
        </row>
        <row r="11">
          <cell r="B11" t="str">
            <v>Op. Inc (Loss)</v>
          </cell>
          <cell r="C11">
            <v>149.96950027635012</v>
          </cell>
          <cell r="D11">
            <v>145.94</v>
          </cell>
          <cell r="E11">
            <v>152.60000000000002</v>
          </cell>
          <cell r="F11">
            <v>-1.7237874991152702E-2</v>
          </cell>
          <cell r="H11">
            <v>2.7610663809443103E-2</v>
          </cell>
        </row>
        <row r="12">
          <cell r="B12" t="str">
            <v>Total Non-Op. Exp</v>
          </cell>
          <cell r="C12">
            <v>-4.2480768749999998</v>
          </cell>
          <cell r="E12">
            <v>0.6</v>
          </cell>
          <cell r="F12">
            <v>-8.0801281249999999</v>
          </cell>
        </row>
        <row r="13">
          <cell r="B13" t="str">
            <v>Inc Taxes</v>
          </cell>
          <cell r="C13">
            <v>42.259212786391529</v>
          </cell>
          <cell r="E13">
            <v>44</v>
          </cell>
          <cell r="F13">
            <v>-3.9563345763828917E-2</v>
          </cell>
        </row>
        <row r="14">
          <cell r="B14" t="str">
            <v>Net Inc (Loss)</v>
          </cell>
          <cell r="C14">
            <v>103.46221061495858</v>
          </cell>
          <cell r="D14">
            <v>103.48</v>
          </cell>
          <cell r="E14">
            <v>109.20000000000002</v>
          </cell>
          <cell r="F14">
            <v>-5.2543858837375779E-2</v>
          </cell>
          <cell r="H14">
            <v>-1.7191133592409091E-4</v>
          </cell>
        </row>
        <row r="15">
          <cell r="B15" t="str">
            <v>Diluted Shares Out</v>
          </cell>
          <cell r="C15">
            <v>100.642</v>
          </cell>
          <cell r="E15">
            <v>105.446</v>
          </cell>
          <cell r="F15">
            <v>-4.5558864252792874E-2</v>
          </cell>
        </row>
        <row r="16">
          <cell r="B16" t="str">
            <v>EPS, Diluted</v>
          </cell>
          <cell r="C16">
            <v>1.028022203602458</v>
          </cell>
          <cell r="D16">
            <v>1</v>
          </cell>
          <cell r="E16">
            <v>1.0356011607837188</v>
          </cell>
          <cell r="F16">
            <v>-7.3184131770624994E-3</v>
          </cell>
          <cell r="H16">
            <v>2.8022203602457996E-2</v>
          </cell>
        </row>
        <row r="18">
          <cell r="B18" t="str">
            <v>Margin Analysis</v>
          </cell>
        </row>
        <row r="19">
          <cell r="B19" t="str">
            <v>Gross Profit</v>
          </cell>
          <cell r="C19">
            <v>0.41874891805953779</v>
          </cell>
          <cell r="D19">
            <v>0.42059999999999997</v>
          </cell>
          <cell r="E19">
            <v>0.42170841361592809</v>
          </cell>
          <cell r="F19">
            <v>-30</v>
          </cell>
        </row>
        <row r="20">
          <cell r="B20" t="str">
            <v>SG&amp;A</v>
          </cell>
          <cell r="C20">
            <v>0.14799999999999999</v>
          </cell>
          <cell r="E20">
            <v>0.14771997430956968</v>
          </cell>
          <cell r="F20">
            <v>0</v>
          </cell>
        </row>
        <row r="21">
          <cell r="B21" t="str">
            <v>R&amp;D</v>
          </cell>
          <cell r="C21">
            <v>7.9618859412648874E-2</v>
          </cell>
          <cell r="E21">
            <v>7.7970456005138092E-2</v>
          </cell>
          <cell r="F21">
            <v>20</v>
          </cell>
        </row>
        <row r="22">
          <cell r="B22" t="str">
            <v>Op. Inc</v>
          </cell>
          <cell r="C22">
            <v>0.19113005864688892</v>
          </cell>
          <cell r="D22">
            <v>0.18257790899878648</v>
          </cell>
          <cell r="E22">
            <v>0.19601798330122033</v>
          </cell>
          <cell r="F22">
            <v>-50</v>
          </cell>
        </row>
        <row r="23">
          <cell r="B23" t="str">
            <v>Effective Tax Rate</v>
          </cell>
          <cell r="C23">
            <v>0.28999999999999998</v>
          </cell>
          <cell r="E23">
            <v>0.28720626631853785</v>
          </cell>
          <cell r="F23">
            <v>30</v>
          </cell>
        </row>
        <row r="24">
          <cell r="B24" t="str">
            <v>Net Inc</v>
          </cell>
          <cell r="C24">
            <v>0.13185840018226855</v>
          </cell>
          <cell r="D24">
            <v>0.12945842142794589</v>
          </cell>
          <cell r="E24">
            <v>0.14026974951830445</v>
          </cell>
          <cell r="F24">
            <v>-80</v>
          </cell>
        </row>
      </sheetData>
      <sheetData sheetId="12" refreshError="1"/>
      <sheetData sheetId="13"/>
      <sheetData sheetId="14">
        <row r="3">
          <cell r="B3">
            <v>2009</v>
          </cell>
        </row>
      </sheetData>
      <sheetData sheetId="15" refreshError="1"/>
      <sheetData sheetId="16"/>
      <sheetData sheetId="17" refreshError="1"/>
      <sheetData sheetId="18" refreshError="1"/>
      <sheetData sheetId="19">
        <row r="1">
          <cell r="A1" t="str">
            <v>Natera</v>
          </cell>
        </row>
        <row r="2">
          <cell r="A2" t="str">
            <v>Discounted Cash Flow Analysis</v>
          </cell>
          <cell r="B2" t="str">
            <v>Varian Medical Systems, Inc</v>
          </cell>
        </row>
        <row r="3">
          <cell r="A3" t="str">
            <v>(All numbers in millions, except per share numbers or unless otherwise indicated)</v>
          </cell>
          <cell r="B3" t="str">
            <v>Discounted Cash Flow</v>
          </cell>
        </row>
        <row r="5">
          <cell r="B5">
            <v>2013</v>
          </cell>
          <cell r="C5" t="str">
            <v>2014Q1</v>
          </cell>
          <cell r="D5" t="str">
            <v>2014Q2</v>
          </cell>
          <cell r="E5" t="str">
            <v>2014Q3</v>
          </cell>
          <cell r="F5" t="str">
            <v>2014Q4</v>
          </cell>
          <cell r="G5" t="str">
            <v>4Q14</v>
          </cell>
          <cell r="H5">
            <v>2015</v>
          </cell>
          <cell r="I5">
            <v>2016</v>
          </cell>
          <cell r="J5">
            <v>2017</v>
          </cell>
          <cell r="K5">
            <v>2018</v>
          </cell>
          <cell r="L5">
            <v>2019</v>
          </cell>
          <cell r="M5">
            <v>2020</v>
          </cell>
          <cell r="N5">
            <v>2021</v>
          </cell>
          <cell r="O5">
            <v>2022</v>
          </cell>
          <cell r="P5">
            <v>2023</v>
          </cell>
          <cell r="Q5">
            <v>2024</v>
          </cell>
          <cell r="R5">
            <v>2025</v>
          </cell>
          <cell r="S5">
            <v>2026</v>
          </cell>
          <cell r="T5">
            <v>2027</v>
          </cell>
          <cell r="U5">
            <v>2028</v>
          </cell>
          <cell r="V5">
            <v>2029</v>
          </cell>
          <cell r="W5" t="str">
            <v>Terminal</v>
          </cell>
        </row>
        <row r="6">
          <cell r="B6" t="str">
            <v>Dollars in millions, except per share data</v>
          </cell>
          <cell r="E6">
            <v>40451</v>
          </cell>
          <cell r="F6">
            <v>40816</v>
          </cell>
          <cell r="G6">
            <v>41182</v>
          </cell>
          <cell r="H6">
            <v>41547</v>
          </cell>
          <cell r="I6">
            <v>41912</v>
          </cell>
          <cell r="J6">
            <v>42277</v>
          </cell>
          <cell r="K6">
            <v>42643</v>
          </cell>
          <cell r="L6">
            <v>43008</v>
          </cell>
          <cell r="M6">
            <v>43373</v>
          </cell>
          <cell r="N6">
            <v>43738</v>
          </cell>
          <cell r="O6">
            <v>6.5</v>
          </cell>
          <cell r="P6">
            <v>7.5</v>
          </cell>
          <cell r="Q6">
            <v>8.5</v>
          </cell>
          <cell r="R6">
            <v>9.5</v>
          </cell>
          <cell r="S6">
            <v>10.5</v>
          </cell>
          <cell r="T6">
            <v>11.5</v>
          </cell>
          <cell r="U6">
            <v>12.5</v>
          </cell>
          <cell r="V6">
            <v>13.5</v>
          </cell>
        </row>
        <row r="7">
          <cell r="A7" t="str">
            <v>Legacy and Other Product Revenues</v>
          </cell>
          <cell r="B7">
            <v>24.194679499999999</v>
          </cell>
          <cell r="E7">
            <v>2010</v>
          </cell>
          <cell r="F7">
            <v>2011</v>
          </cell>
          <cell r="G7">
            <v>2012</v>
          </cell>
          <cell r="H7">
            <v>2013</v>
          </cell>
          <cell r="I7">
            <v>2014</v>
          </cell>
          <cell r="J7">
            <v>2015</v>
          </cell>
          <cell r="K7">
            <v>2016</v>
          </cell>
          <cell r="L7">
            <v>2017</v>
          </cell>
          <cell r="M7">
            <v>2018</v>
          </cell>
          <cell r="N7">
            <v>2019</v>
          </cell>
          <cell r="O7">
            <v>89.862597839120397</v>
          </cell>
          <cell r="P7">
            <v>92.109162785098405</v>
          </cell>
          <cell r="Q7">
            <v>94.411891854725852</v>
          </cell>
          <cell r="R7">
            <v>96.772189151093983</v>
          </cell>
          <cell r="S7">
            <v>99.191493879871317</v>
          </cell>
          <cell r="T7">
            <v>101.67128122686809</v>
          </cell>
          <cell r="U7">
            <v>104.21306325753979</v>
          </cell>
          <cell r="V7">
            <v>106.81838983897828</v>
          </cell>
        </row>
        <row r="8">
          <cell r="A8" t="str">
            <v>% growth</v>
          </cell>
          <cell r="B8" t="str">
            <v>Discount Periods</v>
          </cell>
          <cell r="F8">
            <v>0</v>
          </cell>
          <cell r="G8">
            <v>1</v>
          </cell>
          <cell r="H8">
            <v>2</v>
          </cell>
          <cell r="I8">
            <v>3</v>
          </cell>
          <cell r="J8">
            <v>4</v>
          </cell>
          <cell r="K8">
            <v>5</v>
          </cell>
          <cell r="L8">
            <v>6</v>
          </cell>
          <cell r="M8">
            <v>7</v>
          </cell>
          <cell r="N8">
            <v>8</v>
          </cell>
          <cell r="O8">
            <v>0.03</v>
          </cell>
          <cell r="P8">
            <v>2.5000000000000001E-2</v>
          </cell>
          <cell r="Q8">
            <v>2.5000000000000001E-2</v>
          </cell>
          <cell r="R8">
            <v>2.5000000000000001E-2</v>
          </cell>
          <cell r="S8">
            <v>2.5000000000000001E-2</v>
          </cell>
          <cell r="T8">
            <v>2.5000000000000001E-2</v>
          </cell>
          <cell r="U8">
            <v>2.5000000000000001E-2</v>
          </cell>
          <cell r="V8">
            <v>2.5000000000000001E-2</v>
          </cell>
        </row>
        <row r="9">
          <cell r="A9" t="str">
            <v>NIPT Revenues</v>
          </cell>
          <cell r="B9" t="str">
            <v>Handicap factor</v>
          </cell>
          <cell r="F9">
            <v>0.5</v>
          </cell>
          <cell r="G9">
            <v>1</v>
          </cell>
          <cell r="H9">
            <v>1</v>
          </cell>
          <cell r="I9">
            <v>1</v>
          </cell>
          <cell r="J9">
            <v>1</v>
          </cell>
          <cell r="K9">
            <v>1</v>
          </cell>
          <cell r="L9">
            <v>1</v>
          </cell>
          <cell r="M9">
            <v>1</v>
          </cell>
          <cell r="N9">
            <v>1</v>
          </cell>
          <cell r="O9">
            <v>432.94750641169952</v>
          </cell>
          <cell r="P9">
            <v>458.22487412734409</v>
          </cell>
          <cell r="Q9">
            <v>472.87652495401022</v>
          </cell>
          <cell r="R9">
            <v>475.23435708132325</v>
          </cell>
          <cell r="S9">
            <v>464.47251491421594</v>
          </cell>
          <cell r="T9">
            <v>445.77961851087662</v>
          </cell>
          <cell r="U9">
            <v>428.74607751401305</v>
          </cell>
          <cell r="V9">
            <v>411.82358478632619</v>
          </cell>
        </row>
        <row r="10">
          <cell r="A10" t="str">
            <v>% growth</v>
          </cell>
          <cell r="I10">
            <v>0.39830747934460065</v>
          </cell>
          <cell r="J10">
            <v>0.40801657668413283</v>
          </cell>
          <cell r="K10">
            <v>0.17623586918391321</v>
          </cell>
          <cell r="L10">
            <v>0.28478934406667933</v>
          </cell>
          <cell r="M10">
            <v>4.6092916316752497E-2</v>
          </cell>
          <cell r="N10">
            <v>-4.034556585269744E-3</v>
          </cell>
          <cell r="O10">
            <v>8.4292058238884859E-2</v>
          </cell>
          <cell r="P10">
            <v>5.8384370717700307E-2</v>
          </cell>
          <cell r="Q10">
            <v>3.1974804629646414E-2</v>
          </cell>
          <cell r="R10">
            <v>4.9861475520323051E-3</v>
          </cell>
          <cell r="S10">
            <v>-2.2645336993734499E-2</v>
          </cell>
          <cell r="T10">
            <v>-4.0245430683431782E-2</v>
          </cell>
          <cell r="U10">
            <v>-3.8210676956842438E-2</v>
          </cell>
          <cell r="V10">
            <v>-3.9469731888413073E-2</v>
          </cell>
        </row>
        <row r="11">
          <cell r="A11" t="str">
            <v>US Tests (#)</v>
          </cell>
          <cell r="B11" t="str">
            <v>Operating Income</v>
          </cell>
          <cell r="E11">
            <v>534.221</v>
          </cell>
          <cell r="F11">
            <v>588.42399999999975</v>
          </cell>
          <cell r="G11">
            <v>596.55999999999972</v>
          </cell>
          <cell r="H11">
            <v>608.90000000000032</v>
          </cell>
          <cell r="I11">
            <v>621.07800000000032</v>
          </cell>
          <cell r="J11">
            <v>633.49956000000032</v>
          </cell>
          <cell r="K11">
            <v>646.16955120000034</v>
          </cell>
          <cell r="L11">
            <v>659.09294222400035</v>
          </cell>
          <cell r="M11">
            <v>672.27480106848043</v>
          </cell>
          <cell r="N11">
            <v>685.72029708985008</v>
          </cell>
          <cell r="O11">
            <v>1064827.2947782481</v>
          </cell>
          <cell r="P11">
            <v>1069537.9912067465</v>
          </cell>
          <cell r="Q11">
            <v>1042183.3875797592</v>
          </cell>
          <cell r="R11">
            <v>984262.90622442856</v>
          </cell>
          <cell r="S11">
            <v>900033.53176768054</v>
          </cell>
          <cell r="T11">
            <v>814011.84281422663</v>
          </cell>
          <cell r="U11">
            <v>736211.77084416628</v>
          </cell>
          <cell r="V11">
            <v>658485.40811582317</v>
          </cell>
        </row>
        <row r="12">
          <cell r="A12" t="str">
            <v>(%) Growth</v>
          </cell>
          <cell r="G12">
            <v>1.8225260306442057</v>
          </cell>
          <cell r="H12">
            <v>0.25749329420173317</v>
          </cell>
          <cell r="I12">
            <v>1.1549490784037482</v>
          </cell>
          <cell r="J12">
            <v>0.59338248319626041</v>
          </cell>
          <cell r="K12">
            <v>0.29922918190285919</v>
          </cell>
          <cell r="L12">
            <v>0.1810649693027051</v>
          </cell>
          <cell r="M12">
            <v>9.4423906535453295E-2</v>
          </cell>
          <cell r="N12">
            <v>6.4423906535453296E-2</v>
          </cell>
          <cell r="O12">
            <v>3.4423906535453297E-2</v>
          </cell>
          <cell r="P12">
            <v>4.423906535453298E-3</v>
          </cell>
          <cell r="Q12">
            <v>-2.5576093464546701E-2</v>
          </cell>
          <cell r="R12">
            <v>-5.55760934645467E-2</v>
          </cell>
          <cell r="S12">
            <v>-8.5576093464546699E-2</v>
          </cell>
          <cell r="T12">
            <v>-9.5576093464546694E-2</v>
          </cell>
          <cell r="U12">
            <v>-9.5576093464546694E-2</v>
          </cell>
          <cell r="V12">
            <v>-0.10557609346454669</v>
          </cell>
        </row>
        <row r="13">
          <cell r="A13" t="str">
            <v>US Revenues</v>
          </cell>
          <cell r="B13" t="str">
            <v>- Minority Interest</v>
          </cell>
          <cell r="E13">
            <v>0</v>
          </cell>
          <cell r="F13">
            <v>0</v>
          </cell>
          <cell r="G13">
            <v>0</v>
          </cell>
          <cell r="H13">
            <v>0</v>
          </cell>
          <cell r="I13">
            <v>0</v>
          </cell>
          <cell r="J13">
            <v>0</v>
          </cell>
          <cell r="K13">
            <v>0</v>
          </cell>
          <cell r="L13">
            <v>0</v>
          </cell>
          <cell r="M13">
            <v>0</v>
          </cell>
          <cell r="N13">
            <v>0</v>
          </cell>
          <cell r="O13">
            <v>294.29164359433821</v>
          </cell>
          <cell r="P13">
            <v>295.59356231976449</v>
          </cell>
          <cell r="Q13">
            <v>288.0334337423559</v>
          </cell>
          <cell r="R13">
            <v>272.02566070777635</v>
          </cell>
          <cell r="S13">
            <v>248.74676734229266</v>
          </cell>
          <cell r="T13">
            <v>224.97252305778181</v>
          </cell>
          <cell r="U13">
            <v>203.47052816705641</v>
          </cell>
          <cell r="V13">
            <v>181.98890466801058</v>
          </cell>
        </row>
        <row r="14">
          <cell r="A14" t="str">
            <v>EU Tests (#)</v>
          </cell>
          <cell r="B14" t="str">
            <v>- Income Taxes</v>
          </cell>
          <cell r="E14">
            <v>198.73021199999999</v>
          </cell>
          <cell r="F14">
            <v>180.05074907887607</v>
          </cell>
          <cell r="G14">
            <v>168.37784127939037</v>
          </cell>
          <cell r="H14">
            <v>172.99284585839081</v>
          </cell>
          <cell r="I14">
            <v>176.45270277555863</v>
          </cell>
          <cell r="J14">
            <v>179.98175683106979</v>
          </cell>
          <cell r="K14">
            <v>183.58139196769119</v>
          </cell>
          <cell r="L14">
            <v>187.25301980704504</v>
          </cell>
          <cell r="M14">
            <v>190.99808020318594</v>
          </cell>
          <cell r="N14">
            <v>194.81804180724967</v>
          </cell>
          <cell r="O14">
            <v>919748.60274064576</v>
          </cell>
          <cell r="P14">
            <v>1088506.7273314381</v>
          </cell>
          <cell r="Q14">
            <v>1244688.8099346617</v>
          </cell>
          <cell r="R14">
            <v>1373492.7955106841</v>
          </cell>
          <cell r="S14">
            <v>1460686.076941008</v>
          </cell>
          <cell r="T14">
            <v>1494987.196113101</v>
          </cell>
          <cell r="U14">
            <v>1524886.940035363</v>
          </cell>
          <cell r="V14">
            <v>1555384.6788360702</v>
          </cell>
        </row>
        <row r="15">
          <cell r="A15" t="str">
            <v>(%) Growth</v>
          </cell>
          <cell r="B15" t="str">
            <v>Tax rate</v>
          </cell>
          <cell r="E15">
            <v>0.372</v>
          </cell>
          <cell r="F15">
            <v>0.30598811244761626</v>
          </cell>
          <cell r="G15">
            <v>0.28224795708627876</v>
          </cell>
          <cell r="H15">
            <v>0.28410715365148748</v>
          </cell>
          <cell r="I15">
            <v>0.28410715365148748</v>
          </cell>
          <cell r="J15">
            <v>0.28410715365148748</v>
          </cell>
          <cell r="K15">
            <v>0.28410715365148748</v>
          </cell>
          <cell r="L15">
            <v>0.28410715365148748</v>
          </cell>
          <cell r="M15">
            <v>0.28410715365148748</v>
          </cell>
          <cell r="N15">
            <v>0.28410715365148748</v>
          </cell>
          <cell r="O15">
            <v>0.22348288226579602</v>
          </cell>
          <cell r="P15">
            <v>0.18348288226579601</v>
          </cell>
          <cell r="Q15">
            <v>0.143482882265796</v>
          </cell>
          <cell r="R15">
            <v>0.10348288226579599</v>
          </cell>
          <cell r="S15">
            <v>6.3482882265795987E-2</v>
          </cell>
          <cell r="T15">
            <v>2.3482882265795986E-2</v>
          </cell>
          <cell r="U15">
            <v>0.02</v>
          </cell>
          <cell r="V15">
            <v>0.02</v>
          </cell>
        </row>
        <row r="16">
          <cell r="A16" t="str">
            <v>EU Revenues</v>
          </cell>
          <cell r="B16" t="str">
            <v>After Tax Earnings</v>
          </cell>
          <cell r="E16">
            <v>335.49078800000001</v>
          </cell>
          <cell r="F16">
            <v>408.37325092112371</v>
          </cell>
          <cell r="G16">
            <v>428.18215872060932</v>
          </cell>
          <cell r="H16">
            <v>435.90715414160951</v>
          </cell>
          <cell r="I16">
            <v>444.62529722444168</v>
          </cell>
          <cell r="J16">
            <v>453.51780316893053</v>
          </cell>
          <cell r="K16">
            <v>462.58815923230918</v>
          </cell>
          <cell r="L16">
            <v>471.83992241695535</v>
          </cell>
          <cell r="M16">
            <v>481.27672086529446</v>
          </cell>
          <cell r="N16">
            <v>490.90225528260044</v>
          </cell>
          <cell r="O16">
            <v>129.40862840560885</v>
          </cell>
          <cell r="P16">
            <v>153.15289653553333</v>
          </cell>
          <cell r="Q16">
            <v>175.12771555780688</v>
          </cell>
          <cell r="R16">
            <v>193.25043632835323</v>
          </cell>
          <cell r="S16">
            <v>205.5185310255998</v>
          </cell>
          <cell r="T16">
            <v>210.34469849311327</v>
          </cell>
          <cell r="U16">
            <v>214.55159246297552</v>
          </cell>
          <cell r="V16">
            <v>218.84262431223505</v>
          </cell>
        </row>
        <row r="17">
          <cell r="A17" t="str">
            <v>ROW Revenues</v>
          </cell>
          <cell r="B17">
            <v>0</v>
          </cell>
          <cell r="G17">
            <v>0</v>
          </cell>
          <cell r="H17">
            <v>0.13432169173626321</v>
          </cell>
          <cell r="I17">
            <v>0.57143805706899775</v>
          </cell>
          <cell r="J17">
            <v>2.3149560743925521</v>
          </cell>
          <cell r="K17">
            <v>4.472871989040847</v>
          </cell>
          <cell r="L17">
            <v>6.6351014205623633</v>
          </cell>
          <cell r="M17">
            <v>8.8016508380749343</v>
          </cell>
          <cell r="N17">
            <v>9.021692109026807</v>
          </cell>
          <cell r="O17">
            <v>9.2472344117524763</v>
          </cell>
          <cell r="P17">
            <v>9.4784152720462878</v>
          </cell>
          <cell r="Q17">
            <v>9.7153756538474436</v>
          </cell>
          <cell r="R17">
            <v>9.9582600451936294</v>
          </cell>
          <cell r="S17">
            <v>10.207216546323469</v>
          </cell>
          <cell r="T17">
            <v>10.462396959981556</v>
          </cell>
          <cell r="U17">
            <v>10.723956883981094</v>
          </cell>
          <cell r="V17">
            <v>10.99205580608062</v>
          </cell>
        </row>
        <row r="18">
          <cell r="B18" t="str">
            <v>+ Depreciation &amp; Amortization</v>
          </cell>
          <cell r="E18">
            <v>48.292999999999999</v>
          </cell>
          <cell r="F18">
            <v>52.591000000000001</v>
          </cell>
          <cell r="G18">
            <v>60.981999999999999</v>
          </cell>
          <cell r="H18">
            <v>62.859000000000002</v>
          </cell>
          <cell r="I18">
            <v>64.11618</v>
          </cell>
          <cell r="J18">
            <v>65.398503599999998</v>
          </cell>
          <cell r="K18">
            <v>66.706473672000001</v>
          </cell>
          <cell r="L18">
            <v>68.040603145440002</v>
          </cell>
          <cell r="M18">
            <v>69.401415208348809</v>
          </cell>
          <cell r="N18">
            <v>70.789443512515788</v>
          </cell>
        </row>
        <row r="19">
          <cell r="A19" t="str">
            <v>Revenue</v>
          </cell>
          <cell r="B19" t="str">
            <v>- Increase in Working Capital</v>
          </cell>
          <cell r="E19">
            <v>-24.190999999999992</v>
          </cell>
          <cell r="F19">
            <v>-55.703999999999986</v>
          </cell>
          <cell r="G19">
            <v>-51.112000000000002</v>
          </cell>
          <cell r="H19">
            <v>-85.744000000000014</v>
          </cell>
          <cell r="I19">
            <v>-71.453333333333347</v>
          </cell>
          <cell r="J19">
            <v>-57.162666666666681</v>
          </cell>
          <cell r="K19">
            <v>-42.872000000000014</v>
          </cell>
          <cell r="L19">
            <v>-28.581333333333347</v>
          </cell>
          <cell r="M19">
            <v>-14.290666666666681</v>
          </cell>
          <cell r="N19">
            <v>0</v>
          </cell>
          <cell r="O19">
            <v>522.8101042508199</v>
          </cell>
          <cell r="P19">
            <v>550.33403691244246</v>
          </cell>
          <cell r="Q19">
            <v>567.28841680873609</v>
          </cell>
          <cell r="R19">
            <v>572.00654623241724</v>
          </cell>
          <cell r="S19">
            <v>563.66400879408729</v>
          </cell>
          <cell r="T19">
            <v>547.45089973774475</v>
          </cell>
          <cell r="U19">
            <v>532.95914077155282</v>
          </cell>
          <cell r="V19">
            <v>518.64197462530444</v>
          </cell>
        </row>
        <row r="20">
          <cell r="A20" t="str">
            <v>% growth</v>
          </cell>
          <cell r="B20" t="str">
            <v>- Capital Expenditures</v>
          </cell>
          <cell r="E20">
            <v>-67.545000000000002</v>
          </cell>
          <cell r="F20">
            <v>-70.927999999999997</v>
          </cell>
          <cell r="G20">
            <v>-61.103000000000002</v>
          </cell>
          <cell r="H20">
            <v>-76.277000000000001</v>
          </cell>
          <cell r="I20">
            <v>-77.802540000000008</v>
          </cell>
          <cell r="J20">
            <v>-79.358590800000016</v>
          </cell>
          <cell r="K20">
            <v>-80.945762616000025</v>
          </cell>
          <cell r="L20">
            <v>-82.564677868320032</v>
          </cell>
          <cell r="M20">
            <v>-84.215971425686433</v>
          </cell>
          <cell r="N20">
            <v>-85.900290854200165</v>
          </cell>
          <cell r="O20">
            <v>7.4556445016386252E-2</v>
          </cell>
          <cell r="P20">
            <v>5.2646137551346728E-2</v>
          </cell>
          <cell r="Q20">
            <v>3.0807434683512103E-2</v>
          </cell>
          <cell r="R20">
            <v>8.3169853003923766E-3</v>
          </cell>
          <cell r="S20">
            <v>-1.4584688747495966E-2</v>
          </cell>
          <cell r="T20">
            <v>-2.8763782685059414E-2</v>
          </cell>
          <cell r="U20">
            <v>-2.6471340120427511E-2</v>
          </cell>
          <cell r="V20">
            <v>-2.6863534276796108E-2</v>
          </cell>
        </row>
        <row r="21">
          <cell r="A21" t="str">
            <v xml:space="preserve">EBIT </v>
          </cell>
          <cell r="B21" t="str">
            <v>Free Cash Flows</v>
          </cell>
          <cell r="E21">
            <v>292.04778800000003</v>
          </cell>
          <cell r="F21">
            <v>334.33225092112372</v>
          </cell>
          <cell r="G21">
            <v>376.94915872060926</v>
          </cell>
          <cell r="H21">
            <v>336.74515414160948</v>
          </cell>
          <cell r="I21">
            <v>359.48560389110833</v>
          </cell>
          <cell r="J21">
            <v>382.39504930226389</v>
          </cell>
          <cell r="K21">
            <v>405.47687028830916</v>
          </cell>
          <cell r="L21">
            <v>428.73451436074203</v>
          </cell>
          <cell r="M21">
            <v>452.17149798129014</v>
          </cell>
          <cell r="N21">
            <v>475.79140794091609</v>
          </cell>
          <cell r="O21">
            <v>109.79012189267219</v>
          </cell>
          <cell r="P21">
            <v>118.32181793617514</v>
          </cell>
          <cell r="Q21">
            <v>124.80345169792196</v>
          </cell>
          <cell r="R21">
            <v>128.70147290229389</v>
          </cell>
          <cell r="S21">
            <v>129.64272202264007</v>
          </cell>
          <cell r="T21">
            <v>128.65096143837002</v>
          </cell>
          <cell r="U21">
            <v>127.91019378517271</v>
          </cell>
          <cell r="V21">
            <v>127.06728378319958</v>
          </cell>
        </row>
        <row r="22">
          <cell r="A22" t="str">
            <v>% margin</v>
          </cell>
          <cell r="B22" t="str">
            <v>% growth</v>
          </cell>
          <cell r="F22">
            <v>0.14478610918677348</v>
          </cell>
          <cell r="G22">
            <v>0.12746873112621082</v>
          </cell>
          <cell r="H22">
            <v>-0.10665630536344706</v>
          </cell>
          <cell r="I22">
            <v>6.753014696667603E-2</v>
          </cell>
          <cell r="J22">
            <v>6.3728408490302257E-2</v>
          </cell>
          <cell r="K22">
            <v>6.0361191987609253E-2</v>
          </cell>
          <cell r="L22">
            <v>5.7358744176692067E-2</v>
          </cell>
          <cell r="M22">
            <v>5.4665493062748816E-2</v>
          </cell>
          <cell r="N22">
            <v>5.2236618329718931E-2</v>
          </cell>
          <cell r="O22">
            <v>0.21000000000000002</v>
          </cell>
          <cell r="P22">
            <v>0.21500000000000002</v>
          </cell>
          <cell r="Q22">
            <v>0.22000000000000003</v>
          </cell>
          <cell r="R22">
            <v>0.22500000000000001</v>
          </cell>
          <cell r="S22">
            <v>0.22999999999999998</v>
          </cell>
          <cell r="T22">
            <v>0.23500000000000001</v>
          </cell>
          <cell r="U22">
            <v>0.24000000000000005</v>
          </cell>
          <cell r="V22">
            <v>0.245</v>
          </cell>
        </row>
        <row r="23">
          <cell r="A23" t="str">
            <v>% opex margin contraction</v>
          </cell>
          <cell r="I23">
            <v>-0.17569707348006114</v>
          </cell>
          <cell r="J23">
            <v>-4.1994766616333973E-2</v>
          </cell>
          <cell r="K23">
            <v>8.0505835928060959E-3</v>
          </cell>
          <cell r="L23">
            <v>6.4603284807631001E-2</v>
          </cell>
          <cell r="M23">
            <v>0</v>
          </cell>
          <cell r="N23">
            <v>-5.0000000000000001E-3</v>
          </cell>
          <cell r="O23">
            <v>-0.01</v>
          </cell>
          <cell r="P23">
            <v>-1.4999999999999999E-2</v>
          </cell>
          <cell r="Q23">
            <v>-0.02</v>
          </cell>
          <cell r="R23">
            <v>-2.5000000000000001E-2</v>
          </cell>
          <cell r="S23">
            <v>-3.0000000000000002E-2</v>
          </cell>
          <cell r="T23">
            <v>-3.5000000000000003E-2</v>
          </cell>
          <cell r="U23">
            <v>-0.04</v>
          </cell>
          <cell r="V23">
            <v>-4.4999999999999998E-2</v>
          </cell>
        </row>
        <row r="24">
          <cell r="A24" t="str">
            <v>% growth</v>
          </cell>
          <cell r="B24" t="str">
            <v>Discount Factor</v>
          </cell>
          <cell r="F24">
            <v>1</v>
          </cell>
          <cell r="G24">
            <v>0.9193681917912373</v>
          </cell>
          <cell r="H24">
            <v>0.84523787207748924</v>
          </cell>
          <cell r="I24">
            <v>0.77708481408535446</v>
          </cell>
          <cell r="J24">
            <v>0.71442706039408199</v>
          </cell>
          <cell r="K24">
            <v>0.65682151468123628</v>
          </cell>
          <cell r="L24">
            <v>0.60386080828206978</v>
          </cell>
          <cell r="M24">
            <v>0.55517041940388145</v>
          </cell>
          <cell r="N24">
            <v>0.51040602462332929</v>
          </cell>
          <cell r="O24">
            <v>0.10076513879727367</v>
          </cell>
          <cell r="P24">
            <v>7.7709140826378809E-2</v>
          </cell>
          <cell r="Q24">
            <v>5.4779700606384596E-2</v>
          </cell>
          <cell r="R24">
            <v>3.1233280420855714E-2</v>
          </cell>
          <cell r="S24">
            <v>7.3134292803374024E-3</v>
          </cell>
          <cell r="T24">
            <v>-7.6499518738649686E-3</v>
          </cell>
          <cell r="U24">
            <v>-5.7579643783087775E-3</v>
          </cell>
          <cell r="V24">
            <v>-6.589857907562946E-3</v>
          </cell>
        </row>
        <row r="25">
          <cell r="A25" t="str">
            <v>Tax rate</v>
          </cell>
          <cell r="B25" t="str">
            <v>Present Value of Free Cash Flows</v>
          </cell>
          <cell r="F25">
            <v>167.16612546056186</v>
          </cell>
          <cell r="G25">
            <v>346.55506645019466</v>
          </cell>
          <cell r="H25">
            <v>284.62975751906009</v>
          </cell>
          <cell r="I25">
            <v>279.35080366608327</v>
          </cell>
          <cell r="J25">
            <v>273.19337098226646</v>
          </cell>
          <cell r="K25">
            <v>266.32593211097441</v>
          </cell>
          <cell r="L25">
            <v>258.89597038029831</v>
          </cell>
          <cell r="M25">
            <v>251.03224017675419</v>
          </cell>
          <cell r="N25">
            <v>242.84680107705972</v>
          </cell>
          <cell r="O25">
            <v>9.399154966528657E-2</v>
          </cell>
          <cell r="P25">
            <v>0.35</v>
          </cell>
          <cell r="Q25">
            <v>0.35</v>
          </cell>
          <cell r="R25">
            <v>0.35</v>
          </cell>
          <cell r="S25">
            <v>0.35</v>
          </cell>
          <cell r="T25">
            <v>0.35</v>
          </cell>
          <cell r="U25">
            <v>0.35</v>
          </cell>
          <cell r="V25">
            <v>0.35</v>
          </cell>
        </row>
        <row r="26">
          <cell r="A26" t="str">
            <v>EBIAT</v>
          </cell>
          <cell r="B26">
            <v>-25.268172499999991</v>
          </cell>
          <cell r="G26">
            <v>0.71076800000000162</v>
          </cell>
          <cell r="H26">
            <v>-65.413407326659325</v>
          </cell>
          <cell r="I26">
            <v>-41.147982822746997</v>
          </cell>
          <cell r="J26">
            <v>-13.345749982193411</v>
          </cell>
          <cell r="K26">
            <v>2.9984231799963936</v>
          </cell>
          <cell r="L26">
            <v>30.002951018965518</v>
          </cell>
          <cell r="M26">
            <v>34.857515777114571</v>
          </cell>
          <cell r="N26">
            <v>99.739824621110273</v>
          </cell>
          <cell r="O26">
            <v>99.470778198039227</v>
          </cell>
          <cell r="P26">
            <v>76.909181658513845</v>
          </cell>
          <cell r="Q26">
            <v>81.122243603649281</v>
          </cell>
          <cell r="R26">
            <v>83.655957386491025</v>
          </cell>
          <cell r="S26">
            <v>84.267769314716048</v>
          </cell>
          <cell r="T26">
            <v>83.62312493494052</v>
          </cell>
          <cell r="U26">
            <v>83.141625960362262</v>
          </cell>
          <cell r="V26">
            <v>82.593734459079727</v>
          </cell>
        </row>
        <row r="27">
          <cell r="A27" t="str">
            <v>+ Depreciation</v>
          </cell>
          <cell r="B27">
            <v>0</v>
          </cell>
          <cell r="F27" t="str">
            <v>% of total</v>
          </cell>
          <cell r="G27">
            <v>5.1483333333333334</v>
          </cell>
          <cell r="H27">
            <v>6.6867286646458126</v>
          </cell>
          <cell r="I27">
            <v>8.7024605674256694</v>
          </cell>
          <cell r="J27">
            <v>10.039638182899207</v>
          </cell>
          <cell r="K27">
            <v>11.052163177304902</v>
          </cell>
          <cell r="L27">
            <v>14.30595503781705</v>
          </cell>
          <cell r="M27">
            <v>18.139983282922962</v>
          </cell>
          <cell r="N27">
            <v>24.280604612854187</v>
          </cell>
          <cell r="O27">
            <v>24.326786492953726</v>
          </cell>
          <cell r="P27">
            <v>26.140505212540997</v>
          </cell>
          <cell r="Q27">
            <v>27.516701845622123</v>
          </cell>
          <cell r="R27">
            <v>28.364420840436807</v>
          </cell>
          <cell r="S27">
            <v>28.600327311620863</v>
          </cell>
          <cell r="T27">
            <v>28.183200439704365</v>
          </cell>
          <cell r="U27">
            <v>27.372544986887238</v>
          </cell>
          <cell r="V27">
            <v>26.647957038577644</v>
          </cell>
        </row>
        <row r="28">
          <cell r="A28" t="str">
            <v>- Capital Expenditures</v>
          </cell>
          <cell r="B28" t="str">
            <v>Sum of PV of Free Cash Flows</v>
          </cell>
          <cell r="E28">
            <v>2369.9960678232533</v>
          </cell>
          <cell r="F28">
            <v>0.39370870367221428</v>
          </cell>
          <cell r="G28">
            <v>-9.9570000000000007</v>
          </cell>
          <cell r="H28">
            <v>-9.9274047569723294</v>
          </cell>
          <cell r="I28">
            <v>-5.8549613274316519</v>
          </cell>
          <cell r="J28">
            <v>-12.711822026892795</v>
          </cell>
          <cell r="K28">
            <v>-14.897917128272528</v>
          </cell>
          <cell r="L28">
            <v>-18.576734052025508</v>
          </cell>
          <cell r="M28">
            <v>-19.424483690283349</v>
          </cell>
          <cell r="N28">
            <v>-19.461429194362978</v>
          </cell>
          <cell r="O28">
            <v>-20.912404170032797</v>
          </cell>
          <cell r="P28">
            <v>-22.0133614764977</v>
          </cell>
          <cell r="Q28">
            <v>-22.691536672349443</v>
          </cell>
          <cell r="R28">
            <v>-22.880261849296691</v>
          </cell>
          <cell r="S28">
            <v>-22.546560351763492</v>
          </cell>
          <cell r="T28">
            <v>-21.89803598950979</v>
          </cell>
          <cell r="U28">
            <v>-21.318365630862115</v>
          </cell>
          <cell r="V28">
            <v>-20.745678985012177</v>
          </cell>
        </row>
        <row r="29">
          <cell r="A29" t="str">
            <v>- Change in Net Working Capital</v>
          </cell>
          <cell r="B29" t="str">
            <v>+ PV of Terminal Value</v>
          </cell>
          <cell r="E29">
            <v>3649.6729049927876</v>
          </cell>
          <cell r="F29">
            <v>0.60629129632778567</v>
          </cell>
          <cell r="G29">
            <v>3.4313333333333338</v>
          </cell>
          <cell r="H29">
            <v>-0.27723161638499727</v>
          </cell>
          <cell r="I29">
            <v>-30.476254778467876</v>
          </cell>
          <cell r="J29">
            <v>-21.179316897188954</v>
          </cell>
          <cell r="K29">
            <v>-12.522198317330606</v>
          </cell>
          <cell r="L29">
            <v>-18.222798097553095</v>
          </cell>
          <cell r="M29">
            <v>1.6666162155951043</v>
          </cell>
          <cell r="N29">
            <v>2.4326786492953723</v>
          </cell>
          <cell r="O29">
            <v>2.6140505212540996</v>
          </cell>
          <cell r="P29">
            <v>2.7516701845622125</v>
          </cell>
          <cell r="Q29">
            <v>2.8364420840436804</v>
          </cell>
          <cell r="R29">
            <v>2.8600327311620863</v>
          </cell>
          <cell r="S29">
            <v>2.8183200439704366</v>
          </cell>
          <cell r="T29">
            <v>2.7372544986887237</v>
          </cell>
          <cell r="U29">
            <v>2.6647957038577643</v>
          </cell>
          <cell r="V29">
            <v>2.5932098731265221</v>
          </cell>
        </row>
        <row r="30">
          <cell r="A30" t="str">
            <v>Free Cash Flows</v>
          </cell>
          <cell r="B30" t="str">
            <v>+ PV of Tax Benefits</v>
          </cell>
          <cell r="E30">
            <v>0</v>
          </cell>
          <cell r="F30">
            <v>0</v>
          </cell>
          <cell r="G30">
            <v>-0.6665653333333319</v>
          </cell>
          <cell r="H30">
            <v>-68.931315035370829</v>
          </cell>
          <cell r="I30">
            <v>-68.77673836122085</v>
          </cell>
          <cell r="J30">
            <v>-37.197250723375952</v>
          </cell>
          <cell r="K30">
            <v>-13.369529088301839</v>
          </cell>
          <cell r="L30">
            <v>7.5093739072039654</v>
          </cell>
          <cell r="M30">
            <v>35.239631585349294</v>
          </cell>
          <cell r="N30">
            <v>106.99167868889685</v>
          </cell>
          <cell r="O30">
            <v>105.49921104221426</v>
          </cell>
          <cell r="P30">
            <v>83.787995579119354</v>
          </cell>
          <cell r="Q30">
            <v>88.783850860965643</v>
          </cell>
          <cell r="R30">
            <v>92.000149108793238</v>
          </cell>
          <cell r="S30">
            <v>93.139856318543849</v>
          </cell>
          <cell r="T30">
            <v>92.645543883823819</v>
          </cell>
          <cell r="U30">
            <v>91.860601020245142</v>
          </cell>
          <cell r="V30">
            <v>91.08922238577172</v>
          </cell>
          <cell r="W30">
            <v>1168.1408999966952</v>
          </cell>
        </row>
        <row r="31">
          <cell r="A31" t="str">
            <v>PV of Free Cash Flows</v>
          </cell>
          <cell r="B31" t="str">
            <v>+ MV of Equity Investments</v>
          </cell>
          <cell r="E31">
            <v>0</v>
          </cell>
          <cell r="F31">
            <v>0</v>
          </cell>
          <cell r="I31">
            <v>-65.589837260054907</v>
          </cell>
          <cell r="J31">
            <v>-32.262333298577964</v>
          </cell>
          <cell r="K31">
            <v>-10.546078417810282</v>
          </cell>
          <cell r="L31">
            <v>5.3872678578303361</v>
          </cell>
          <cell r="M31">
            <v>22.992497815241943</v>
          </cell>
          <cell r="N31">
            <v>63.488453805958123</v>
          </cell>
          <cell r="O31">
            <v>56.935601741950428</v>
          </cell>
          <cell r="P31">
            <v>41.125051857515807</v>
          </cell>
          <cell r="Q31">
            <v>39.632237312081607</v>
          </cell>
          <cell r="R31">
            <v>37.350214247962789</v>
          </cell>
          <cell r="S31">
            <v>34.389834364985788</v>
          </cell>
          <cell r="T31">
            <v>31.110644628737433</v>
          </cell>
          <cell r="U31">
            <v>28.054576146018771</v>
          </cell>
          <cell r="V31">
            <v>25.300632478480818</v>
          </cell>
        </row>
        <row r="32">
          <cell r="B32" t="str">
            <v>Enterprise Value</v>
          </cell>
          <cell r="E32">
            <v>6019.6689728160409</v>
          </cell>
        </row>
        <row r="33">
          <cell r="A33" t="str">
            <v>Beginning NOL</v>
          </cell>
          <cell r="H33">
            <v>98.699999999999989</v>
          </cell>
          <cell r="I33">
            <v>173.58567080527848</v>
          </cell>
          <cell r="J33">
            <v>218.30969718133832</v>
          </cell>
          <cell r="K33">
            <v>250.06543099099147</v>
          </cell>
          <cell r="L33">
            <v>244.9065741823398</v>
          </cell>
          <cell r="M33">
            <v>214.90362316337428</v>
          </cell>
          <cell r="N33">
            <v>180.04610738625971</v>
          </cell>
          <cell r="O33">
            <v>80.306282765149433</v>
          </cell>
          <cell r="P33">
            <v>0</v>
          </cell>
          <cell r="Q33">
            <v>0</v>
          </cell>
          <cell r="R33">
            <v>0</v>
          </cell>
          <cell r="S33">
            <v>0</v>
          </cell>
          <cell r="T33">
            <v>0</v>
          </cell>
          <cell r="U33">
            <v>0</v>
          </cell>
          <cell r="V33">
            <v>0</v>
          </cell>
        </row>
        <row r="34">
          <cell r="A34" t="str">
            <v>Additions to NOL</v>
          </cell>
          <cell r="B34" t="str">
            <v>- Net Debt</v>
          </cell>
          <cell r="E34">
            <v>-441.72400000000005</v>
          </cell>
          <cell r="G34">
            <v>0</v>
          </cell>
          <cell r="H34">
            <v>74.885670805278494</v>
          </cell>
          <cell r="I34">
            <v>44.72402637605984</v>
          </cell>
          <cell r="J34">
            <v>18.409983827459751</v>
          </cell>
          <cell r="K34">
            <v>3.0011431913483229</v>
          </cell>
          <cell r="L34">
            <v>0</v>
          </cell>
          <cell r="M34">
            <v>0</v>
          </cell>
          <cell r="N34">
            <v>0</v>
          </cell>
          <cell r="O34">
            <v>0</v>
          </cell>
          <cell r="P34">
            <v>0</v>
          </cell>
          <cell r="Q34">
            <v>0</v>
          </cell>
          <cell r="R34">
            <v>0</v>
          </cell>
          <cell r="S34">
            <v>0</v>
          </cell>
          <cell r="T34">
            <v>0</v>
          </cell>
          <cell r="U34">
            <v>0</v>
          </cell>
          <cell r="V34">
            <v>0</v>
          </cell>
        </row>
        <row r="35">
          <cell r="A35" t="str">
            <v>Use of NOL</v>
          </cell>
          <cell r="B35" t="str">
            <v>Equity Value</v>
          </cell>
          <cell r="E35">
            <v>6461.392972816041</v>
          </cell>
          <cell r="G35">
            <v>0</v>
          </cell>
          <cell r="H35">
            <v>0</v>
          </cell>
          <cell r="I35">
            <v>0</v>
          </cell>
          <cell r="J35">
            <v>13.345749982193411</v>
          </cell>
          <cell r="K35">
            <v>-2.9984231799963936</v>
          </cell>
          <cell r="L35">
            <v>-30.002951018965518</v>
          </cell>
          <cell r="M35">
            <v>-34.857515777114571</v>
          </cell>
          <cell r="N35">
            <v>-99.739824621110273</v>
          </cell>
          <cell r="O35">
            <v>-80.306282765149433</v>
          </cell>
          <cell r="P35">
            <v>0</v>
          </cell>
          <cell r="Q35">
            <v>0</v>
          </cell>
          <cell r="R35">
            <v>0</v>
          </cell>
          <cell r="S35">
            <v>0</v>
          </cell>
          <cell r="T35">
            <v>0</v>
          </cell>
          <cell r="U35">
            <v>0</v>
          </cell>
          <cell r="V35">
            <v>0</v>
          </cell>
        </row>
        <row r="36">
          <cell r="A36" t="str">
            <v>Expired NOL</v>
          </cell>
          <cell r="B36" t="str">
            <v>Shares Outstanding</v>
          </cell>
          <cell r="E36">
            <v>120.386</v>
          </cell>
          <cell r="G36">
            <v>0</v>
          </cell>
          <cell r="H36">
            <v>0</v>
          </cell>
          <cell r="I36">
            <v>0</v>
          </cell>
          <cell r="J36">
            <v>0</v>
          </cell>
          <cell r="K36">
            <v>-5.1615768200036065</v>
          </cell>
          <cell r="L36">
            <v>0</v>
          </cell>
          <cell r="M36">
            <v>0</v>
          </cell>
          <cell r="N36">
            <v>0</v>
          </cell>
          <cell r="O36">
            <v>0</v>
          </cell>
          <cell r="P36">
            <v>0</v>
          </cell>
          <cell r="Q36">
            <v>0</v>
          </cell>
          <cell r="R36">
            <v>0</v>
          </cell>
          <cell r="S36">
            <v>0</v>
          </cell>
          <cell r="T36">
            <v>0</v>
          </cell>
          <cell r="U36">
            <v>0</v>
          </cell>
          <cell r="V36">
            <v>-11.58</v>
          </cell>
        </row>
        <row r="37">
          <cell r="A37" t="str">
            <v>Scheduled Expiry of NOL</v>
          </cell>
          <cell r="B37" t="str">
            <v>Equity Value / share</v>
          </cell>
          <cell r="E37">
            <v>53.672295556094902</v>
          </cell>
          <cell r="G37">
            <v>0</v>
          </cell>
          <cell r="H37">
            <v>0</v>
          </cell>
          <cell r="I37">
            <v>0</v>
          </cell>
          <cell r="J37">
            <v>0</v>
          </cell>
          <cell r="K37">
            <v>-8.16</v>
          </cell>
          <cell r="L37">
            <v>0</v>
          </cell>
          <cell r="M37">
            <v>0</v>
          </cell>
          <cell r="N37">
            <v>0</v>
          </cell>
          <cell r="O37">
            <v>0</v>
          </cell>
          <cell r="P37">
            <v>0</v>
          </cell>
          <cell r="Q37">
            <v>0</v>
          </cell>
          <cell r="R37">
            <v>0</v>
          </cell>
          <cell r="S37">
            <v>0</v>
          </cell>
          <cell r="T37">
            <v>-11.58</v>
          </cell>
          <cell r="U37">
            <v>-11.58</v>
          </cell>
          <cell r="V37">
            <v>-11.58</v>
          </cell>
        </row>
        <row r="38">
          <cell r="A38" t="str">
            <v>Ending NOL</v>
          </cell>
          <cell r="G38">
            <v>98.699999999999989</v>
          </cell>
          <cell r="H38">
            <v>173.58567080527848</v>
          </cell>
          <cell r="I38">
            <v>218.30969718133832</v>
          </cell>
          <cell r="J38">
            <v>250.06543099099147</v>
          </cell>
          <cell r="K38">
            <v>244.9065741823398</v>
          </cell>
          <cell r="L38">
            <v>214.90362316337428</v>
          </cell>
          <cell r="M38">
            <v>180.04610738625971</v>
          </cell>
          <cell r="N38">
            <v>80.306282765149433</v>
          </cell>
          <cell r="O38">
            <v>0</v>
          </cell>
          <cell r="P38">
            <v>0</v>
          </cell>
          <cell r="Q38">
            <v>0</v>
          </cell>
          <cell r="R38">
            <v>0</v>
          </cell>
          <cell r="S38">
            <v>0</v>
          </cell>
          <cell r="T38">
            <v>0</v>
          </cell>
          <cell r="U38">
            <v>0</v>
          </cell>
          <cell r="V38">
            <v>-11.58</v>
          </cell>
        </row>
        <row r="40">
          <cell r="B40" t="str">
            <v>Weighted Average Cost of Debt &amp; Equity Capital (WACC)</v>
          </cell>
        </row>
        <row r="41">
          <cell r="A41" t="str">
            <v>Assumptions</v>
          </cell>
          <cell r="B41" t="str">
            <v>Levered Beta</v>
          </cell>
          <cell r="E41">
            <v>1.05</v>
          </cell>
          <cell r="H41" t="str">
            <v>DCF Per Share</v>
          </cell>
        </row>
        <row r="42">
          <cell r="A42" t="str">
            <v>Legacy &amp; Other Product Growth</v>
          </cell>
          <cell r="B42" t="str">
            <v>Risk-free Interest Rate (10-year Treasury)</v>
          </cell>
          <cell r="E42">
            <v>0.03</v>
          </cell>
          <cell r="H42" t="str">
            <v>Aggregate Value</v>
          </cell>
          <cell r="K42">
            <v>576.52697258150897</v>
          </cell>
        </row>
        <row r="43">
          <cell r="A43" t="str">
            <v>NIPT Test International ASP</v>
          </cell>
          <cell r="B43" t="str">
            <v>Market Risk Premium</v>
          </cell>
          <cell r="E43">
            <v>0.06</v>
          </cell>
          <cell r="H43" t="str">
            <v>Less: Debt (CYE15)</v>
          </cell>
          <cell r="K43">
            <v>26.596</v>
          </cell>
        </row>
        <row r="44">
          <cell r="A44" t="str">
            <v>NIPT Test US ASP</v>
          </cell>
          <cell r="B44" t="str">
            <v>Cost of Equity:</v>
          </cell>
          <cell r="E44">
            <v>9.2999999999999999E-2</v>
          </cell>
          <cell r="H44" t="str">
            <v>Add: Cash (CYE15)</v>
          </cell>
          <cell r="K44">
            <v>189.85798547558429</v>
          </cell>
        </row>
        <row r="45">
          <cell r="A45" t="str">
            <v>Annual Price Increase</v>
          </cell>
          <cell r="B45" t="str">
            <v>Marginal Cost of Debt</v>
          </cell>
          <cell r="E45">
            <v>6.3750000000000001E-2</v>
          </cell>
          <cell r="H45" t="str">
            <v>Equity Value</v>
          </cell>
          <cell r="K45">
            <v>739.78895805709328</v>
          </cell>
        </row>
        <row r="46">
          <cell r="A46" t="str">
            <v>US/ EU NIPT Penetration Rate</v>
          </cell>
          <cell r="B46" t="str">
            <v>Marginal Tax Rate</v>
          </cell>
          <cell r="E46">
            <v>0.372</v>
          </cell>
          <cell r="H46" t="str">
            <v>Fully Diluted Shares</v>
          </cell>
          <cell r="K46">
            <v>36.615337423312887</v>
          </cell>
        </row>
        <row r="47">
          <cell r="A47" t="str">
            <v>EU NIPT Penetration Growth Rate</v>
          </cell>
          <cell r="B47" t="str">
            <v>After-tax Cost of Debt:</v>
          </cell>
          <cell r="E47">
            <v>4.0035000000000001E-2</v>
          </cell>
          <cell r="H47" t="str">
            <v>DCF Value per Share (15E)</v>
          </cell>
          <cell r="K47">
            <v>20.204346323627529</v>
          </cell>
        </row>
        <row r="48">
          <cell r="A48" t="str">
            <v>ROW NIPT Revenues Growth Rate</v>
          </cell>
          <cell r="B48" t="str">
            <v>Target Debt Ratio</v>
          </cell>
          <cell r="E48">
            <v>0.1</v>
          </cell>
          <cell r="H48" t="str">
            <v>DCF Implied Share Price YE 15</v>
          </cell>
          <cell r="K48">
            <v>20.204346323627529</v>
          </cell>
        </row>
        <row r="49">
          <cell r="A49" t="str">
            <v>Legacy Business Gross Margin</v>
          </cell>
          <cell r="B49" t="str">
            <v>Target Equity Ratio</v>
          </cell>
          <cell r="E49">
            <v>0.9</v>
          </cell>
          <cell r="H49" t="str">
            <v>Current Share Price</v>
          </cell>
          <cell r="K49" t="str">
            <v xml:space="preserve">$11.93 </v>
          </cell>
        </row>
        <row r="50">
          <cell r="A50" t="str">
            <v>NIPT Gross Margin</v>
          </cell>
          <cell r="B50" t="str">
            <v>Weighted Average Cost of Capital</v>
          </cell>
          <cell r="E50">
            <v>8.770349999999999E-2</v>
          </cell>
        </row>
        <row r="51">
          <cell r="A51" t="str">
            <v>Other Opex (2019E)</v>
          </cell>
          <cell r="B51">
            <v>0.6</v>
          </cell>
        </row>
        <row r="52">
          <cell r="A52" t="str">
            <v>Other Opex % Expansion/ Yr</v>
          </cell>
          <cell r="B52" t="str">
            <v>Growth Rates</v>
          </cell>
        </row>
        <row r="53">
          <cell r="A53" t="str">
            <v>Depreciation (% of revenues)</v>
          </cell>
          <cell r="B53" t="str">
            <v>Growth Rate (Years 2014 - 2019)</v>
          </cell>
          <cell r="E53">
            <v>0.02</v>
          </cell>
        </row>
        <row r="54">
          <cell r="A54" t="str">
            <v>Capex (% of revenues)</v>
          </cell>
          <cell r="B54" t="str">
            <v>Terminal Growth Rate</v>
          </cell>
          <cell r="E54">
            <v>2.5000000000000001E-2</v>
          </cell>
        </row>
        <row r="55">
          <cell r="A55" t="str">
            <v>Working Capital (% of revenues)</v>
          </cell>
          <cell r="B55">
            <v>5.0000000000000001E-3</v>
          </cell>
        </row>
        <row r="56">
          <cell r="A56" t="str">
            <v>Perpetual Growth Rate in FCF</v>
          </cell>
          <cell r="B56">
            <v>0.02</v>
          </cell>
        </row>
        <row r="58">
          <cell r="A58" t="str">
            <v>Calculations</v>
          </cell>
        </row>
        <row r="59">
          <cell r="A59" t="str">
            <v>Discount Rate</v>
          </cell>
          <cell r="B59">
            <v>9.9537500000000001E-2</v>
          </cell>
          <cell r="Q59" t="str">
            <v>Sensitivity Analysis</v>
          </cell>
        </row>
        <row r="60">
          <cell r="A60" t="str">
            <v>Total Discounted Value of  FCF</v>
          </cell>
          <cell r="B60">
            <v>252.06813080183983</v>
          </cell>
          <cell r="T60" t="str">
            <v>WACC</v>
          </cell>
        </row>
        <row r="61">
          <cell r="A61" t="str">
            <v>Terminal Value</v>
          </cell>
          <cell r="B61">
            <v>1168.1408999966952</v>
          </cell>
          <cell r="Q61">
            <v>53.672295556094902</v>
          </cell>
          <cell r="R61">
            <v>0.09</v>
          </cell>
          <cell r="S61">
            <v>9.5000000000000001E-2</v>
          </cell>
          <cell r="T61">
            <v>0.1</v>
          </cell>
          <cell r="U61">
            <v>8.7999999999999995E-2</v>
          </cell>
          <cell r="V61">
            <v>9.2999999999999999E-2</v>
          </cell>
          <cell r="W61">
            <v>0.115</v>
          </cell>
        </row>
        <row r="62">
          <cell r="A62" t="str">
            <v>Discounted Terminal Value</v>
          </cell>
          <cell r="B62">
            <v>324.45884177966911</v>
          </cell>
          <cell r="P62" t="str">
            <v>Terminal Growth</v>
          </cell>
          <cell r="Q62">
            <v>2.5000000000000001E-2</v>
          </cell>
          <cell r="R62">
            <v>51.887018176531456</v>
          </cell>
          <cell r="S62">
            <v>48.412139464031476</v>
          </cell>
          <cell r="T62">
            <v>45.408955534136147</v>
          </cell>
          <cell r="U62">
            <v>53.434353126036108</v>
          </cell>
          <cell r="V62">
            <v>49.739626170270782</v>
          </cell>
          <cell r="W62">
            <v>38.439072829097505</v>
          </cell>
        </row>
        <row r="63">
          <cell r="Q63">
            <v>2.75E-2</v>
          </cell>
          <cell r="R63">
            <v>53.10762350530635</v>
          </cell>
          <cell r="S63">
            <v>49.423872317581022</v>
          </cell>
          <cell r="T63">
            <v>46.256651014993871</v>
          </cell>
          <cell r="U63">
            <v>54.754595088224242</v>
          </cell>
          <cell r="V63">
            <v>50.828729562729251</v>
          </cell>
          <cell r="W63">
            <v>38.964280569000323</v>
          </cell>
        </row>
        <row r="64">
          <cell r="A64" t="str">
            <v>WACC</v>
          </cell>
          <cell r="Q64">
            <v>2.5000000000000001E-2</v>
          </cell>
          <cell r="R64">
            <v>51.887018176531456</v>
          </cell>
          <cell r="S64">
            <v>48.412139464031476</v>
          </cell>
          <cell r="T64">
            <v>45.408955534136147</v>
          </cell>
          <cell r="U64">
            <v>53.434353126036108</v>
          </cell>
          <cell r="V64">
            <v>49.739626170270782</v>
          </cell>
          <cell r="W64">
            <v>38.439072829097505</v>
          </cell>
        </row>
        <row r="65">
          <cell r="A65" t="str">
            <v>10 year Risk-free rate</v>
          </cell>
          <cell r="B65">
            <v>2.2499999999999999E-2</v>
          </cell>
          <cell r="Q65">
            <v>3.2500000000000001E-2</v>
          </cell>
          <cell r="R65">
            <v>55.867252944275641</v>
          </cell>
          <cell r="S65">
            <v>51.690153909532008</v>
          </cell>
          <cell r="T65">
            <v>48.140418750233231</v>
          </cell>
          <cell r="U65">
            <v>57.751901164543227</v>
          </cell>
          <cell r="V65">
            <v>53.276961982139994</v>
          </cell>
          <cell r="W65">
            <v>40.110188365151942</v>
          </cell>
        </row>
        <row r="66">
          <cell r="A66" t="str">
            <v>Equity Risk Premium</v>
          </cell>
          <cell r="B66">
            <v>0.05</v>
          </cell>
          <cell r="Q66">
            <v>3.5000000000000003E-2</v>
          </cell>
          <cell r="R66">
            <v>57.435224216417296</v>
          </cell>
          <cell r="S66">
            <v>52.964937305004426</v>
          </cell>
          <cell r="T66">
            <v>49.190981525655189</v>
          </cell>
          <cell r="U66">
            <v>59.462627745838496</v>
          </cell>
          <cell r="V66">
            <v>54.6593690810314</v>
          </cell>
          <cell r="W66">
            <v>40.736856691172356</v>
          </cell>
        </row>
        <row r="67">
          <cell r="A67" t="str">
            <v>Beta</v>
          </cell>
          <cell r="B67">
            <v>1.25</v>
          </cell>
          <cell r="Q67">
            <v>3.7499999999999999E-2</v>
          </cell>
          <cell r="R67">
            <v>59.152526085905762</v>
          </cell>
          <cell r="S67">
            <v>54.350571430517952</v>
          </cell>
          <cell r="T67">
            <v>50.325589323110904</v>
          </cell>
          <cell r="U67">
            <v>61.342733196568943</v>
          </cell>
          <cell r="V67">
            <v>56.166317360003127</v>
          </cell>
          <cell r="W67">
            <v>41.403955231774738</v>
          </cell>
        </row>
        <row r="68">
          <cell r="A68" t="str">
            <v>Size Premium</v>
          </cell>
          <cell r="B68">
            <v>0.02</v>
          </cell>
          <cell r="Q68">
            <v>0.04</v>
          </cell>
          <cell r="R68">
            <v>61.041558142343078</v>
          </cell>
          <cell r="S68">
            <v>55.862172294714497</v>
          </cell>
          <cell r="T68">
            <v>51.554747770354581</v>
          </cell>
          <cell r="U68">
            <v>63.418682965083818</v>
          </cell>
          <cell r="V68">
            <v>57.815430570953311</v>
          </cell>
          <cell r="W68">
            <v>42.115527008417274</v>
          </cell>
        </row>
        <row r="69">
          <cell r="A69" t="str">
            <v xml:space="preserve">   Cost of Equity</v>
          </cell>
          <cell r="B69">
            <v>0.105</v>
          </cell>
        </row>
        <row r="70">
          <cell r="A70" t="str">
            <v>Debt Spread</v>
          </cell>
          <cell r="B70">
            <v>5.5E-2</v>
          </cell>
        </row>
        <row r="71">
          <cell r="A71" t="str">
            <v>Tax rate</v>
          </cell>
          <cell r="B71">
            <v>0.35</v>
          </cell>
        </row>
        <row r="72">
          <cell r="A72" t="str">
            <v xml:space="preserve">   After Tax Cost of Debt</v>
          </cell>
          <cell r="B72">
            <v>5.0375000000000003E-2</v>
          </cell>
        </row>
        <row r="73">
          <cell r="A73" t="str">
            <v>Debt Ratio</v>
          </cell>
          <cell r="B73">
            <v>9.9999999999999978E-2</v>
          </cell>
        </row>
        <row r="74">
          <cell r="A74" t="str">
            <v>Equity Ratio</v>
          </cell>
          <cell r="B74">
            <v>0.9</v>
          </cell>
        </row>
        <row r="75">
          <cell r="A75" t="str">
            <v xml:space="preserve">   WACC</v>
          </cell>
          <cell r="B75">
            <v>9.9537500000000001E-2</v>
          </cell>
        </row>
        <row r="77">
          <cell r="A77" t="str">
            <v>Options &amp; Diluted Share Count Calculation</v>
          </cell>
        </row>
        <row r="78">
          <cell r="B78" t="str">
            <v>Number</v>
          </cell>
          <cell r="C78" t="str">
            <v>Strike</v>
          </cell>
          <cell r="D78" t="str">
            <v>Dilution</v>
          </cell>
          <cell r="E78" t="str">
            <v>Total</v>
          </cell>
        </row>
        <row r="79">
          <cell r="A79" t="str">
            <v>Out. Shrs</v>
          </cell>
          <cell r="E79">
            <v>36.615337423312887</v>
          </cell>
        </row>
        <row r="80">
          <cell r="A80" t="str">
            <v>Options</v>
          </cell>
          <cell r="B80">
            <v>0</v>
          </cell>
          <cell r="C80">
            <v>0</v>
          </cell>
          <cell r="D80">
            <v>0</v>
          </cell>
          <cell r="E80">
            <v>36.615337423312887</v>
          </cell>
        </row>
        <row r="81">
          <cell r="A81" t="str">
            <v>Warrants</v>
          </cell>
          <cell r="B81">
            <v>0</v>
          </cell>
          <cell r="C81">
            <v>0</v>
          </cell>
          <cell r="D81">
            <v>0</v>
          </cell>
          <cell r="E81">
            <v>36.615337423312887</v>
          </cell>
        </row>
        <row r="92">
          <cell r="B92">
            <v>2013</v>
          </cell>
          <cell r="C92" t="str">
            <v>2014Q1</v>
          </cell>
          <cell r="D92" t="str">
            <v>2014Q2</v>
          </cell>
          <cell r="E92" t="str">
            <v>2014Q3</v>
          </cell>
          <cell r="F92" t="str">
            <v>2014Q4</v>
          </cell>
          <cell r="G92" t="str">
            <v>2H14</v>
          </cell>
          <cell r="H92">
            <v>2015</v>
          </cell>
          <cell r="I92">
            <v>2016</v>
          </cell>
          <cell r="J92">
            <v>2017</v>
          </cell>
          <cell r="K92">
            <v>2018</v>
          </cell>
          <cell r="L92">
            <v>2019</v>
          </cell>
          <cell r="M92">
            <v>2020</v>
          </cell>
          <cell r="N92">
            <v>2021</v>
          </cell>
          <cell r="O92">
            <v>2022</v>
          </cell>
          <cell r="P92">
            <v>2023</v>
          </cell>
          <cell r="Q92">
            <v>2024</v>
          </cell>
          <cell r="R92">
            <v>2025</v>
          </cell>
          <cell r="S92">
            <v>2026</v>
          </cell>
          <cell r="T92">
            <v>2027</v>
          </cell>
          <cell r="U92">
            <v>2028</v>
          </cell>
          <cell r="V92">
            <v>2029</v>
          </cell>
          <cell r="W92" t="str">
            <v>Terminal</v>
          </cell>
        </row>
        <row r="93">
          <cell r="A93" t="str">
            <v>Revenue</v>
          </cell>
          <cell r="B93">
            <v>159.334788</v>
          </cell>
          <cell r="C93">
            <v>0</v>
          </cell>
          <cell r="D93">
            <v>0</v>
          </cell>
          <cell r="E93">
            <v>0</v>
          </cell>
          <cell r="F93">
            <v>0</v>
          </cell>
          <cell r="G93">
            <v>43.175708</v>
          </cell>
          <cell r="H93">
            <v>106.71110311097181</v>
          </cell>
          <cell r="I93">
            <v>54.087418221943615</v>
          </cell>
          <cell r="J93">
            <v>59.49616004413798</v>
          </cell>
          <cell r="K93">
            <v>63.778300254390658</v>
          </cell>
          <cell r="L93">
            <v>66.967215267110191</v>
          </cell>
          <cell r="M93">
            <v>70.315576030465706</v>
          </cell>
          <cell r="N93">
            <v>73.128199071684335</v>
          </cell>
          <cell r="O93">
            <v>76.053327034551714</v>
          </cell>
          <cell r="P93">
            <v>79.09546011593379</v>
          </cell>
          <cell r="Q93">
            <v>81.468323919411802</v>
          </cell>
          <cell r="R93">
            <v>83.912373636994161</v>
          </cell>
          <cell r="S93">
            <v>86.429744846103986</v>
          </cell>
          <cell r="T93">
            <v>88.158339743026062</v>
          </cell>
          <cell r="U93">
            <v>89.921506537886586</v>
          </cell>
          <cell r="V93">
            <v>91.719936668644323</v>
          </cell>
        </row>
        <row r="94">
          <cell r="H94">
            <v>-0.33027115766475423</v>
          </cell>
          <cell r="I94">
            <v>-0.49314160715125754</v>
          </cell>
          <cell r="J94">
            <v>0.1</v>
          </cell>
          <cell r="K94">
            <v>7.1973387981273479E-2</v>
          </cell>
          <cell r="L94">
            <v>0.05</v>
          </cell>
          <cell r="M94">
            <v>0.05</v>
          </cell>
          <cell r="N94">
            <v>0.04</v>
          </cell>
          <cell r="O94">
            <v>0.04</v>
          </cell>
          <cell r="P94">
            <v>0.04</v>
          </cell>
          <cell r="Q94">
            <v>0.03</v>
          </cell>
          <cell r="R94">
            <v>0.03</v>
          </cell>
          <cell r="S94">
            <v>0.03</v>
          </cell>
          <cell r="T94">
            <v>0.02</v>
          </cell>
          <cell r="U94">
            <v>0.02</v>
          </cell>
          <cell r="V94">
            <v>0.02</v>
          </cell>
        </row>
        <row r="95">
          <cell r="A95" t="str">
            <v>EBIT</v>
          </cell>
          <cell r="B95">
            <v>-72.975140864706589</v>
          </cell>
          <cell r="C95">
            <v>0</v>
          </cell>
          <cell r="D95">
            <v>0</v>
          </cell>
          <cell r="E95">
            <v>0</v>
          </cell>
          <cell r="F95">
            <v>0</v>
          </cell>
          <cell r="G95">
            <v>0.19260019741416462</v>
          </cell>
          <cell r="H95">
            <v>-39.001439035180134</v>
          </cell>
          <cell r="I95">
            <v>-9.5030010936876259</v>
          </cell>
          <cell r="J95">
            <v>-2.4985273556216288</v>
          </cell>
          <cell r="K95">
            <v>0.51345253760505827</v>
          </cell>
          <cell r="L95">
            <v>4.3263020806750543</v>
          </cell>
          <cell r="M95">
            <v>5.04729256116069</v>
          </cell>
          <cell r="N95">
            <v>14.99128080969529</v>
          </cell>
          <cell r="O95">
            <v>15.971198677255861</v>
          </cell>
          <cell r="P95">
            <v>17.005523924925768</v>
          </cell>
          <cell r="Q95">
            <v>17.923031262270598</v>
          </cell>
          <cell r="R95">
            <v>18.880284068323686</v>
          </cell>
          <cell r="S95">
            <v>19.878841314603914</v>
          </cell>
          <cell r="T95">
            <v>20.717209839611126</v>
          </cell>
          <cell r="U95">
            <v>21.581161569092785</v>
          </cell>
          <cell r="V95">
            <v>22.471384483817857</v>
          </cell>
        </row>
        <row r="96">
          <cell r="A96" t="str">
            <v>Taxes</v>
          </cell>
          <cell r="H96">
            <v>0</v>
          </cell>
          <cell r="I96">
            <v>0</v>
          </cell>
          <cell r="J96">
            <v>0</v>
          </cell>
          <cell r="K96">
            <v>0</v>
          </cell>
          <cell r="L96">
            <v>0</v>
          </cell>
          <cell r="M96">
            <v>0</v>
          </cell>
          <cell r="N96">
            <v>0</v>
          </cell>
          <cell r="O96">
            <v>1.5011577136874534</v>
          </cell>
          <cell r="P96">
            <v>5.9519333737240183</v>
          </cell>
          <cell r="Q96">
            <v>6.273060941794709</v>
          </cell>
          <cell r="R96">
            <v>6.6080994239132895</v>
          </cell>
          <cell r="S96">
            <v>6.9575944601113697</v>
          </cell>
          <cell r="T96">
            <v>7.2510234438638932</v>
          </cell>
          <cell r="U96">
            <v>7.5534065491824744</v>
          </cell>
          <cell r="V96">
            <v>7.8649845693362499</v>
          </cell>
        </row>
        <row r="97">
          <cell r="A97" t="str">
            <v>Other</v>
          </cell>
          <cell r="H97">
            <v>-2.0974822844427017</v>
          </cell>
          <cell r="I97">
            <v>-6.3807767984728914</v>
          </cell>
          <cell r="J97">
            <v>-4.4653636666344738</v>
          </cell>
          <cell r="K97">
            <v>-2.802862078849826</v>
          </cell>
          <cell r="L97">
            <v>-3.24348126285726</v>
          </cell>
          <cell r="M97">
            <v>5.5329538936083195E-2</v>
          </cell>
          <cell r="N97">
            <v>1.0899816711539503</v>
          </cell>
          <cell r="O97">
            <v>0.87695775363958484</v>
          </cell>
          <cell r="P97">
            <v>0.98864128985128763</v>
          </cell>
          <cell r="Q97">
            <v>1.1002838825683445</v>
          </cell>
          <cell r="R97">
            <v>1.2240785321642793</v>
          </cell>
          <cell r="S97">
            <v>1.3604065614084606</v>
          </cell>
          <cell r="T97">
            <v>1.4529183811381177</v>
          </cell>
          <cell r="U97">
            <v>1.4710759472403765</v>
          </cell>
          <cell r="V97">
            <v>1.5023959739632775</v>
          </cell>
        </row>
        <row r="98">
          <cell r="A98" t="str">
            <v>FCF</v>
          </cell>
          <cell r="G98">
            <v>0</v>
          </cell>
          <cell r="H98">
            <v>-41.098921319622832</v>
          </cell>
          <cell r="I98">
            <v>-15.883777892160516</v>
          </cell>
          <cell r="J98">
            <v>-6.963891022256103</v>
          </cell>
          <cell r="K98">
            <v>-2.2894095412447677</v>
          </cell>
          <cell r="L98">
            <v>1.0828208178177943</v>
          </cell>
          <cell r="M98">
            <v>5.1026221000967729</v>
          </cell>
          <cell r="N98">
            <v>16.08126248084924</v>
          </cell>
          <cell r="O98">
            <v>18.349314144582898</v>
          </cell>
          <cell r="P98">
            <v>23.946098588501073</v>
          </cell>
          <cell r="Q98">
            <v>25.29637608663365</v>
          </cell>
          <cell r="R98">
            <v>26.712462024401255</v>
          </cell>
          <cell r="S98">
            <v>28.196842336123744</v>
          </cell>
          <cell r="T98">
            <v>29.421151664613134</v>
          </cell>
          <cell r="U98">
            <v>30.605644065515634</v>
          </cell>
          <cell r="V98">
            <v>31.838765027117383</v>
          </cell>
        </row>
        <row r="99">
          <cell r="G99">
            <v>0</v>
          </cell>
          <cell r="H99">
            <v>-41.098921319622832</v>
          </cell>
          <cell r="I99">
            <v>-15.147772805828255</v>
          </cell>
          <cell r="J99">
            <v>-6.0399994312969616</v>
          </cell>
          <cell r="K99">
            <v>-1.80591944510419</v>
          </cell>
          <cell r="L99">
            <v>0.77682185754835886</v>
          </cell>
          <cell r="M99">
            <v>3.3292637354715247</v>
          </cell>
          <cell r="N99">
            <v>9.5425597828556832</v>
          </cell>
          <cell r="O99">
            <v>9.9027209023949361</v>
          </cell>
          <cell r="P99">
            <v>11.753289232314671</v>
          </cell>
          <cell r="Q99">
            <v>11.29205334617795</v>
          </cell>
          <cell r="R99">
            <v>10.844723507155669</v>
          </cell>
          <cell r="S99">
            <v>10.411061127671648</v>
          </cell>
          <cell r="T99">
            <v>9.8797087872218956</v>
          </cell>
          <cell r="U99">
            <v>9.3470798405153364</v>
          </cell>
          <cell r="V99">
            <v>8.8434270424250769</v>
          </cell>
        </row>
        <row r="100">
          <cell r="B100">
            <v>64.085590437098276</v>
          </cell>
        </row>
        <row r="101">
          <cell r="B101">
            <v>408.30476602432475</v>
          </cell>
        </row>
        <row r="102">
          <cell r="B102">
            <v>113.40934255255166</v>
          </cell>
        </row>
        <row r="103">
          <cell r="B103">
            <v>177.49493298964995</v>
          </cell>
        </row>
        <row r="104">
          <cell r="B104">
            <v>26.596</v>
          </cell>
        </row>
        <row r="105">
          <cell r="B105">
            <v>189.85798547558429</v>
          </cell>
        </row>
        <row r="106">
          <cell r="B106">
            <v>340.75691846523421</v>
          </cell>
        </row>
        <row r="107">
          <cell r="B107">
            <v>9.3063984233086767</v>
          </cell>
        </row>
        <row r="108">
          <cell r="B108">
            <v>9.3063984233086767</v>
          </cell>
        </row>
        <row r="110">
          <cell r="B110">
            <v>2013</v>
          </cell>
          <cell r="C110" t="str">
            <v>2014Q1</v>
          </cell>
          <cell r="D110" t="str">
            <v>2014Q2</v>
          </cell>
          <cell r="E110" t="str">
            <v>2014Q3</v>
          </cell>
          <cell r="F110" t="str">
            <v>2014Q4</v>
          </cell>
          <cell r="G110" t="str">
            <v>2H14</v>
          </cell>
          <cell r="H110">
            <v>2015</v>
          </cell>
          <cell r="I110">
            <v>2016</v>
          </cell>
          <cell r="J110">
            <v>2017</v>
          </cell>
          <cell r="K110">
            <v>2018</v>
          </cell>
          <cell r="L110">
            <v>2019</v>
          </cell>
          <cell r="M110">
            <v>2020</v>
          </cell>
          <cell r="N110">
            <v>2021</v>
          </cell>
          <cell r="O110">
            <v>2022</v>
          </cell>
          <cell r="P110">
            <v>2023</v>
          </cell>
          <cell r="Q110">
            <v>2024</v>
          </cell>
          <cell r="R110">
            <v>2025</v>
          </cell>
          <cell r="S110">
            <v>2026</v>
          </cell>
          <cell r="T110">
            <v>2027</v>
          </cell>
          <cell r="U110">
            <v>2028</v>
          </cell>
          <cell r="V110">
            <v>2029</v>
          </cell>
          <cell r="W110" t="str">
            <v>Terminal</v>
          </cell>
        </row>
        <row r="111">
          <cell r="I111">
            <v>0.5</v>
          </cell>
          <cell r="J111">
            <v>1.5</v>
          </cell>
          <cell r="K111">
            <v>2.5</v>
          </cell>
          <cell r="L111">
            <v>3.5</v>
          </cell>
          <cell r="M111">
            <v>4.5</v>
          </cell>
          <cell r="N111">
            <v>5.5</v>
          </cell>
          <cell r="O111">
            <v>6.5</v>
          </cell>
          <cell r="P111">
            <v>7.5</v>
          </cell>
          <cell r="Q111">
            <v>8.5</v>
          </cell>
          <cell r="R111">
            <v>9.5</v>
          </cell>
          <cell r="S111">
            <v>10.5</v>
          </cell>
          <cell r="T111">
            <v>11.5</v>
          </cell>
          <cell r="U111">
            <v>12.5</v>
          </cell>
          <cell r="V111">
            <v>13.5</v>
          </cell>
        </row>
        <row r="112">
          <cell r="A112" t="str">
            <v>Revenue</v>
          </cell>
          <cell r="H112">
            <v>50.169933421521272</v>
          </cell>
          <cell r="I112">
            <v>54.087418221943615</v>
          </cell>
          <cell r="J112">
            <v>64.196227924131975</v>
          </cell>
          <cell r="K112">
            <v>74.155308389646706</v>
          </cell>
          <cell r="L112">
            <v>88.986370067576047</v>
          </cell>
          <cell r="M112">
            <v>106.78364408109125</v>
          </cell>
          <cell r="N112">
            <v>117.46200848920039</v>
          </cell>
          <cell r="O112">
            <v>126.85896916833643</v>
          </cell>
          <cell r="P112">
            <v>135.73909701011999</v>
          </cell>
          <cell r="Q112">
            <v>142.52605186062598</v>
          </cell>
          <cell r="R112">
            <v>146.08920315714161</v>
          </cell>
          <cell r="S112">
            <v>149.74143323607015</v>
          </cell>
          <cell r="T112">
            <v>153.4849690669719</v>
          </cell>
          <cell r="U112">
            <v>157.32209329364619</v>
          </cell>
          <cell r="V112">
            <v>161.25514562598732</v>
          </cell>
        </row>
        <row r="113">
          <cell r="I113">
            <v>7.808431331786192E-2</v>
          </cell>
          <cell r="J113">
            <v>0.18689761934480997</v>
          </cell>
          <cell r="K113">
            <v>0.15513497891627703</v>
          </cell>
          <cell r="L113">
            <v>0.2</v>
          </cell>
          <cell r="M113">
            <v>0.2</v>
          </cell>
          <cell r="N113">
            <v>0.1</v>
          </cell>
          <cell r="O113">
            <v>0.08</v>
          </cell>
          <cell r="P113">
            <v>7.0000000000000007E-2</v>
          </cell>
          <cell r="Q113">
            <v>0.05</v>
          </cell>
          <cell r="R113">
            <v>2.5000000000000001E-2</v>
          </cell>
          <cell r="S113">
            <v>2.5000000000000001E-2</v>
          </cell>
          <cell r="T113">
            <v>2.5000000000000001E-2</v>
          </cell>
          <cell r="U113">
            <v>2.5000000000000001E-2</v>
          </cell>
          <cell r="V113">
            <v>2.5000000000000001E-2</v>
          </cell>
        </row>
        <row r="114">
          <cell r="A114" t="str">
            <v>Gross Margin</v>
          </cell>
          <cell r="B114">
            <v>5.0000000000000001E-3</v>
          </cell>
          <cell r="H114">
            <v>32.610456723988825</v>
          </cell>
          <cell r="I114">
            <v>35.697696026482788</v>
          </cell>
          <cell r="J114">
            <v>43.011472709168423</v>
          </cell>
          <cell r="K114">
            <v>50.425609704959761</v>
          </cell>
          <cell r="L114">
            <v>60.955663496289596</v>
          </cell>
          <cell r="M114">
            <v>73.680714415952977</v>
          </cell>
          <cell r="N114">
            <v>81.636095899994274</v>
          </cell>
          <cell r="O114">
            <v>88.801278417835505</v>
          </cell>
          <cell r="P114">
            <v>95.696063392134604</v>
          </cell>
          <cell r="Q114">
            <v>101.19349682104446</v>
          </cell>
          <cell r="R114">
            <v>104.45378025735626</v>
          </cell>
          <cell r="S114">
            <v>107.81383192997052</v>
          </cell>
          <cell r="T114">
            <v>111.27660257355464</v>
          </cell>
          <cell r="U114">
            <v>114.84512810436173</v>
          </cell>
          <cell r="V114">
            <v>118.5225320351007</v>
          </cell>
        </row>
        <row r="115">
          <cell r="H115">
            <v>0.65</v>
          </cell>
          <cell r="I115">
            <v>0.66</v>
          </cell>
          <cell r="J115">
            <v>0.67</v>
          </cell>
          <cell r="K115">
            <v>0.68</v>
          </cell>
          <cell r="L115">
            <v>0.68500000000000005</v>
          </cell>
          <cell r="M115">
            <v>0.69000000000000006</v>
          </cell>
          <cell r="N115">
            <v>0.69500000000000006</v>
          </cell>
          <cell r="O115">
            <v>0.70000000000000007</v>
          </cell>
          <cell r="P115">
            <v>0.70500000000000007</v>
          </cell>
          <cell r="Q115">
            <v>0.71000000000000008</v>
          </cell>
          <cell r="R115">
            <v>0.71500000000000008</v>
          </cell>
          <cell r="S115">
            <v>0.72000000000000008</v>
          </cell>
          <cell r="T115">
            <v>0.72500000000000009</v>
          </cell>
          <cell r="U115">
            <v>0.73000000000000009</v>
          </cell>
          <cell r="V115">
            <v>0.7350000000000001</v>
          </cell>
        </row>
        <row r="116">
          <cell r="A116" t="str">
            <v>Opex</v>
          </cell>
          <cell r="H116">
            <v>-37.72124159782431</v>
          </cell>
          <cell r="I116">
            <v>-32.490799660583995</v>
          </cell>
          <cell r="J116">
            <v>-31.045781533753026</v>
          </cell>
          <cell r="K116">
            <v>-32.519731646405646</v>
          </cell>
          <cell r="L116">
            <v>-38.578746125348893</v>
          </cell>
          <cell r="M116">
            <v>-45.226658909607764</v>
          </cell>
          <cell r="N116">
            <v>-48.574704715676532</v>
          </cell>
          <cell r="O116">
            <v>-51.192091401247296</v>
          </cell>
          <cell r="P116">
            <v>-53.418146829233415</v>
          </cell>
          <cell r="Q116">
            <v>-54.66379365208882</v>
          </cell>
          <cell r="R116">
            <v>-54.569496461819611</v>
          </cell>
          <cell r="S116">
            <v>-54.436319541004401</v>
          </cell>
          <cell r="T116">
            <v>-54.262377838859791</v>
          </cell>
          <cell r="U116">
            <v>-54.045716351894818</v>
          </cell>
          <cell r="V116">
            <v>-53.784307804432309</v>
          </cell>
        </row>
        <row r="117">
          <cell r="A117" t="str">
            <v>%margin</v>
          </cell>
          <cell r="B117">
            <v>0.01</v>
          </cell>
          <cell r="H117">
            <v>-0.75186947690154049</v>
          </cell>
          <cell r="I117">
            <v>-0.60070901382758679</v>
          </cell>
          <cell r="J117">
            <v>-0.48360756601530197</v>
          </cell>
          <cell r="K117">
            <v>-0.43853545150849826</v>
          </cell>
          <cell r="L117">
            <v>-0.43353545150849826</v>
          </cell>
          <cell r="M117">
            <v>-0.42353545150849825</v>
          </cell>
          <cell r="N117">
            <v>-0.41353545150849824</v>
          </cell>
          <cell r="O117">
            <v>-0.40353545150849823</v>
          </cell>
          <cell r="P117">
            <v>-0.39353545150849822</v>
          </cell>
          <cell r="Q117">
            <v>-0.38353545150849822</v>
          </cell>
          <cell r="R117">
            <v>-0.37353545150849821</v>
          </cell>
          <cell r="S117">
            <v>-0.3635354515084982</v>
          </cell>
          <cell r="T117">
            <v>-0.35353545150849819</v>
          </cell>
          <cell r="U117">
            <v>-0.34353545150849818</v>
          </cell>
          <cell r="V117">
            <v>-0.33353545150849817</v>
          </cell>
        </row>
        <row r="118">
          <cell r="A118" t="str">
            <v>EBIT</v>
          </cell>
          <cell r="H118">
            <v>-5.1107848738354846</v>
          </cell>
          <cell r="I118">
            <v>3.2068963658987926</v>
          </cell>
          <cell r="J118">
            <v>11.965691175415397</v>
          </cell>
          <cell r="K118">
            <v>17.905878058554116</v>
          </cell>
          <cell r="L118">
            <v>22.376917370940703</v>
          </cell>
          <cell r="M118">
            <v>28.454055506345213</v>
          </cell>
          <cell r="N118">
            <v>33.061391184317742</v>
          </cell>
          <cell r="O118">
            <v>37.609187016588209</v>
          </cell>
          <cell r="P118">
            <v>42.27791656290119</v>
          </cell>
          <cell r="Q118">
            <v>46.529703168955642</v>
          </cell>
          <cell r="R118">
            <v>49.884283795536646</v>
          </cell>
          <cell r="S118">
            <v>53.377512388966117</v>
          </cell>
          <cell r="T118">
            <v>57.014224734694849</v>
          </cell>
          <cell r="U118">
            <v>60.799411752466916</v>
          </cell>
          <cell r="V118">
            <v>64.738224230668379</v>
          </cell>
        </row>
        <row r="119">
          <cell r="A119" t="str">
            <v>%margin</v>
          </cell>
          <cell r="H119">
            <v>-0.10186947690154047</v>
          </cell>
          <cell r="I119">
            <v>5.9290986172413275E-2</v>
          </cell>
          <cell r="J119">
            <v>0.18639243398469804</v>
          </cell>
          <cell r="K119">
            <v>0.24146454849150178</v>
          </cell>
          <cell r="L119">
            <v>0.25146454849150179</v>
          </cell>
          <cell r="M119">
            <v>0.26646454849150181</v>
          </cell>
          <cell r="N119">
            <v>0.28146454849150182</v>
          </cell>
          <cell r="O119">
            <v>0.29646454849150183</v>
          </cell>
          <cell r="P119">
            <v>0.31146454849150185</v>
          </cell>
          <cell r="Q119">
            <v>0.32646454849150186</v>
          </cell>
          <cell r="R119">
            <v>0.34146454849150187</v>
          </cell>
          <cell r="S119">
            <v>0.35646454849150189</v>
          </cell>
          <cell r="T119">
            <v>0.3714645484915019</v>
          </cell>
          <cell r="U119">
            <v>0.38646454849150191</v>
          </cell>
          <cell r="V119">
            <v>0.40146454849150182</v>
          </cell>
        </row>
        <row r="120">
          <cell r="A120" t="str">
            <v>Taxes</v>
          </cell>
          <cell r="H120">
            <v>0</v>
          </cell>
          <cell r="I120">
            <v>0</v>
          </cell>
          <cell r="J120">
            <v>0</v>
          </cell>
          <cell r="K120">
            <v>0</v>
          </cell>
          <cell r="L120">
            <v>0</v>
          </cell>
          <cell r="M120">
            <v>0</v>
          </cell>
          <cell r="N120">
            <v>0</v>
          </cell>
          <cell r="O120">
            <v>-3.5349457693407014</v>
          </cell>
          <cell r="P120">
            <v>-14.797270797015415</v>
          </cell>
          <cell r="Q120">
            <v>0</v>
          </cell>
          <cell r="R120">
            <v>0</v>
          </cell>
          <cell r="S120">
            <v>0</v>
          </cell>
          <cell r="T120">
            <v>0</v>
          </cell>
          <cell r="U120">
            <v>0</v>
          </cell>
          <cell r="V120">
            <v>-22.65837848073393</v>
          </cell>
        </row>
        <row r="121">
          <cell r="A121" t="str">
            <v>Other</v>
          </cell>
          <cell r="H121">
            <v>-0.98612556234076743</v>
          </cell>
          <cell r="I121">
            <v>-6.3807767984728914</v>
          </cell>
          <cell r="J121">
            <v>-4.8181177322156987</v>
          </cell>
          <cell r="K121">
            <v>-3.2588999863859871</v>
          </cell>
          <cell r="L121">
            <v>-4.309954099369854</v>
          </cell>
          <cell r="M121">
            <v>8.402533444882393E-2</v>
          </cell>
          <cell r="N121">
            <v>1.750780655553333</v>
          </cell>
          <cell r="O121">
            <v>1.4627888215903535</v>
          </cell>
          <cell r="P121">
            <v>1.6966495391092622</v>
          </cell>
          <cell r="Q121">
            <v>1.9249090955089705</v>
          </cell>
          <cell r="R121">
            <v>2.1310880578738067</v>
          </cell>
          <cell r="S121">
            <v>2.3569342782601006</v>
          </cell>
          <cell r="T121">
            <v>2.5295523195632756</v>
          </cell>
          <cell r="U121">
            <v>2.5737196397647097</v>
          </cell>
          <cell r="V121">
            <v>2.6414004454079421</v>
          </cell>
        </row>
        <row r="122">
          <cell r="A122" t="str">
            <v>FCF</v>
          </cell>
          <cell r="H122">
            <v>-6.0969104361762518</v>
          </cell>
          <cell r="I122">
            <v>-3.1738804325740988</v>
          </cell>
          <cell r="J122">
            <v>7.1475734431996987</v>
          </cell>
          <cell r="K122">
            <v>14.646978072168128</v>
          </cell>
          <cell r="L122">
            <v>18.066963271570849</v>
          </cell>
          <cell r="M122">
            <v>28.538080840794038</v>
          </cell>
          <cell r="N122">
            <v>34.812171839871077</v>
          </cell>
          <cell r="O122">
            <v>35.537030068837858</v>
          </cell>
          <cell r="P122">
            <v>29.177295304995038</v>
          </cell>
          <cell r="Q122">
            <v>48.454612264464615</v>
          </cell>
          <cell r="R122">
            <v>52.01537185341045</v>
          </cell>
          <cell r="S122">
            <v>55.734446667226216</v>
          </cell>
          <cell r="T122">
            <v>59.543777054258122</v>
          </cell>
          <cell r="U122">
            <v>63.373131392231628</v>
          </cell>
          <cell r="V122">
            <v>44.721246195342388</v>
          </cell>
        </row>
        <row r="123">
          <cell r="A123" t="str">
            <v>Calculations</v>
          </cell>
          <cell r="I123">
            <v>-3.0268126406643474</v>
          </cell>
          <cell r="J123">
            <v>6.1993129120066497</v>
          </cell>
          <cell r="K123">
            <v>11.55374870070707</v>
          </cell>
          <cell r="L123">
            <v>12.961342946069283</v>
          </cell>
          <cell r="M123">
            <v>18.61999492798191</v>
          </cell>
          <cell r="N123">
            <v>20.657409910983041</v>
          </cell>
          <cell r="O123">
            <v>19.178552816678991</v>
          </cell>
          <cell r="P123">
            <v>14.320879431313221</v>
          </cell>
          <cell r="Q123">
            <v>21.62966207826948</v>
          </cell>
          <cell r="R123">
            <v>21.117197110353867</v>
          </cell>
          <cell r="S123">
            <v>20.578713185414642</v>
          </cell>
          <cell r="T123">
            <v>19.994974503152946</v>
          </cell>
          <cell r="U123">
            <v>19.354394816807069</v>
          </cell>
          <cell r="V123">
            <v>12.421621179024958</v>
          </cell>
        </row>
        <row r="124">
          <cell r="A124" t="str">
            <v>FCF</v>
          </cell>
          <cell r="B124">
            <v>203.13937069907379</v>
          </cell>
        </row>
        <row r="125">
          <cell r="A125" t="str">
            <v>Undiscounted Terminal Value</v>
          </cell>
          <cell r="B125">
            <v>573.51150236365538</v>
          </cell>
        </row>
        <row r="126">
          <cell r="A126" t="str">
            <v>Terminal Value</v>
          </cell>
          <cell r="B126">
            <v>151.91529214705375</v>
          </cell>
        </row>
        <row r="127">
          <cell r="A127" t="str">
            <v>Aggregate Value</v>
          </cell>
          <cell r="B127">
            <v>355.05466284612754</v>
          </cell>
        </row>
        <row r="128">
          <cell r="A128" t="str">
            <v>Net Debt CY15E</v>
          </cell>
          <cell r="B128">
            <v>-164.4319854755843</v>
          </cell>
        </row>
        <row r="129">
          <cell r="A129" t="str">
            <v>Equity Value</v>
          </cell>
          <cell r="B129">
            <v>519.48664832171187</v>
          </cell>
        </row>
        <row r="130">
          <cell r="A130" t="str">
            <v>Fully Diluted Shares</v>
          </cell>
          <cell r="B130">
            <v>36.615337423312887</v>
          </cell>
        </row>
        <row r="131">
          <cell r="A131" t="str">
            <v>DCF Value per Share</v>
          </cell>
          <cell r="B131">
            <v>14.187678849327115</v>
          </cell>
        </row>
      </sheetData>
      <sheetData sheetId="20"/>
      <sheetData sheetId="21"/>
      <sheetData sheetId="22"/>
      <sheetData sheetId="23" refreshError="1"/>
      <sheetData sheetId="24" refreshError="1"/>
      <sheetData sheetId="25"/>
      <sheetData sheetId="26"/>
      <sheetData sheetId="27" refreshError="1"/>
      <sheetData sheetId="28" refreshError="1"/>
      <sheetData sheetId="29" refreshError="1"/>
      <sheetData sheetId="30" refreshError="1"/>
      <sheetData sheetId="31"/>
      <sheetData sheetId="32"/>
      <sheetData sheetId="33"/>
      <sheetData sheetId="34" refreshError="1"/>
      <sheetData sheetId="35" refreshError="1"/>
      <sheetData sheetId="36"/>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 val="NOPAT"/>
      <sheetName val="RO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M analyst day"/>
      <sheetName val="Khosla Ventures"/>
      <sheetName val="MS Oil Teach-in"/>
      <sheetName val="Gasoline"/>
      <sheetName val="Cosan"/>
      <sheetName val="Ideas"/>
      <sheetName val="Corn"/>
      <sheetName val="Ethanol"/>
      <sheetName val="Monsanto"/>
      <sheetName val="MON analyst day"/>
      <sheetName val="MON Top 10"/>
      <sheetName val="Mon Random"/>
      <sheetName val="RFA"/>
      <sheetName val="Good 12-00 (2)"/>
      <sheetName val="Good 11-36"/>
      <sheetName val="Good 11-50"/>
      <sheetName val="Sheet3 (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ensus Snapshot table_old"/>
      <sheetName val="Relative Valuation table_OLD"/>
      <sheetName val="MON Top 10"/>
      <sheetName val="#REF"/>
      <sheetName val="NOPAT"/>
      <sheetName val="ROE"/>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Corn"/>
      <sheetName val="Graphs"/>
      <sheetName val="Feedstocks"/>
    </sheetNames>
    <sheetDataSet>
      <sheetData sheetId="0"/>
      <sheetData sheetId="1" refreshError="1"/>
      <sheetData sheetId="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al"/>
      <sheetName val="Quarterly"/>
      <sheetName val="Monthly"/>
      <sheetName val="__FDSCACHE__"/>
      <sheetName val="Sheet1"/>
      <sheetName val="Feedstocks"/>
      <sheetName val="Legend"/>
      <sheetName val="Relative Valuation table_OLD"/>
    </sheetNames>
    <sheetDataSet>
      <sheetData sheetId="0"/>
      <sheetData sheetId="1"/>
      <sheetData sheetId="2"/>
      <sheetData sheetId="3"/>
      <sheetData sheetId="4"/>
      <sheetData sheetId="5" refreshError="1"/>
      <sheetData sheetId="6"/>
      <sheetData sheetId="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BS"/>
      <sheetName val="CF"/>
      <sheetName val="IS"/>
      <sheetName val="Inputs"/>
      <sheetName val="Links"/>
      <sheetName val="Preview"/>
      <sheetName val="Exhibits"/>
      <sheetName val="SOTP"/>
      <sheetName val="Miles Driven"/>
      <sheetName val="BTB"/>
      <sheetName val="Debt"/>
      <sheetName val="Ratios"/>
      <sheetName val="DCF"/>
      <sheetName val="OP"/>
      <sheetName val="MW-Cache"/>
      <sheetName val="MWA RR"/>
      <sheetName val="AFOSHEET"/>
      <sheetName val="mwareDates"/>
      <sheetName val="ALB.N"/>
      <sheetName val="Model Summary"/>
      <sheetName val="Notes"/>
      <sheetName val="Earnings Charts"/>
      <sheetName val="Guidance"/>
      <sheetName val="mwareSettings"/>
      <sheetName val="Sheet3"/>
      <sheetName val="Sheet2"/>
      <sheetName val="Graphs"/>
      <sheetName val="Inputs-New Segments"/>
      <sheetName val="Inputs-Legacy Segments"/>
    </sheetNames>
    <sheetDataSet>
      <sheetData sheetId="0">
        <row r="70">
          <cell r="X70" t="e">
            <v>#N/A</v>
          </cell>
        </row>
      </sheetData>
      <sheetData sheetId="1"/>
      <sheetData sheetId="2"/>
      <sheetData sheetId="3">
        <row r="42">
          <cell r="T42">
            <v>718.17573955890816</v>
          </cell>
        </row>
      </sheetData>
      <sheetData sheetId="4">
        <row r="280">
          <cell r="X280">
            <v>0.50264014659618228</v>
          </cell>
        </row>
      </sheetData>
      <sheetData sheetId="5"/>
      <sheetData sheetId="6"/>
      <sheetData sheetId="7"/>
      <sheetData sheetId="8"/>
      <sheetData sheetId="9"/>
      <sheetData sheetId="10"/>
      <sheetData sheetId="11"/>
      <sheetData sheetId="12"/>
      <sheetData sheetId="13">
        <row r="1">
          <cell r="A1" t="str">
            <v xml:space="preserve">           </v>
          </cell>
        </row>
      </sheetData>
      <sheetData sheetId="14">
        <row r="3">
          <cell r="A3" t="str">
            <v>BASE CASE</v>
          </cell>
        </row>
      </sheetData>
      <sheetData sheetId="15"/>
      <sheetData sheetId="16">
        <row r="11">
          <cell r="C11" t="e">
            <v>#N/A</v>
          </cell>
        </row>
      </sheetData>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Lipitor NPV"/>
      <sheetName val="mwareTaxoPres"/>
      <sheetName val="mwareValPrintout"/>
      <sheetName val="Lipitor NPV-Mar 2010"/>
      <sheetName val="5 yr Sales and Earnings"/>
      <sheetName val="Qtr Income"/>
      <sheetName val="Qtr Margin"/>
      <sheetName val="Qtr Sales"/>
      <sheetName val="Gross Mgn Calc"/>
      <sheetName val="Alliance revenues"/>
      <sheetName val="Product History"/>
      <sheetName val="mwarePreview"/>
      <sheetName val="BalanceSheet"/>
      <sheetName val="Cashflow"/>
      <sheetName val="ROIC"/>
      <sheetName val="RI Valuation"/>
      <sheetName val="Dynamic Convergence"/>
      <sheetName val="Global Feed"/>
      <sheetName val="Summary"/>
      <sheetName val="Q-Preview"/>
      <sheetName val="PFE Qtr Incomesolo"/>
      <sheetName val="PFE Qtr Marginsolo"/>
      <sheetName val="PFE Qrt Salessolo"/>
      <sheetName val="PFE 2 Qtr Salessolo"/>
      <sheetName val="PHAPharmaSales"/>
      <sheetName val="Combined products"/>
      <sheetName val="PFE-PHA mergerold"/>
      <sheetName val="P&amp;L Charts"/>
      <sheetName val="setbacks"/>
      <sheetName val="mwareDates"/>
      <sheetName val="TO DO"/>
      <sheetName val="mwareSettings"/>
      <sheetName val="mStartup"/>
      <sheetName val="EPS Sensitivity"/>
      <sheetName val="PFE Qtr Income"/>
      <sheetName val="PFE Qtr Margin"/>
      <sheetName val="PFE Qtr Sales"/>
      <sheetName val="PFE Q-Preview"/>
      <sheetName val="Implied ROIC "/>
      <sheetName val="P&amp;L Charts (2)"/>
      <sheetName val="ADJ ROIC"/>
      <sheetName val="PFEwork"/>
      <sheetName val="xbrlPreview"/>
      <sheetName val="xbrldates"/>
      <sheetName val="xbrlSettings"/>
      <sheetName val="BS CHeck"/>
      <sheetName val="MWare_Cached"/>
      <sheetName val="Sheet1"/>
      <sheetName val=""/>
      <sheetName val="Torcetrapib"/>
      <sheetName val="Divestiture calculation"/>
      <sheetName val="Annu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5">
          <cell r="C5" t="str">
            <v>2001A</v>
          </cell>
        </row>
        <row r="6">
          <cell r="C6">
            <v>6449</v>
          </cell>
        </row>
        <row r="7">
          <cell r="C7">
            <v>3582</v>
          </cell>
        </row>
        <row r="8">
          <cell r="C8">
            <v>551</v>
          </cell>
        </row>
        <row r="9">
          <cell r="C9">
            <v>604</v>
          </cell>
        </row>
        <row r="10">
          <cell r="C10">
            <v>284</v>
          </cell>
        </row>
        <row r="11">
          <cell r="C11">
            <v>0</v>
          </cell>
        </row>
        <row r="12">
          <cell r="C12">
            <v>0</v>
          </cell>
        </row>
        <row r="13">
          <cell r="C13">
            <v>2367</v>
          </cell>
        </row>
        <row r="14">
          <cell r="C14">
            <v>1751</v>
          </cell>
        </row>
        <row r="15">
          <cell r="C15">
            <v>323</v>
          </cell>
        </row>
        <row r="16">
          <cell r="C16">
            <v>149</v>
          </cell>
        </row>
        <row r="17">
          <cell r="C17">
            <v>0</v>
          </cell>
        </row>
        <row r="18">
          <cell r="C18">
            <v>0</v>
          </cell>
        </row>
        <row r="19">
          <cell r="C19">
            <v>0</v>
          </cell>
        </row>
        <row r="20">
          <cell r="C20">
            <v>0</v>
          </cell>
        </row>
        <row r="21">
          <cell r="C21">
            <v>0</v>
          </cell>
        </row>
        <row r="22">
          <cell r="C22">
            <v>0</v>
          </cell>
        </row>
        <row r="23">
          <cell r="C23">
            <v>1507</v>
          </cell>
        </row>
        <row r="24">
          <cell r="C24">
            <v>1067</v>
          </cell>
        </row>
        <row r="25">
          <cell r="C25">
            <v>365</v>
          </cell>
        </row>
        <row r="26">
          <cell r="C26">
            <v>0</v>
          </cell>
        </row>
        <row r="27">
          <cell r="C27">
            <v>0</v>
          </cell>
        </row>
        <row r="28">
          <cell r="C28">
            <v>1518</v>
          </cell>
        </row>
        <row r="29">
          <cell r="C29">
            <v>0</v>
          </cell>
        </row>
        <row r="30">
          <cell r="C30">
            <v>0</v>
          </cell>
        </row>
        <row r="31">
          <cell r="C31">
            <v>0</v>
          </cell>
        </row>
        <row r="32">
          <cell r="C32">
            <v>261</v>
          </cell>
        </row>
        <row r="33">
          <cell r="C33">
            <v>0</v>
          </cell>
        </row>
        <row r="34">
          <cell r="C34">
            <v>989</v>
          </cell>
        </row>
        <row r="35">
          <cell r="C35">
            <v>323</v>
          </cell>
        </row>
        <row r="36">
          <cell r="C36">
            <v>3050</v>
          </cell>
        </row>
        <row r="37">
          <cell r="C37">
            <v>3050</v>
          </cell>
        </row>
        <row r="38">
          <cell r="C38">
            <v>3050</v>
          </cell>
        </row>
        <row r="45">
          <cell r="C45">
            <v>1378</v>
          </cell>
        </row>
        <row r="47">
          <cell r="C47">
            <v>1378</v>
          </cell>
        </row>
        <row r="48">
          <cell r="C48">
            <v>1201.5</v>
          </cell>
        </row>
        <row r="49">
          <cell r="C49">
            <v>24116</v>
          </cell>
        </row>
        <row r="50">
          <cell r="C50">
            <v>1201.5</v>
          </cell>
        </row>
        <row r="51">
          <cell r="C51">
            <v>2986</v>
          </cell>
        </row>
        <row r="52">
          <cell r="C52">
            <v>1880.25</v>
          </cell>
        </row>
        <row r="53">
          <cell r="C53">
            <v>5033.5</v>
          </cell>
        </row>
        <row r="54">
          <cell r="C54">
            <v>31803.75</v>
          </cell>
        </row>
        <row r="55">
          <cell r="C55">
            <v>5033.5</v>
          </cell>
        </row>
        <row r="56">
          <cell r="C56">
            <v>26770.25</v>
          </cell>
        </row>
        <row r="57">
          <cell r="C57">
            <v>11023</v>
          </cell>
        </row>
        <row r="58">
          <cell r="C58">
            <v>278</v>
          </cell>
        </row>
        <row r="59">
          <cell r="C59">
            <v>11178.25</v>
          </cell>
        </row>
        <row r="60">
          <cell r="C60">
            <v>278</v>
          </cell>
        </row>
        <row r="61">
          <cell r="C61">
            <v>11178.25</v>
          </cell>
        </row>
        <row r="62">
          <cell r="C62">
            <v>16</v>
          </cell>
        </row>
        <row r="63">
          <cell r="C63">
            <v>2850.8362414456324</v>
          </cell>
        </row>
        <row r="64">
          <cell r="C64">
            <v>16</v>
          </cell>
        </row>
        <row r="65">
          <cell r="C65">
            <v>8311.4137585543685</v>
          </cell>
        </row>
        <row r="66">
          <cell r="C66">
            <v>8311.4137585543685</v>
          </cell>
        </row>
        <row r="67">
          <cell r="C67">
            <v>8311.4137585543685</v>
          </cell>
        </row>
        <row r="68">
          <cell r="C68">
            <v>-523</v>
          </cell>
        </row>
        <row r="69">
          <cell r="C69">
            <v>8311.4137585543685</v>
          </cell>
        </row>
        <row r="70">
          <cell r="C70">
            <v>-523</v>
          </cell>
        </row>
        <row r="71">
          <cell r="C71">
            <v>-523</v>
          </cell>
        </row>
        <row r="72">
          <cell r="C72">
            <v>7788</v>
          </cell>
        </row>
        <row r="73">
          <cell r="C73">
            <v>0.24</v>
          </cell>
        </row>
        <row r="74">
          <cell r="C74">
            <v>1.3066206191722007</v>
          </cell>
        </row>
        <row r="75">
          <cell r="C75">
            <v>0.24</v>
          </cell>
        </row>
        <row r="76">
          <cell r="C76" t="str">
            <v>--</v>
          </cell>
        </row>
        <row r="77">
          <cell r="C77">
            <v>1.3066206191722007</v>
          </cell>
        </row>
        <row r="78">
          <cell r="C78">
            <v>1.3066206191722007</v>
          </cell>
        </row>
        <row r="79">
          <cell r="C79">
            <v>6361</v>
          </cell>
        </row>
        <row r="80">
          <cell r="C80">
            <v>6361</v>
          </cell>
        </row>
        <row r="81">
          <cell r="C81" t="str">
            <v>2001A</v>
          </cell>
        </row>
        <row r="82">
          <cell r="C82" t="str">
            <v>2001A</v>
          </cell>
        </row>
        <row r="83">
          <cell r="C83">
            <v>0.84173250009825884</v>
          </cell>
        </row>
        <row r="84">
          <cell r="C84">
            <v>0.84173250009825884</v>
          </cell>
        </row>
        <row r="85">
          <cell r="C85">
            <v>0.34273474040011004</v>
          </cell>
        </row>
        <row r="86">
          <cell r="C86">
            <v>0.35147584797390247</v>
          </cell>
        </row>
        <row r="87">
          <cell r="C87">
            <v>0.34273474040011004</v>
          </cell>
        </row>
        <row r="88">
          <cell r="C88">
            <v>0.35147584797390247</v>
          </cell>
        </row>
        <row r="89">
          <cell r="C89" t="str">
            <v>--</v>
          </cell>
        </row>
        <row r="90">
          <cell r="C90" t="str">
            <v>--</v>
          </cell>
        </row>
        <row r="91">
          <cell r="C91" t="str">
            <v>--</v>
          </cell>
        </row>
        <row r="92">
          <cell r="C92" t="str">
            <v>--</v>
          </cell>
        </row>
        <row r="93">
          <cell r="C93" t="str">
            <v>--</v>
          </cell>
        </row>
        <row r="94">
          <cell r="C94" t="str">
            <v>--</v>
          </cell>
        </row>
        <row r="95">
          <cell r="C95" t="str">
            <v>--</v>
          </cell>
        </row>
        <row r="96">
          <cell r="C96" t="str">
            <v>--</v>
          </cell>
        </row>
        <row r="97">
          <cell r="C97" t="str">
            <v>--</v>
          </cell>
        </row>
        <row r="98">
          <cell r="C98" t="str">
            <v>--</v>
          </cell>
        </row>
        <row r="99">
          <cell r="C99" t="str">
            <v>--</v>
          </cell>
        </row>
        <row r="100">
          <cell r="C100" t="str">
            <v>--</v>
          </cell>
        </row>
        <row r="101">
          <cell r="C101" t="str">
            <v>--</v>
          </cell>
        </row>
        <row r="102">
          <cell r="C102" t="str">
            <v>--</v>
          </cell>
        </row>
        <row r="103">
          <cell r="C103">
            <v>10</v>
          </cell>
        </row>
        <row r="104">
          <cell r="C104">
            <v>7</v>
          </cell>
        </row>
        <row r="105">
          <cell r="C105">
            <v>10</v>
          </cell>
        </row>
        <row r="106">
          <cell r="C106">
            <v>7</v>
          </cell>
        </row>
        <row r="107">
          <cell r="C107">
            <v>0.26741582351965498</v>
          </cell>
        </row>
        <row r="108">
          <cell r="C108">
            <v>0.41594791839442691</v>
          </cell>
        </row>
        <row r="109">
          <cell r="C109" t="e">
            <v>#REF!</v>
          </cell>
        </row>
        <row r="110">
          <cell r="C110" t="e">
            <v>#REF!</v>
          </cell>
        </row>
        <row r="111">
          <cell r="C111" t="e">
            <v>#REF!</v>
          </cell>
        </row>
        <row r="112">
          <cell r="C112" t="e">
            <v>#REF!</v>
          </cell>
        </row>
        <row r="113">
          <cell r="C113" t="e">
            <v>#REF!</v>
          </cell>
        </row>
        <row r="114">
          <cell r="C114" t="e">
            <v>#REF!</v>
          </cell>
        </row>
        <row r="115">
          <cell r="C115" t="e">
            <v>#REF!</v>
          </cell>
        </row>
        <row r="116">
          <cell r="C116" t="e">
            <v>#REF!</v>
          </cell>
        </row>
        <row r="117">
          <cell r="C117" t="e">
            <v>#REF!</v>
          </cell>
        </row>
        <row r="120">
          <cell r="C120" t="str">
            <v>2001A</v>
          </cell>
        </row>
        <row r="121">
          <cell r="C121" t="str">
            <v>2001A</v>
          </cell>
        </row>
        <row r="122">
          <cell r="C122">
            <v>0.15826749990174116</v>
          </cell>
        </row>
        <row r="123">
          <cell r="C123">
            <v>0.15826749990174116</v>
          </cell>
        </row>
        <row r="124">
          <cell r="C124">
            <v>0.15826749990174116</v>
          </cell>
        </row>
        <row r="125">
          <cell r="C125">
            <v>0.15826749990174116</v>
          </cell>
        </row>
        <row r="126">
          <cell r="C126">
            <v>0</v>
          </cell>
        </row>
        <row r="127">
          <cell r="C127">
            <v>0.34659434815076839</v>
          </cell>
        </row>
        <row r="128">
          <cell r="C128">
            <v>0.34659434815076839</v>
          </cell>
        </row>
        <row r="129">
          <cell r="C129">
            <v>0.15240341154738041</v>
          </cell>
        </row>
        <row r="130">
          <cell r="C130">
            <v>0.15240341154738041</v>
          </cell>
        </row>
        <row r="131">
          <cell r="C131">
            <v>0.15240341154738041</v>
          </cell>
        </row>
        <row r="132">
          <cell r="C132">
            <v>0.15240341154738041</v>
          </cell>
        </row>
        <row r="133">
          <cell r="C133">
            <v>6449</v>
          </cell>
        </row>
        <row r="134">
          <cell r="C134">
            <v>6449</v>
          </cell>
        </row>
        <row r="135">
          <cell r="C135">
            <v>3582</v>
          </cell>
        </row>
        <row r="136">
          <cell r="C136">
            <v>551</v>
          </cell>
        </row>
        <row r="137">
          <cell r="C137">
            <v>604</v>
          </cell>
        </row>
        <row r="138">
          <cell r="C138">
            <v>284</v>
          </cell>
        </row>
        <row r="139">
          <cell r="C139">
            <v>0</v>
          </cell>
        </row>
        <row r="140">
          <cell r="C140">
            <v>0</v>
          </cell>
        </row>
        <row r="141">
          <cell r="C141" t="str">
            <v>_2001</v>
          </cell>
        </row>
        <row r="142">
          <cell r="C142" t="str">
            <v>2001-fy</v>
          </cell>
        </row>
        <row r="143">
          <cell r="C143">
            <v>323</v>
          </cell>
        </row>
        <row r="144">
          <cell r="C144">
            <v>149</v>
          </cell>
        </row>
        <row r="145">
          <cell r="C145">
            <v>0</v>
          </cell>
        </row>
        <row r="146">
          <cell r="C146">
            <v>0</v>
          </cell>
        </row>
        <row r="147">
          <cell r="C147">
            <v>0</v>
          </cell>
        </row>
        <row r="148">
          <cell r="C148">
            <v>0</v>
          </cell>
        </row>
        <row r="149">
          <cell r="C149">
            <v>0</v>
          </cell>
        </row>
        <row r="150">
          <cell r="C150">
            <v>0</v>
          </cell>
        </row>
        <row r="151">
          <cell r="C151">
            <v>1507</v>
          </cell>
        </row>
        <row r="152">
          <cell r="C152">
            <v>1067</v>
          </cell>
        </row>
        <row r="153">
          <cell r="C153">
            <v>365</v>
          </cell>
        </row>
        <row r="154">
          <cell r="C154">
            <v>0</v>
          </cell>
        </row>
        <row r="155">
          <cell r="C155">
            <v>0</v>
          </cell>
        </row>
        <row r="156">
          <cell r="C156">
            <v>1518</v>
          </cell>
        </row>
        <row r="157">
          <cell r="C157">
            <v>0</v>
          </cell>
        </row>
        <row r="158">
          <cell r="C158">
            <v>2004</v>
          </cell>
        </row>
        <row r="159">
          <cell r="C159">
            <v>0</v>
          </cell>
        </row>
        <row r="160">
          <cell r="C160">
            <v>10862</v>
          </cell>
        </row>
        <row r="161">
          <cell r="C161">
            <v>50</v>
          </cell>
        </row>
        <row r="162">
          <cell r="C162">
            <v>5</v>
          </cell>
        </row>
        <row r="163">
          <cell r="C163">
            <v>323</v>
          </cell>
        </row>
        <row r="164">
          <cell r="C164">
            <v>2723</v>
          </cell>
        </row>
        <row r="165">
          <cell r="C165">
            <v>10</v>
          </cell>
        </row>
        <row r="166">
          <cell r="C166">
            <v>0</v>
          </cell>
        </row>
        <row r="167">
          <cell r="C167">
            <v>4588</v>
          </cell>
        </row>
        <row r="168">
          <cell r="C168">
            <v>0</v>
          </cell>
        </row>
        <row r="169">
          <cell r="C169">
            <v>0</v>
          </cell>
        </row>
        <row r="170">
          <cell r="C170">
            <v>721</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ge1"/>
      <sheetName val="Page 2"/>
      <sheetName val="Page 3"/>
      <sheetName val="Page 4"/>
      <sheetName val="Page 5"/>
      <sheetName val="Page 6"/>
      <sheetName val="Page 7"/>
      <sheetName val="Page 8"/>
      <sheetName val="Figure 1"/>
      <sheetName val="Figure 2"/>
      <sheetName val="Data"/>
      <sheetName val="単独"/>
      <sheetName val="ｾｸﾞﾒﾝﾄ"/>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 sheetId="1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
      <sheetName val="Bio (2)"/>
      <sheetName val="Bio (3)"/>
      <sheetName val="Bio (4)"/>
      <sheetName val="Bio (5)"/>
      <sheetName val="Sheet1"/>
      <sheetName val="Sheet2"/>
      <sheetName val="FF-manpwr"/>
    </sheetNames>
    <sheetDataSet>
      <sheetData sheetId="0" refreshError="1">
        <row r="5">
          <cell r="A5" t="str">
            <v>Present Market Value</v>
          </cell>
        </row>
        <row r="6">
          <cell r="A6" t="str">
            <v>(Dollars in millions except per share data)</v>
          </cell>
        </row>
        <row r="8">
          <cell r="C8" t="str">
            <v>PUBLIC</v>
          </cell>
          <cell r="D8" t="str">
            <v>PUBLIC COMPARABLES(2)</v>
          </cell>
          <cell r="H8" t="str">
            <v>TRANSACTION COMPARABLES</v>
          </cell>
        </row>
        <row r="9">
          <cell r="B9" t="str">
            <v>Target</v>
          </cell>
          <cell r="C9" t="str">
            <v>COMP.</v>
          </cell>
          <cell r="J9" t="str">
            <v xml:space="preserve">J &amp; W </v>
          </cell>
          <cell r="K9" t="str">
            <v xml:space="preserve">Baxter </v>
          </cell>
          <cell r="L9" t="str">
            <v>E. Merck/</v>
          </cell>
        </row>
        <row r="10">
          <cell r="B10" t="str">
            <v>@ Offer</v>
          </cell>
          <cell r="C10" t="str">
            <v xml:space="preserve">AVG (1)  </v>
          </cell>
          <cell r="D10" t="str">
            <v>Fisher</v>
          </cell>
          <cell r="E10" t="str">
            <v>VWR</v>
          </cell>
          <cell r="H10" t="str">
            <v>Cosa Rocas</v>
          </cell>
          <cell r="I10" t="str">
            <v>CMS/ FSE</v>
          </cell>
          <cell r="J10" t="str">
            <v>Scientific</v>
          </cell>
          <cell r="K10" t="str">
            <v>Industrial</v>
          </cell>
          <cell r="L10" t="str">
            <v>VWR Equity Purch.</v>
          </cell>
        </row>
        <row r="12">
          <cell r="A12" t="str">
            <v>Market Value or Offer Price</v>
          </cell>
          <cell r="B12">
            <v>123.12350330737669</v>
          </cell>
          <cell r="D12">
            <v>562.5</v>
          </cell>
          <cell r="E12">
            <v>962.55</v>
          </cell>
          <cell r="H12">
            <v>5.5</v>
          </cell>
          <cell r="I12">
            <v>310</v>
          </cell>
          <cell r="J12">
            <v>35</v>
          </cell>
          <cell r="K12">
            <v>475</v>
          </cell>
          <cell r="L12">
            <v>250.88399999999999</v>
          </cell>
        </row>
        <row r="13">
          <cell r="A13" t="str">
            <v>Total Debt (net) (3)</v>
          </cell>
          <cell r="B13">
            <v>-43.806672424171659</v>
          </cell>
          <cell r="D13">
            <v>843.8</v>
          </cell>
          <cell r="E13">
            <v>232.4</v>
          </cell>
          <cell r="H13">
            <v>1</v>
          </cell>
          <cell r="I13">
            <v>0</v>
          </cell>
          <cell r="J13">
            <v>0</v>
          </cell>
          <cell r="K13">
            <v>0</v>
          </cell>
          <cell r="L13">
            <v>408.1</v>
          </cell>
        </row>
        <row r="14">
          <cell r="A14" t="str">
            <v xml:space="preserve">Market Capitalization </v>
          </cell>
          <cell r="B14">
            <v>79.316830883205029</v>
          </cell>
          <cell r="D14">
            <v>1406.3</v>
          </cell>
          <cell r="E14">
            <v>1194.95</v>
          </cell>
          <cell r="H14">
            <v>6.5</v>
          </cell>
          <cell r="I14">
            <v>310</v>
          </cell>
          <cell r="J14">
            <v>35</v>
          </cell>
          <cell r="K14">
            <v>475</v>
          </cell>
          <cell r="L14">
            <v>658.98400000000004</v>
          </cell>
        </row>
        <row r="15">
          <cell r="A15" t="str">
            <v>Annual Sales 1997</v>
          </cell>
          <cell r="B15">
            <v>72.008708029808247</v>
          </cell>
          <cell r="D15">
            <v>2175.3000000000002</v>
          </cell>
          <cell r="E15">
            <v>1230.2</v>
          </cell>
          <cell r="H15">
            <v>10.6</v>
          </cell>
          <cell r="I15">
            <v>764.6</v>
          </cell>
          <cell r="J15">
            <v>21.2</v>
          </cell>
          <cell r="K15">
            <v>479</v>
          </cell>
          <cell r="L15">
            <v>1066</v>
          </cell>
        </row>
        <row r="16">
          <cell r="A16" t="str">
            <v xml:space="preserve">P/E - 1995  </v>
          </cell>
        </row>
        <row r="17">
          <cell r="A17" t="str">
            <v xml:space="preserve">P/E - 1997  </v>
          </cell>
          <cell r="B17">
            <v>20.52516680159685</v>
          </cell>
          <cell r="C17">
            <v>18.990875803081629</v>
          </cell>
          <cell r="D17">
            <v>11.917372881355933</v>
          </cell>
          <cell r="E17">
            <v>32.547169811320757</v>
          </cell>
          <cell r="H17">
            <v>5.6701030927835054</v>
          </cell>
          <cell r="I17">
            <v>19.62025316455696</v>
          </cell>
          <cell r="J17">
            <v>11.29032258064516</v>
          </cell>
          <cell r="K17">
            <v>21.59090909090909</v>
          </cell>
          <cell r="L17">
            <v>30.299999999999997</v>
          </cell>
        </row>
        <row r="18">
          <cell r="A18" t="str">
            <v>P/E - 1998E</v>
          </cell>
          <cell r="B18">
            <v>15.338354997244787</v>
          </cell>
          <cell r="C18">
            <v>16.877516373793622</v>
          </cell>
          <cell r="D18">
            <v>26.533018867924525</v>
          </cell>
          <cell r="E18">
            <v>25.555555555555554</v>
          </cell>
          <cell r="H18">
            <v>4.9107142857142856</v>
          </cell>
          <cell r="I18">
            <v>23.308270676691727</v>
          </cell>
          <cell r="J18">
            <v>10.416666666666668</v>
          </cell>
          <cell r="K18">
            <v>14.660493827160494</v>
          </cell>
          <cell r="L18">
            <v>12.757894736842106</v>
          </cell>
        </row>
        <row r="19">
          <cell r="A19" t="str">
            <v>P/E - 1999E</v>
          </cell>
          <cell r="B19">
            <v>13.649789138902332</v>
          </cell>
          <cell r="C19">
            <v>12.811435440561425</v>
          </cell>
          <cell r="D19">
            <v>13.14252336448598</v>
          </cell>
          <cell r="E19">
            <v>20.17543859649123</v>
          </cell>
          <cell r="H19" t="str">
            <v>na</v>
          </cell>
          <cell r="I19">
            <v>14.761904761904763</v>
          </cell>
          <cell r="J19">
            <v>9.6106150793650809</v>
          </cell>
          <cell r="K19">
            <v>11.098130841121495</v>
          </cell>
          <cell r="L19">
            <v>8.08</v>
          </cell>
        </row>
        <row r="21">
          <cell r="A21" t="str">
            <v xml:space="preserve">Market Value/ Book Value </v>
          </cell>
          <cell r="B21">
            <v>1.8858988512728747</v>
          </cell>
          <cell r="C21">
            <v>2.1165257419001238</v>
          </cell>
          <cell r="D21">
            <v>-1.5818335208098986</v>
          </cell>
          <cell r="E21">
            <v>2.814473684210526</v>
          </cell>
          <cell r="H21">
            <v>1.9642857142857144</v>
          </cell>
          <cell r="I21">
            <v>1.2291831879460746</v>
          </cell>
          <cell r="J21">
            <v>1.8041237113402062</v>
          </cell>
          <cell r="K21">
            <v>6.4189189189189193</v>
          </cell>
          <cell r="L21">
            <v>2.1665284974093262</v>
          </cell>
        </row>
        <row r="22">
          <cell r="A22" t="str">
            <v>Market Cap/ Annual Sales</v>
          </cell>
          <cell r="B22">
            <v>1.1014894316722299</v>
          </cell>
          <cell r="C22">
            <v>0.84246521368052796</v>
          </cell>
          <cell r="D22">
            <v>0.64648554222406096</v>
          </cell>
          <cell r="E22">
            <v>0.97134612258169406</v>
          </cell>
          <cell r="H22">
            <v>0.6132075471698113</v>
          </cell>
          <cell r="I22">
            <v>0.40544075333507718</v>
          </cell>
          <cell r="J22">
            <v>1.6509433962264151</v>
          </cell>
          <cell r="K22">
            <v>0.99164926931106467</v>
          </cell>
          <cell r="L22">
            <v>0.61818386491557231</v>
          </cell>
        </row>
        <row r="23">
          <cell r="A23" t="str">
            <v>Market Cap/1997 EBIT</v>
          </cell>
          <cell r="B23">
            <v>8.328183563424167</v>
          </cell>
          <cell r="C23">
            <v>11.347888984485635</v>
          </cell>
          <cell r="D23">
            <v>12.973247232472323</v>
          </cell>
          <cell r="E23">
            <v>15.458602846054335</v>
          </cell>
          <cell r="H23">
            <v>5</v>
          </cell>
          <cell r="I23">
            <v>14.485981308411215</v>
          </cell>
          <cell r="J23">
            <v>6.7307692307692308</v>
          </cell>
          <cell r="K23">
            <v>10.795454545454545</v>
          </cell>
          <cell r="L23">
            <v>13.991167728237793</v>
          </cell>
        </row>
        <row r="24">
          <cell r="A24" t="str">
            <v>Market Cap/1997  EBITDA</v>
          </cell>
          <cell r="B24">
            <v>7.7583655034326382</v>
          </cell>
          <cell r="C24">
            <v>8.8797536968242294</v>
          </cell>
          <cell r="D24">
            <v>9.0495495495495497</v>
          </cell>
          <cell r="E24">
            <v>12.033736153071501</v>
          </cell>
          <cell r="H24">
            <v>4.6428571428571432</v>
          </cell>
          <cell r="I24">
            <v>8.7570621468926557</v>
          </cell>
          <cell r="J24">
            <v>5.7377049180327875</v>
          </cell>
          <cell r="K24">
            <v>10.416666666666666</v>
          </cell>
          <cell r="L24">
            <v>11.520699300699301</v>
          </cell>
        </row>
        <row r="25">
          <cell r="A25" t="str">
            <v>Market Cap/1998 EBIT</v>
          </cell>
          <cell r="B25">
            <v>7.63972247777241</v>
          </cell>
          <cell r="C25">
            <v>7.949698111747316</v>
          </cell>
          <cell r="D25">
            <v>9.4956110735989192</v>
          </cell>
          <cell r="E25">
            <v>13.687857961053838</v>
          </cell>
          <cell r="H25">
            <v>3.8235294117647061</v>
          </cell>
          <cell r="I25">
            <v>9.1715976331360949</v>
          </cell>
          <cell r="J25">
            <v>6.25</v>
          </cell>
          <cell r="K25">
            <v>7.3302469135802468</v>
          </cell>
          <cell r="L25">
            <v>5.8890437890974088</v>
          </cell>
        </row>
        <row r="26">
          <cell r="A26" t="str">
            <v>Market Cap/1998 EBITDA</v>
          </cell>
          <cell r="B26">
            <v>7.1150894065699646</v>
          </cell>
          <cell r="C26">
            <v>6.4657417325103301</v>
          </cell>
          <cell r="D26">
            <v>7.0279860069965014</v>
          </cell>
          <cell r="E26">
            <v>10.833635539437898</v>
          </cell>
          <cell r="H26">
            <v>3.6111111111111112</v>
          </cell>
          <cell r="I26">
            <v>6.485355648535565</v>
          </cell>
          <cell r="J26">
            <v>5.384615384615385</v>
          </cell>
          <cell r="K26">
            <v>7.0684523809523805</v>
          </cell>
          <cell r="L26">
            <v>4.8490360559234729</v>
          </cell>
        </row>
        <row r="27">
          <cell r="A27" t="str">
            <v>Market Cap/1999 EBIT</v>
          </cell>
          <cell r="B27">
            <v>6.8077486250560355</v>
          </cell>
          <cell r="C27">
            <v>7.7663158778228114</v>
          </cell>
          <cell r="D27">
            <v>9.2763852242744065</v>
          </cell>
          <cell r="E27">
            <v>11.413085004775549</v>
          </cell>
          <cell r="H27" t="str">
            <v>na</v>
          </cell>
          <cell r="I27">
            <v>10.898976412995106</v>
          </cell>
          <cell r="J27">
            <v>5.7294051434676447</v>
          </cell>
          <cell r="K27">
            <v>5.5490654205607477</v>
          </cell>
          <cell r="L27">
            <v>3.7309780608634115</v>
          </cell>
        </row>
        <row r="28">
          <cell r="A28" t="str">
            <v>Market Cap/1999 EBITDA</v>
          </cell>
          <cell r="B28">
            <v>6.3403612624054064</v>
          </cell>
          <cell r="C28">
            <v>5.9545385789637573</v>
          </cell>
          <cell r="D28">
            <v>6.6147695202257761</v>
          </cell>
          <cell r="E28">
            <v>9.2131842713955301</v>
          </cell>
          <cell r="H28" t="str">
            <v>na</v>
          </cell>
          <cell r="I28">
            <v>6.5886467581382835</v>
          </cell>
          <cell r="J28">
            <v>4.8840830731199594</v>
          </cell>
          <cell r="K28">
            <v>5.3543613707165116</v>
          </cell>
          <cell r="L28">
            <v>3.0721864801864802</v>
          </cell>
        </row>
        <row r="30">
          <cell r="A30" t="str">
            <v>Acquisition of Stock</v>
          </cell>
          <cell r="F30" t="str">
            <v>Target Assumptions</v>
          </cell>
        </row>
        <row r="31">
          <cell r="A31" t="str">
            <v>Accretion/(Dilution) To FSH</v>
          </cell>
          <cell r="F31" t="str">
            <v xml:space="preserve">Sales 5 Yr. CAGR </v>
          </cell>
          <cell r="I31">
            <v>7.0000000000000062E-2</v>
          </cell>
        </row>
        <row r="32">
          <cell r="F32" t="str">
            <v>Tax Rate</v>
          </cell>
          <cell r="I32">
            <v>0.4</v>
          </cell>
        </row>
        <row r="33">
          <cell r="B33">
            <v>1998</v>
          </cell>
          <cell r="C33">
            <v>1999</v>
          </cell>
          <cell r="D33">
            <v>2000</v>
          </cell>
          <cell r="F33" t="str">
            <v>Purchase Multiple of 1997 EBIT:</v>
          </cell>
          <cell r="I33">
            <v>8.328183563424167</v>
          </cell>
        </row>
        <row r="34">
          <cell r="A34" t="str">
            <v>Cash for Stock (Debt Financing) (4)</v>
          </cell>
          <cell r="F34" t="str">
            <v>Terminal Multiple of 2002E EBIT:</v>
          </cell>
          <cell r="I34">
            <v>7.204202264628802</v>
          </cell>
        </row>
        <row r="35">
          <cell r="A35" t="str">
            <v xml:space="preserve">            Incremental Net income (chk with Bob)</v>
          </cell>
          <cell r="B35">
            <v>-0.93498943367478837</v>
          </cell>
          <cell r="C35">
            <v>5.8021980701662201E-2</v>
          </cell>
          <cell r="D35">
            <v>1.2004916335835834</v>
          </cell>
        </row>
        <row r="36">
          <cell r="A36" t="str">
            <v xml:space="preserve">            Per share</v>
          </cell>
          <cell r="B36">
            <v>-2.3374735841869665E-2</v>
          </cell>
          <cell r="C36">
            <v>1.4505495175416439E-3</v>
          </cell>
          <cell r="D36">
            <v>3.0012290839589451E-2</v>
          </cell>
          <cell r="F36" t="str">
            <v>Fisher Assumptions</v>
          </cell>
        </row>
        <row r="37">
          <cell r="A37" t="str">
            <v xml:space="preserve">            Dilution Threshold</v>
          </cell>
          <cell r="B37">
            <v>0</v>
          </cell>
          <cell r="C37">
            <v>0</v>
          </cell>
          <cell r="D37">
            <v>0</v>
          </cell>
          <cell r="F37" t="str">
            <v>Tax rate</v>
          </cell>
          <cell r="I37">
            <v>0.4</v>
          </cell>
        </row>
        <row r="38">
          <cell r="F38" t="str">
            <v>Debt financing cost</v>
          </cell>
          <cell r="I38">
            <v>0.09</v>
          </cell>
        </row>
        <row r="39">
          <cell r="A39" t="str">
            <v>Stock for Stock (Purchase)</v>
          </cell>
          <cell r="D39" t="str">
            <v xml:space="preserve"> </v>
          </cell>
          <cell r="F39" t="str">
            <v>Goodwill amortization (Years)</v>
          </cell>
          <cell r="I39">
            <v>25</v>
          </cell>
        </row>
        <row r="40">
          <cell r="A40" t="str">
            <v xml:space="preserve">            Incremental Net income</v>
          </cell>
          <cell r="B40">
            <v>5.713679744923553</v>
          </cell>
          <cell r="C40">
            <v>6.7066911593000036</v>
          </cell>
          <cell r="D40">
            <v>7.8491608121819247</v>
          </cell>
          <cell r="F40" t="str">
            <v>Goodwill Tax Deductible</v>
          </cell>
          <cell r="I40" t="str">
            <v>No</v>
          </cell>
        </row>
        <row r="41">
          <cell r="A41" t="str">
            <v xml:space="preserve">            Per share</v>
          </cell>
          <cell r="B41">
            <v>2.2013779555791091E-2</v>
          </cell>
          <cell r="C41">
            <v>-5.4591629269827857E-2</v>
          </cell>
          <cell r="D41">
            <v>-0.12543788746897855</v>
          </cell>
        </row>
        <row r="42">
          <cell r="A42" t="str">
            <v xml:space="preserve">            Dilution Threshold</v>
          </cell>
          <cell r="B42">
            <v>0</v>
          </cell>
          <cell r="C42">
            <v>0</v>
          </cell>
          <cell r="D42">
            <v>0</v>
          </cell>
          <cell r="I42">
            <v>1998</v>
          </cell>
          <cell r="J42">
            <v>1999</v>
          </cell>
          <cell r="K42">
            <v>2000</v>
          </cell>
        </row>
        <row r="43">
          <cell r="F43" t="str">
            <v>EBIT</v>
          </cell>
          <cell r="I43">
            <v>10.382161277975143</v>
          </cell>
          <cell r="J43">
            <v>11.65096351990408</v>
          </cell>
          <cell r="K43">
            <v>13.0464277509508</v>
          </cell>
        </row>
        <row r="44">
          <cell r="F44" t="str">
            <v>Depreciation &amp; Amortization</v>
          </cell>
          <cell r="I44">
            <v>0.76553151278094744</v>
          </cell>
          <cell r="J44">
            <v>0.85886480068499138</v>
          </cell>
          <cell r="K44">
            <v>0.95085718078720227</v>
          </cell>
        </row>
        <row r="45">
          <cell r="A45" t="str">
            <v>IRR @</v>
          </cell>
          <cell r="B45">
            <v>79.316830883205029</v>
          </cell>
          <cell r="C45" t="str">
            <v>*    equals:</v>
          </cell>
          <cell r="D45">
            <v>0.1455104494284723</v>
          </cell>
          <cell r="F45" t="str">
            <v xml:space="preserve">Working Capital </v>
          </cell>
          <cell r="I45">
            <v>-1.254072741210507</v>
          </cell>
          <cell r="J45">
            <v>-1.3438219478321969</v>
          </cell>
          <cell r="K45">
            <v>-1.4380477381261798</v>
          </cell>
        </row>
        <row r="46">
          <cell r="F46" t="str">
            <v>Capex</v>
          </cell>
          <cell r="I46">
            <v>-1.1557397638784226</v>
          </cell>
          <cell r="J46">
            <v>-1.2366415473499122</v>
          </cell>
          <cell r="K46">
            <v>-1.3232064556644063</v>
          </cell>
        </row>
        <row r="47">
          <cell r="A47" t="str">
            <v>PV @</v>
          </cell>
          <cell r="B47">
            <v>0.15</v>
          </cell>
          <cell r="C47" t="str">
            <v>equals:</v>
          </cell>
          <cell r="D47">
            <v>77.935092001174382</v>
          </cell>
          <cell r="F47" t="str">
            <v>Purchase Accounting Outflows</v>
          </cell>
          <cell r="I47">
            <v>0</v>
          </cell>
          <cell r="J47">
            <v>0</v>
          </cell>
          <cell r="K47">
            <v>0</v>
          </cell>
        </row>
        <row r="48">
          <cell r="A48" t="str">
            <v>NPV @</v>
          </cell>
          <cell r="B48">
            <v>0.15</v>
          </cell>
          <cell r="C48" t="str">
            <v>equals:</v>
          </cell>
          <cell r="D48">
            <v>-1.3817388820306462</v>
          </cell>
          <cell r="F48" t="str">
            <v>Free Cash Flow</v>
          </cell>
          <cell r="I48">
            <v>8.7378802856671616</v>
          </cell>
          <cell r="J48">
            <v>9.929364825406962</v>
          </cell>
          <cell r="K48">
            <v>11.236030737947416</v>
          </cell>
        </row>
        <row r="49">
          <cell r="F49" t="str">
            <v>Interest (after tax)</v>
          </cell>
          <cell r="I49">
            <v>-4.2831088676930715</v>
          </cell>
          <cell r="J49">
            <v>-4.2668058947267342</v>
          </cell>
          <cell r="K49">
            <v>-4.2126885244999297</v>
          </cell>
        </row>
        <row r="50">
          <cell r="B50" t="str">
            <v>* Unlevered</v>
          </cell>
          <cell r="F50" t="str">
            <v>Taxes</v>
          </cell>
          <cell r="I50">
            <v>-4.1528645111900575</v>
          </cell>
          <cell r="J50">
            <v>-4.6603854079616323</v>
          </cell>
          <cell r="K50">
            <v>-5.2185711003803199</v>
          </cell>
        </row>
        <row r="51">
          <cell r="F51" t="str">
            <v>Excess Cash Flow</v>
          </cell>
          <cell r="I51">
            <v>0.30190690678403254</v>
          </cell>
          <cell r="J51">
            <v>1.0021735227185955</v>
          </cell>
          <cell r="K51">
            <v>1.8047711130671669</v>
          </cell>
        </row>
        <row r="52">
          <cell r="A52" t="str">
            <v>Fisher 1997 = Target 1998</v>
          </cell>
        </row>
        <row r="54">
          <cell r="A54" t="str">
            <v>(1) Average multiples include all figures.</v>
          </cell>
        </row>
        <row r="55">
          <cell r="A55" t="str">
            <v>(2) Excludes extraordinary items.  Balance sheet data as of latest quarter.  All data sourced from SEC filings and company earnings releases.</v>
          </cell>
        </row>
        <row r="56">
          <cell r="A56" t="str">
            <v xml:space="preserve">(3) Includes debt less cash.  Target balance sheet estimated as of 06/30/98.  </v>
          </cell>
        </row>
        <row r="57">
          <cell r="A57" t="str">
            <v>(4) Consideration: 100% Debt.</v>
          </cell>
        </row>
        <row r="58">
          <cell r="A58" t="str">
            <v>Present Market Value</v>
          </cell>
        </row>
        <row r="59">
          <cell r="A59" t="str">
            <v>(U.S. $ in millions except per share amounts)</v>
          </cell>
        </row>
        <row r="61">
          <cell r="D61" t="str">
            <v>PUBLIC COMPARABLES(1)</v>
          </cell>
          <cell r="H61" t="str">
            <v>TRANSACTION COMPARABLES</v>
          </cell>
        </row>
        <row r="62">
          <cell r="B62" t="str">
            <v>Target</v>
          </cell>
          <cell r="J62" t="str">
            <v xml:space="preserve">J &amp; W </v>
          </cell>
          <cell r="K62" t="str">
            <v>Baxter</v>
          </cell>
          <cell r="L62" t="str">
            <v>E. Merck/</v>
          </cell>
        </row>
        <row r="63">
          <cell r="A63" t="str">
            <v xml:space="preserve"> </v>
          </cell>
          <cell r="B63" t="str">
            <v>@ Offer</v>
          </cell>
          <cell r="D63" t="str">
            <v>Fisher</v>
          </cell>
          <cell r="E63" t="str">
            <v>VWR</v>
          </cell>
          <cell r="H63" t="str">
            <v>Cosa Rocas</v>
          </cell>
          <cell r="I63" t="str">
            <v>CMS/ FSE</v>
          </cell>
          <cell r="J63" t="str">
            <v>Scientific</v>
          </cell>
          <cell r="K63" t="str">
            <v>Industrial</v>
          </cell>
          <cell r="L63" t="str">
            <v>VWR Equity Purch.</v>
          </cell>
        </row>
        <row r="64">
          <cell r="D64" t="str">
            <v xml:space="preserve"> </v>
          </cell>
        </row>
        <row r="65">
          <cell r="A65" t="str">
            <v>Offer price per share</v>
          </cell>
          <cell r="B65">
            <v>60.118898099305028</v>
          </cell>
          <cell r="D65">
            <v>14.0625</v>
          </cell>
          <cell r="E65">
            <v>34.5</v>
          </cell>
          <cell r="H65">
            <v>5.5</v>
          </cell>
          <cell r="I65">
            <v>310</v>
          </cell>
          <cell r="J65">
            <v>35</v>
          </cell>
          <cell r="K65">
            <v>475</v>
          </cell>
          <cell r="L65">
            <v>12.12</v>
          </cell>
        </row>
        <row r="66">
          <cell r="A66" t="str">
            <v>Shares Outstanding (mms)</v>
          </cell>
          <cell r="B66">
            <v>2.048</v>
          </cell>
          <cell r="D66">
            <v>40</v>
          </cell>
          <cell r="E66">
            <v>27.9</v>
          </cell>
          <cell r="H66">
            <v>1</v>
          </cell>
          <cell r="I66" t="str">
            <v>n/a</v>
          </cell>
          <cell r="J66">
            <v>1</v>
          </cell>
          <cell r="K66" t="str">
            <v>n/a</v>
          </cell>
          <cell r="L66">
            <v>20.7</v>
          </cell>
        </row>
        <row r="68">
          <cell r="A68" t="str">
            <v>EPS - 1997</v>
          </cell>
          <cell r="B68">
            <v>2.9290333511261792</v>
          </cell>
          <cell r="D68">
            <v>1.18</v>
          </cell>
          <cell r="E68">
            <v>1.06</v>
          </cell>
          <cell r="H68">
            <v>0.97</v>
          </cell>
          <cell r="I68">
            <v>15.8</v>
          </cell>
          <cell r="J68">
            <v>3.1</v>
          </cell>
          <cell r="K68">
            <v>22</v>
          </cell>
          <cell r="L68">
            <v>0.4</v>
          </cell>
        </row>
        <row r="69">
          <cell r="A69" t="str">
            <v xml:space="preserve">EPS - 1998E </v>
          </cell>
          <cell r="B69">
            <v>3.9195140619775799</v>
          </cell>
          <cell r="D69">
            <v>0.53</v>
          </cell>
          <cell r="E69">
            <v>1.35</v>
          </cell>
          <cell r="H69">
            <v>1.1200000000000001</v>
          </cell>
          <cell r="I69">
            <v>13.3</v>
          </cell>
          <cell r="J69">
            <v>3.36</v>
          </cell>
          <cell r="K69">
            <v>32.4</v>
          </cell>
          <cell r="L69">
            <v>0.95</v>
          </cell>
        </row>
        <row r="70">
          <cell r="A70" t="str">
            <v>EPS - 1999E</v>
          </cell>
          <cell r="B70">
            <v>4.4043829166535815</v>
          </cell>
          <cell r="D70">
            <v>1.07</v>
          </cell>
          <cell r="E70">
            <v>1.71</v>
          </cell>
          <cell r="H70" t="str">
            <v>na</v>
          </cell>
          <cell r="I70">
            <v>21</v>
          </cell>
          <cell r="J70">
            <v>3.6418064516129025</v>
          </cell>
          <cell r="K70">
            <v>42.8</v>
          </cell>
          <cell r="L70">
            <v>1.5</v>
          </cell>
        </row>
        <row r="72">
          <cell r="A72" t="str">
            <v>Annual Sales (1997)</v>
          </cell>
          <cell r="B72">
            <v>72.008708029808247</v>
          </cell>
          <cell r="D72">
            <v>2175.3000000000002</v>
          </cell>
          <cell r="E72">
            <v>1230.2</v>
          </cell>
          <cell r="H72">
            <v>10.6</v>
          </cell>
          <cell r="I72">
            <v>764.6</v>
          </cell>
          <cell r="J72">
            <v>21.2</v>
          </cell>
          <cell r="K72">
            <v>479</v>
          </cell>
          <cell r="L72">
            <v>1066</v>
          </cell>
        </row>
        <row r="73">
          <cell r="A73" t="str">
            <v>1997 EBIT</v>
          </cell>
          <cell r="B73">
            <v>9.5239052164447724</v>
          </cell>
          <cell r="D73">
            <v>108.4</v>
          </cell>
          <cell r="E73">
            <v>77.3</v>
          </cell>
          <cell r="H73">
            <v>1.3</v>
          </cell>
          <cell r="I73">
            <v>21.4</v>
          </cell>
          <cell r="J73">
            <v>5.2</v>
          </cell>
          <cell r="K73">
            <v>44</v>
          </cell>
          <cell r="L73">
            <v>47.1</v>
          </cell>
        </row>
        <row r="74">
          <cell r="A74" t="str">
            <v>1997 EBITDA</v>
          </cell>
          <cell r="B74">
            <v>10.223394457004096</v>
          </cell>
          <cell r="D74">
            <v>155.4</v>
          </cell>
          <cell r="E74">
            <v>99.3</v>
          </cell>
          <cell r="H74">
            <v>1.4</v>
          </cell>
          <cell r="I74">
            <v>35.4</v>
          </cell>
          <cell r="J74">
            <v>6.1</v>
          </cell>
          <cell r="K74">
            <v>45.6</v>
          </cell>
          <cell r="L74">
            <v>57.2</v>
          </cell>
        </row>
        <row r="75">
          <cell r="A75" t="str">
            <v>1998 EBIT</v>
          </cell>
          <cell r="B75">
            <v>10.382161277975143</v>
          </cell>
          <cell r="D75">
            <v>148.1</v>
          </cell>
          <cell r="E75">
            <v>87.3</v>
          </cell>
          <cell r="H75">
            <v>1.7</v>
          </cell>
          <cell r="I75">
            <v>33.799999999999997</v>
          </cell>
          <cell r="J75">
            <v>5.6</v>
          </cell>
          <cell r="K75">
            <v>64.8</v>
          </cell>
          <cell r="L75">
            <v>111.9</v>
          </cell>
        </row>
        <row r="76">
          <cell r="A76" t="str">
            <v>1998 EBITDA</v>
          </cell>
          <cell r="B76">
            <v>11.147692790756091</v>
          </cell>
          <cell r="D76">
            <v>200.1</v>
          </cell>
          <cell r="E76">
            <v>110.3</v>
          </cell>
          <cell r="H76">
            <v>1.8</v>
          </cell>
          <cell r="I76">
            <v>47.8</v>
          </cell>
          <cell r="J76">
            <v>6.5</v>
          </cell>
          <cell r="K76">
            <v>67.2</v>
          </cell>
          <cell r="L76">
            <v>135.9</v>
          </cell>
        </row>
        <row r="77">
          <cell r="A77" t="str">
            <v>1999 EBIT</v>
          </cell>
          <cell r="B77">
            <v>11.65096351990408</v>
          </cell>
          <cell r="D77">
            <v>151.6</v>
          </cell>
          <cell r="E77">
            <v>104.7</v>
          </cell>
          <cell r="H77" t="str">
            <v>na</v>
          </cell>
          <cell r="I77">
            <v>28.443037974683541</v>
          </cell>
          <cell r="J77">
            <v>6.1088366285119653</v>
          </cell>
          <cell r="K77">
            <v>85.6</v>
          </cell>
          <cell r="L77">
            <v>176.625</v>
          </cell>
        </row>
        <row r="78">
          <cell r="A78" t="str">
            <v>1999 EBITDA</v>
          </cell>
          <cell r="B78">
            <v>12.509828320589071</v>
          </cell>
          <cell r="D78">
            <v>212.6</v>
          </cell>
          <cell r="E78">
            <v>129.69999999999999</v>
          </cell>
          <cell r="H78" t="str">
            <v>na</v>
          </cell>
          <cell r="I78">
            <v>47.050632911392405</v>
          </cell>
          <cell r="J78">
            <v>7.1661352757544208</v>
          </cell>
          <cell r="K78">
            <v>88.712727272727264</v>
          </cell>
          <cell r="L78">
            <v>214.5</v>
          </cell>
        </row>
        <row r="79">
          <cell r="A79" t="str">
            <v>Depreciation &amp; Amortization (1997)</v>
          </cell>
          <cell r="B79">
            <v>0.69948924055932338</v>
          </cell>
          <cell r="D79">
            <v>47</v>
          </cell>
          <cell r="E79">
            <v>22</v>
          </cell>
          <cell r="H79">
            <v>0.8</v>
          </cell>
          <cell r="I79">
            <v>14</v>
          </cell>
          <cell r="J79">
            <v>0.9</v>
          </cell>
          <cell r="K79" t="str">
            <v>n/a</v>
          </cell>
          <cell r="L79">
            <v>9.8000000000000007</v>
          </cell>
        </row>
        <row r="80">
          <cell r="A80" t="str">
            <v>Book Value (1997)</v>
          </cell>
          <cell r="B80">
            <v>65.286376957213434</v>
          </cell>
          <cell r="D80">
            <v>-355.6</v>
          </cell>
          <cell r="E80">
            <v>342</v>
          </cell>
          <cell r="H80">
            <v>2.8</v>
          </cell>
          <cell r="I80">
            <v>252.2</v>
          </cell>
          <cell r="J80">
            <v>19.399999999999999</v>
          </cell>
          <cell r="K80">
            <v>74</v>
          </cell>
          <cell r="L80">
            <v>115.8</v>
          </cell>
        </row>
        <row r="82">
          <cell r="A82" t="str">
            <v>(1) Excludes extraordinary items.  Balance sheet data as of latest quarter.  All data sourced from SEC filings and company earnings releases.</v>
          </cell>
        </row>
        <row r="84">
          <cell r="A84" t="str">
            <v>EPS Analysis</v>
          </cell>
        </row>
        <row r="86">
          <cell r="B86" t="str">
            <v>Acquisition of 100% Of Stock</v>
          </cell>
        </row>
        <row r="87">
          <cell r="A87" t="str">
            <v xml:space="preserve"> </v>
          </cell>
          <cell r="B87" t="str">
            <v xml:space="preserve">        Debt (1)</v>
          </cell>
          <cell r="F87" t="str">
            <v xml:space="preserve">          Stock (Purchase)</v>
          </cell>
          <cell r="J87" t="str">
            <v>Debt Balance</v>
          </cell>
        </row>
        <row r="88">
          <cell r="B88">
            <v>1998</v>
          </cell>
          <cell r="C88">
            <v>1999</v>
          </cell>
          <cell r="D88">
            <v>2000</v>
          </cell>
          <cell r="E88" t="str">
            <v>CAGR</v>
          </cell>
          <cell r="F88">
            <v>1998</v>
          </cell>
          <cell r="G88">
            <v>1999</v>
          </cell>
          <cell r="H88">
            <v>2000</v>
          </cell>
          <cell r="J88">
            <v>1998</v>
          </cell>
          <cell r="K88">
            <v>1999</v>
          </cell>
          <cell r="L88">
            <v>2000</v>
          </cell>
        </row>
        <row r="89">
          <cell r="A89" t="str">
            <v>Net Income (mm)</v>
          </cell>
          <cell r="B89">
            <v>8.0271647989300838</v>
          </cell>
          <cell r="C89">
            <v>9.0201762133065344</v>
          </cell>
          <cell r="D89">
            <v>10.162645866188456</v>
          </cell>
          <cell r="E89">
            <v>0.12518078364180929</v>
          </cell>
          <cell r="F89">
            <v>8.0271647989300838</v>
          </cell>
          <cell r="G89">
            <v>9.0201762133065344</v>
          </cell>
          <cell r="H89">
            <v>10.162645866188456</v>
          </cell>
          <cell r="J89">
            <v>79.316830883205029</v>
          </cell>
          <cell r="K89">
            <v>79.014923976421002</v>
          </cell>
          <cell r="L89">
            <v>78.012750453702409</v>
          </cell>
        </row>
        <row r="90">
          <cell r="A90" t="str">
            <v>Incremental Goodwill Amortization</v>
          </cell>
          <cell r="B90">
            <v>-2.3134850540065304</v>
          </cell>
          <cell r="C90">
            <v>-2.3134850540065304</v>
          </cell>
          <cell r="D90">
            <v>-2.3134850540065304</v>
          </cell>
          <cell r="F90">
            <v>-2.3134850540065304</v>
          </cell>
          <cell r="G90">
            <v>-2.3134850540065304</v>
          </cell>
          <cell r="H90">
            <v>-2.3134850540065304</v>
          </cell>
        </row>
        <row r="91">
          <cell r="A91" t="str">
            <v>Interest on Debt (after tax)</v>
          </cell>
          <cell r="B91">
            <v>-6.6486691785983414</v>
          </cell>
          <cell r="C91">
            <v>-6.6486691785983414</v>
          </cell>
          <cell r="D91">
            <v>-6.6486691785983414</v>
          </cell>
          <cell r="F91">
            <v>0</v>
          </cell>
          <cell r="G91">
            <v>0</v>
          </cell>
          <cell r="H91">
            <v>0</v>
          </cell>
        </row>
        <row r="92">
          <cell r="A92" t="str">
            <v>Incremental Net Income</v>
          </cell>
          <cell r="B92">
            <v>-0.93498943367478837</v>
          </cell>
          <cell r="C92">
            <v>5.8021980701662201E-2</v>
          </cell>
          <cell r="D92">
            <v>1.2004916335835834</v>
          </cell>
          <cell r="F92">
            <v>5.713679744923553</v>
          </cell>
          <cell r="G92">
            <v>6.7066911593000036</v>
          </cell>
          <cell r="H92">
            <v>7.8491608121819247</v>
          </cell>
        </row>
        <row r="93">
          <cell r="A93" t="str">
            <v>Fisher Fully-Diluted Net Income</v>
          </cell>
          <cell r="B93">
            <v>21.200000000000003</v>
          </cell>
          <cell r="C93">
            <v>42.800000000000004</v>
          </cell>
          <cell r="D93">
            <v>63.8</v>
          </cell>
          <cell r="E93">
            <v>0.7347720202563075</v>
          </cell>
          <cell r="F93">
            <v>21.200000000000003</v>
          </cell>
          <cell r="G93">
            <v>42.800000000000004</v>
          </cell>
          <cell r="H93">
            <v>63.8</v>
          </cell>
        </row>
        <row r="94">
          <cell r="A94" t="str">
            <v>Total Net Income</v>
          </cell>
          <cell r="B94">
            <v>20.265010566325216</v>
          </cell>
          <cell r="C94">
            <v>42.858021980701665</v>
          </cell>
          <cell r="D94">
            <v>65.000491633583579</v>
          </cell>
          <cell r="F94">
            <v>26.913679744923556</v>
          </cell>
          <cell r="G94">
            <v>49.506691159300004</v>
          </cell>
          <cell r="H94">
            <v>71.649160812181918</v>
          </cell>
        </row>
        <row r="95">
          <cell r="A95" t="str">
            <v>Fisher Shares (fully diluted) - pre-Acq.</v>
          </cell>
          <cell r="B95">
            <v>40</v>
          </cell>
          <cell r="C95">
            <v>40</v>
          </cell>
          <cell r="D95">
            <v>40</v>
          </cell>
          <cell r="F95">
            <v>40</v>
          </cell>
          <cell r="G95">
            <v>40</v>
          </cell>
          <cell r="H95">
            <v>40</v>
          </cell>
        </row>
        <row r="96">
          <cell r="A96" t="str">
            <v>Fisher Shares  issued - Acq. Currency</v>
          </cell>
          <cell r="B96">
            <v>0</v>
          </cell>
          <cell r="C96">
            <v>0</v>
          </cell>
          <cell r="D96">
            <v>0</v>
          </cell>
          <cell r="F96">
            <v>8.7554491240801209</v>
          </cell>
          <cell r="G96">
            <v>8.7554491240801209</v>
          </cell>
          <cell r="H96">
            <v>8.7554491240801209</v>
          </cell>
        </row>
        <row r="97">
          <cell r="A97" t="str">
            <v>Total Shares (pro forma for acquisition)</v>
          </cell>
          <cell r="B97">
            <v>40</v>
          </cell>
          <cell r="C97">
            <v>40</v>
          </cell>
          <cell r="D97">
            <v>40</v>
          </cell>
          <cell r="F97">
            <v>48.755449124080123</v>
          </cell>
          <cell r="G97">
            <v>48.755449124080123</v>
          </cell>
          <cell r="H97">
            <v>48.755449124080123</v>
          </cell>
        </row>
        <row r="98">
          <cell r="A98" t="str">
            <v>Fisher EPS (pro forma for acquisition)</v>
          </cell>
          <cell r="B98">
            <v>0.50662526415813036</v>
          </cell>
          <cell r="C98">
            <v>1.0714505495175417</v>
          </cell>
          <cell r="D98">
            <v>1.6250122908395894</v>
          </cell>
          <cell r="F98">
            <v>0.55201377955579112</v>
          </cell>
          <cell r="G98">
            <v>1.0154083707301722</v>
          </cell>
          <cell r="H98">
            <v>1.4695621125310214</v>
          </cell>
        </row>
        <row r="99">
          <cell r="A99" t="str">
            <v>Accretion (Dilution) per share</v>
          </cell>
          <cell r="B99">
            <v>-2.3374735841869665E-2</v>
          </cell>
          <cell r="C99">
            <v>1.4505495175416439E-3</v>
          </cell>
          <cell r="D99">
            <v>3.0012290839589451E-2</v>
          </cell>
          <cell r="F99">
            <v>2.2013779555791091E-2</v>
          </cell>
          <cell r="G99">
            <v>-5.4591629269827857E-2</v>
          </cell>
          <cell r="H99">
            <v>-0.12543788746897855</v>
          </cell>
        </row>
        <row r="101">
          <cell r="A101" t="str">
            <v>Goodwill Calculation</v>
          </cell>
        </row>
        <row r="102">
          <cell r="A102" t="str">
            <v>Purchase Price of Equity</v>
          </cell>
          <cell r="B102">
            <v>123.12350330737669</v>
          </cell>
          <cell r="C102">
            <v>123.12350330737669</v>
          </cell>
          <cell r="D102">
            <v>123.12350330737669</v>
          </cell>
          <cell r="F102">
            <v>123.12350330737669</v>
          </cell>
          <cell r="G102">
            <v>123.12350330737669</v>
          </cell>
          <cell r="H102">
            <v>123.12350330737669</v>
          </cell>
        </row>
        <row r="103">
          <cell r="A103" t="str">
            <v>Add Purchase Accounting</v>
          </cell>
          <cell r="B103">
            <v>0</v>
          </cell>
          <cell r="F103">
            <v>0</v>
          </cell>
        </row>
        <row r="104">
          <cell r="A104" t="str">
            <v>Less Net BV of Assets</v>
          </cell>
          <cell r="B104">
            <v>65.286376957213434</v>
          </cell>
          <cell r="C104">
            <v>65.286376957213434</v>
          </cell>
          <cell r="D104">
            <v>65.286376957213434</v>
          </cell>
          <cell r="F104">
            <v>65.286376957213434</v>
          </cell>
          <cell r="G104">
            <v>65.286376957213434</v>
          </cell>
          <cell r="H104">
            <v>65.286376957213434</v>
          </cell>
        </row>
        <row r="105">
          <cell r="A105" t="str">
            <v>Less Asset Write-up</v>
          </cell>
          <cell r="B105">
            <v>0</v>
          </cell>
          <cell r="C105">
            <v>0</v>
          </cell>
          <cell r="D105">
            <v>0</v>
          </cell>
          <cell r="F105">
            <v>0</v>
          </cell>
          <cell r="G105">
            <v>0</v>
          </cell>
          <cell r="H105">
            <v>0</v>
          </cell>
        </row>
        <row r="106">
          <cell r="A106" t="str">
            <v>Total Goodwill</v>
          </cell>
          <cell r="B106">
            <v>57.83712635016326</v>
          </cell>
          <cell r="C106">
            <v>57.83712635016326</v>
          </cell>
          <cell r="D106">
            <v>57.83712635016326</v>
          </cell>
          <cell r="F106">
            <v>57.83712635016326</v>
          </cell>
          <cell r="G106">
            <v>57.83712635016326</v>
          </cell>
          <cell r="H106">
            <v>57.83712635016326</v>
          </cell>
        </row>
        <row r="108">
          <cell r="A108" t="str">
            <v xml:space="preserve">Total Annual Goodwill Expense </v>
          </cell>
          <cell r="B108">
            <v>2.3134850540065304</v>
          </cell>
          <cell r="C108">
            <v>2.3134850540065304</v>
          </cell>
          <cell r="D108">
            <v>2.3134850540065304</v>
          </cell>
          <cell r="F108">
            <v>2.3134850540065304</v>
          </cell>
          <cell r="G108">
            <v>2.3134850540065304</v>
          </cell>
          <cell r="H108">
            <v>2.3134850540065304</v>
          </cell>
        </row>
        <row r="110">
          <cell r="A110" t="str">
            <v>Dilution Purchase Price Threshold</v>
          </cell>
          <cell r="B110">
            <v>0</v>
          </cell>
          <cell r="C110">
            <v>0</v>
          </cell>
          <cell r="D110">
            <v>0</v>
          </cell>
          <cell r="F110">
            <v>0</v>
          </cell>
          <cell r="G110">
            <v>0</v>
          </cell>
          <cell r="H110">
            <v>0</v>
          </cell>
        </row>
        <row r="112">
          <cell r="A112" t="str">
            <v>(1) Capital structure of acquisition: 100% debt.</v>
          </cell>
        </row>
        <row r="113">
          <cell r="G113">
            <v>1</v>
          </cell>
          <cell r="H113">
            <v>2</v>
          </cell>
          <cell r="J113">
            <v>3</v>
          </cell>
          <cell r="K113">
            <v>4</v>
          </cell>
          <cell r="L113">
            <v>5</v>
          </cell>
        </row>
        <row r="115">
          <cell r="A115" t="str">
            <v>Income Statements ($000's)</v>
          </cell>
          <cell r="O115" t="str">
            <v>Income Statements (FFR in millions)</v>
          </cell>
        </row>
        <row r="116">
          <cell r="A116" t="str">
            <v>Fiscal Year Ended June 30,</v>
          </cell>
          <cell r="O116" t="str">
            <v>Year Ended Dec 31,</v>
          </cell>
        </row>
        <row r="117">
          <cell r="A117" t="str">
            <v xml:space="preserve">Exchange rate: per Fr. Franc </v>
          </cell>
          <cell r="B117">
            <v>0.16746211169722849</v>
          </cell>
          <cell r="C117" t="str">
            <v>1995A</v>
          </cell>
          <cell r="D117" t="str">
            <v>1996A</v>
          </cell>
          <cell r="E117" t="str">
            <v>1997A</v>
          </cell>
          <cell r="F117" t="str">
            <v>1998E</v>
          </cell>
          <cell r="G117" t="str">
            <v>1999E</v>
          </cell>
          <cell r="H117" t="str">
            <v>2000E</v>
          </cell>
          <cell r="I117" t="str">
            <v>2001E</v>
          </cell>
          <cell r="J117" t="str">
            <v>2002E</v>
          </cell>
          <cell r="K117" t="str">
            <v>2003E</v>
          </cell>
          <cell r="Q117" t="str">
            <v>1995A</v>
          </cell>
          <cell r="R117" t="str">
            <v>1996A</v>
          </cell>
          <cell r="S117" t="str">
            <v>1997A</v>
          </cell>
        </row>
        <row r="119">
          <cell r="A119" t="str">
            <v>Total Sales (2)</v>
          </cell>
          <cell r="C119">
            <v>59.551369002763117</v>
          </cell>
          <cell r="D119">
            <v>62.831784308800131</v>
          </cell>
          <cell r="E119">
            <v>65.779117474671352</v>
          </cell>
          <cell r="F119">
            <v>72.008708029808247</v>
          </cell>
          <cell r="G119">
            <v>77.049317591894834</v>
          </cell>
          <cell r="H119">
            <v>82.442769823327481</v>
          </cell>
          <cell r="I119">
            <v>88.213763710960421</v>
          </cell>
          <cell r="J119">
            <v>94.388727170727662</v>
          </cell>
          <cell r="K119">
            <v>100.9959380726786</v>
          </cell>
          <cell r="O119" t="str">
            <v>Total Sales</v>
          </cell>
          <cell r="Q119">
            <v>355.61099999999999</v>
          </cell>
          <cell r="R119">
            <v>375.2</v>
          </cell>
          <cell r="S119">
            <v>392.8</v>
          </cell>
        </row>
        <row r="120">
          <cell r="A120" t="str">
            <v>Annual Growth</v>
          </cell>
          <cell r="C120" t="str">
            <v>na</v>
          </cell>
          <cell r="D120">
            <v>5.5085472609115005E-2</v>
          </cell>
          <cell r="E120">
            <v>4.6908315565032055E-2</v>
          </cell>
          <cell r="F120">
            <v>9.4704684317718835E-2</v>
          </cell>
          <cell r="G120">
            <v>7.0000000000000062E-2</v>
          </cell>
          <cell r="H120">
            <v>7.0000000000000062E-2</v>
          </cell>
          <cell r="I120">
            <v>7.0000000000000284E-2</v>
          </cell>
          <cell r="J120">
            <v>7.0000000000000062E-2</v>
          </cell>
          <cell r="K120">
            <v>7.0000000000000062E-2</v>
          </cell>
          <cell r="O120" t="str">
            <v>Annual Growth</v>
          </cell>
          <cell r="Q120" t="str">
            <v>n/a</v>
          </cell>
          <cell r="R120">
            <v>5.5085472609115005E-2</v>
          </cell>
          <cell r="S120">
            <v>4.6908315565032055E-2</v>
          </cell>
        </row>
        <row r="122">
          <cell r="A122" t="str">
            <v xml:space="preserve">Cost of Sales </v>
          </cell>
          <cell r="C122">
            <v>33.289458260068656</v>
          </cell>
          <cell r="D122">
            <v>34.816545256635685</v>
          </cell>
          <cell r="E122">
            <v>36.6407100393536</v>
          </cell>
          <cell r="F122">
            <v>40.00669848446789</v>
          </cell>
          <cell r="G122">
            <v>42.753077116302435</v>
          </cell>
          <cell r="H122">
            <v>45.333578665326968</v>
          </cell>
          <cell r="I122">
            <v>48.065860353345059</v>
          </cell>
          <cell r="J122">
            <v>50.958526942225582</v>
          </cell>
          <cell r="K122">
            <v>54.020644137817989</v>
          </cell>
          <cell r="O122" t="str">
            <v xml:space="preserve">Cost of Sales </v>
          </cell>
          <cell r="Q122">
            <v>198.78800000000001</v>
          </cell>
          <cell r="R122">
            <v>207.90700000000001</v>
          </cell>
          <cell r="S122">
            <v>218.8</v>
          </cell>
        </row>
        <row r="123">
          <cell r="A123" t="str">
            <v>Adjustments to COGS</v>
          </cell>
          <cell r="C123">
            <v>0</v>
          </cell>
          <cell r="D123">
            <v>0</v>
          </cell>
          <cell r="E123">
            <v>0</v>
          </cell>
          <cell r="F123">
            <v>0</v>
          </cell>
          <cell r="G123">
            <v>0</v>
          </cell>
          <cell r="H123">
            <v>0</v>
          </cell>
          <cell r="I123">
            <v>0</v>
          </cell>
          <cell r="J123">
            <v>0</v>
          </cell>
          <cell r="K123">
            <v>0</v>
          </cell>
          <cell r="O123" t="str">
            <v>Adjustments to COGS</v>
          </cell>
          <cell r="Q123">
            <v>0</v>
          </cell>
          <cell r="R123">
            <v>0</v>
          </cell>
          <cell r="S123">
            <v>0</v>
          </cell>
        </row>
        <row r="124">
          <cell r="A124" t="str">
            <v xml:space="preserve">Total Gross Profit </v>
          </cell>
          <cell r="C124">
            <v>26.261910742694461</v>
          </cell>
          <cell r="D124">
            <v>28.015239052164446</v>
          </cell>
          <cell r="E124">
            <v>29.138407435317752</v>
          </cell>
          <cell r="F124">
            <v>32.002009545340357</v>
          </cell>
          <cell r="G124">
            <v>34.296240475592398</v>
          </cell>
          <cell r="H124">
            <v>37.109191158000513</v>
          </cell>
          <cell r="I124">
            <v>40.147903357615363</v>
          </cell>
          <cell r="J124">
            <v>43.430200228502081</v>
          </cell>
          <cell r="K124">
            <v>46.975293934860609</v>
          </cell>
          <cell r="O124" t="str">
            <v xml:space="preserve">Total Gross Profit </v>
          </cell>
          <cell r="Q124">
            <v>156.82299999999998</v>
          </cell>
          <cell r="R124">
            <v>167.29299999999998</v>
          </cell>
          <cell r="S124">
            <v>174</v>
          </cell>
        </row>
        <row r="125">
          <cell r="A125" t="str">
            <v>Gross Margin %</v>
          </cell>
          <cell r="C125">
            <v>0.44099591969877194</v>
          </cell>
          <cell r="D125">
            <v>0.44587686567164181</v>
          </cell>
          <cell r="E125">
            <v>0.44297352342158852</v>
          </cell>
          <cell r="F125">
            <v>0.44441860465116273</v>
          </cell>
          <cell r="G125">
            <v>0.44512062595088026</v>
          </cell>
          <cell r="H125">
            <v>0.45012062595088032</v>
          </cell>
          <cell r="I125">
            <v>0.45512062595088038</v>
          </cell>
          <cell r="J125">
            <v>0.46012062595088038</v>
          </cell>
          <cell r="K125">
            <v>0.46512062595088027</v>
          </cell>
          <cell r="O125" t="str">
            <v>Gross Margin %</v>
          </cell>
          <cell r="Q125">
            <v>0.44099591969877194</v>
          </cell>
          <cell r="R125">
            <v>0.44587686567164175</v>
          </cell>
          <cell r="S125">
            <v>0.44297352342158858</v>
          </cell>
        </row>
        <row r="127">
          <cell r="A127" t="str">
            <v>Operating Expenses:</v>
          </cell>
          <cell r="O127" t="str">
            <v>Operating Expenses:</v>
          </cell>
        </row>
        <row r="128">
          <cell r="A128" t="str">
            <v>Employee costs</v>
          </cell>
          <cell r="C128">
            <v>7.7074436908649409</v>
          </cell>
          <cell r="D128">
            <v>8.3349242233944558</v>
          </cell>
          <cell r="E128">
            <v>9.0429540316503392</v>
          </cell>
          <cell r="F128">
            <v>9.5453403667420247</v>
          </cell>
          <cell r="G128">
            <v>10.180105501130368</v>
          </cell>
          <cell r="H128">
            <v>10.857082516955538</v>
          </cell>
          <cell r="I128">
            <v>11.579078504333081</v>
          </cell>
          <cell r="J128">
            <v>12.34908722487123</v>
          </cell>
          <cell r="K128">
            <v>13.170301525325167</v>
          </cell>
          <cell r="O128" t="str">
            <v>Employee costs</v>
          </cell>
          <cell r="Q128">
            <v>46.024999999999999</v>
          </cell>
          <cell r="R128">
            <v>49.771999999999998</v>
          </cell>
          <cell r="S128">
            <v>54</v>
          </cell>
        </row>
        <row r="129">
          <cell r="A129" t="str">
            <v>As a % of Sales</v>
          </cell>
          <cell r="C129">
            <v>0.12942513026874872</v>
          </cell>
          <cell r="D129">
            <v>0.13265458422174839</v>
          </cell>
          <cell r="E129">
            <v>0.13747454175152751</v>
          </cell>
          <cell r="F129">
            <v>0.13255813953488374</v>
          </cell>
          <cell r="G129">
            <v>0.13212453814388175</v>
          </cell>
          <cell r="H129">
            <v>0.13169235507518681</v>
          </cell>
          <cell r="I129">
            <v>0.13126158568942681</v>
          </cell>
          <cell r="J129">
            <v>0.1308322253624053</v>
          </cell>
          <cell r="K129">
            <v>0.13040426948505163</v>
          </cell>
          <cell r="O129" t="str">
            <v>As a % of Sales</v>
          </cell>
          <cell r="Q129">
            <v>0.12942513026874872</v>
          </cell>
          <cell r="R129">
            <v>0.13265458422174839</v>
          </cell>
          <cell r="S129">
            <v>0.13747454175152748</v>
          </cell>
        </row>
        <row r="131">
          <cell r="A131" t="str">
            <v>Allocation to provisions</v>
          </cell>
          <cell r="C131">
            <v>1.3050322364565017</v>
          </cell>
          <cell r="D131">
            <v>1.4302938960060285</v>
          </cell>
          <cell r="E131">
            <v>1.4974462027966173</v>
          </cell>
          <cell r="F131">
            <v>1.6387842250690781</v>
          </cell>
          <cell r="G131">
            <v>1.7534991208239135</v>
          </cell>
          <cell r="H131">
            <v>1.8762440592815874</v>
          </cell>
          <cell r="I131">
            <v>2.0075811434312985</v>
          </cell>
          <cell r="J131">
            <v>2.1481118234714898</v>
          </cell>
          <cell r="K131">
            <v>2.2984796511144943</v>
          </cell>
          <cell r="O131" t="str">
            <v>Allocation to provisions</v>
          </cell>
          <cell r="Q131">
            <v>7.7930000000000001</v>
          </cell>
          <cell r="R131">
            <v>8.5410000000000004</v>
          </cell>
          <cell r="S131">
            <v>8.9420000000000002</v>
          </cell>
        </row>
        <row r="132">
          <cell r="A132" t="str">
            <v>As a % of Sales</v>
          </cell>
          <cell r="C132">
            <v>2.191439522399476E-2</v>
          </cell>
          <cell r="D132">
            <v>2.2763859275053304E-2</v>
          </cell>
          <cell r="E132">
            <v>2.2764765784114054E-2</v>
          </cell>
          <cell r="F132">
            <v>2.2758139534883724E-2</v>
          </cell>
          <cell r="G132">
            <v>2.2758139534883721E-2</v>
          </cell>
          <cell r="H132">
            <v>2.2758139534883717E-2</v>
          </cell>
          <cell r="I132">
            <v>2.275813953488371E-2</v>
          </cell>
          <cell r="J132">
            <v>2.2758139534883714E-2</v>
          </cell>
          <cell r="K132">
            <v>2.2758139534883717E-2</v>
          </cell>
          <cell r="O132" t="str">
            <v>As a % of Sales</v>
          </cell>
          <cell r="Q132">
            <v>2.191439522399476E-2</v>
          </cell>
          <cell r="R132">
            <v>2.2763859275053307E-2</v>
          </cell>
          <cell r="S132">
            <v>2.2764765784114054E-2</v>
          </cell>
        </row>
        <row r="134">
          <cell r="A134" t="str">
            <v>Other Expenses</v>
          </cell>
          <cell r="C134">
            <v>8.5841078455999327</v>
          </cell>
          <cell r="D134">
            <v>9.3658209830025942</v>
          </cell>
          <cell r="E134">
            <v>9.421418404086074</v>
          </cell>
          <cell r="F134">
            <v>10.003349242233943</v>
          </cell>
          <cell r="G134">
            <v>10.598548522146864</v>
          </cell>
          <cell r="H134">
            <v>11.229162159214603</v>
          </cell>
          <cell r="I134">
            <v>11.897297307687875</v>
          </cell>
          <cell r="J134">
            <v>12.605186497495305</v>
          </cell>
          <cell r="K134">
            <v>13.355195094096278</v>
          </cell>
          <cell r="O134" t="str">
            <v>Other Expenses</v>
          </cell>
          <cell r="Q134">
            <v>51.26</v>
          </cell>
          <cell r="R134">
            <v>55.927999999999997</v>
          </cell>
          <cell r="S134">
            <v>56.26</v>
          </cell>
        </row>
        <row r="135">
          <cell r="A135" t="str">
            <v>As a % of Sales</v>
          </cell>
          <cell r="C135">
            <v>0.14414627219068027</v>
          </cell>
          <cell r="D135">
            <v>0.14906183368869935</v>
          </cell>
          <cell r="E135">
            <v>0.14322810590631363</v>
          </cell>
          <cell r="F135">
            <v>0.13891860465116279</v>
          </cell>
          <cell r="G135">
            <v>0.13755538469897846</v>
          </cell>
          <cell r="H135">
            <v>0.13620554213884831</v>
          </cell>
          <cell r="I135">
            <v>0.13486894569729888</v>
          </cell>
          <cell r="J135">
            <v>0.13354546538905435</v>
          </cell>
          <cell r="K135">
            <v>0.13223497250439542</v>
          </cell>
          <cell r="O135" t="str">
            <v>As a % of Sales</v>
          </cell>
          <cell r="Q135">
            <v>0.14414627219068027</v>
          </cell>
          <cell r="R135">
            <v>0.14906183368869935</v>
          </cell>
          <cell r="S135">
            <v>0.14322810590631363</v>
          </cell>
        </row>
        <row r="137">
          <cell r="A137" t="str">
            <v xml:space="preserve">Depreciation &amp; Amortization </v>
          </cell>
          <cell r="C137">
            <v>0.51930000837310553</v>
          </cell>
          <cell r="D137">
            <v>0.55882106673365151</v>
          </cell>
          <cell r="E137">
            <v>0.65276731139579669</v>
          </cell>
          <cell r="F137">
            <v>0.69948924055932338</v>
          </cell>
          <cell r="G137">
            <v>0.76553151278094744</v>
          </cell>
          <cell r="H137">
            <v>0.83619674405808542</v>
          </cell>
          <cell r="I137">
            <v>0.91180854152462287</v>
          </cell>
          <cell r="J137">
            <v>0.99271316481381811</v>
          </cell>
          <cell r="K137">
            <v>1.079281111733257</v>
          </cell>
          <cell r="O137" t="str">
            <v xml:space="preserve">Depreciation &amp; Amortization </v>
          </cell>
          <cell r="Q137">
            <v>3.101</v>
          </cell>
          <cell r="R137">
            <v>3.3370000000000002</v>
          </cell>
          <cell r="S137">
            <v>3.8980000000000001</v>
          </cell>
        </row>
        <row r="138">
          <cell r="A138" t="str">
            <v>As a % of Sales</v>
          </cell>
          <cell r="C138">
            <v>8.7202026933924995E-3</v>
          </cell>
          <cell r="D138">
            <v>8.8939232409381667E-3</v>
          </cell>
          <cell r="E138">
            <v>9.9236252545824855E-3</v>
          </cell>
          <cell r="F138">
            <v>9.7139534883720936E-3</v>
          </cell>
          <cell r="G138">
            <v>9.9356040612289236E-3</v>
          </cell>
          <cell r="H138">
            <v>1.0142754129319422E-2</v>
          </cell>
          <cell r="I138">
            <v>1.0336352323796519E-2</v>
          </cell>
          <cell r="J138">
            <v>1.0517285215831193E-2</v>
          </cell>
          <cell r="K138">
            <v>1.0686381376611263E-2</v>
          </cell>
          <cell r="O138" t="str">
            <v>As a % of Sales</v>
          </cell>
          <cell r="Q138">
            <v>8.7202026933924995E-3</v>
          </cell>
          <cell r="R138">
            <v>8.8939232409381667E-3</v>
          </cell>
          <cell r="S138">
            <v>9.9236252545824855E-3</v>
          </cell>
        </row>
        <row r="140">
          <cell r="A140" t="str">
            <v>Operating Income</v>
          </cell>
          <cell r="C140">
            <v>8.1460269613999792</v>
          </cell>
          <cell r="D140">
            <v>8.3253788830277173</v>
          </cell>
          <cell r="E140">
            <v>8.5238214853889254</v>
          </cell>
          <cell r="F140">
            <v>10.115046470735988</v>
          </cell>
          <cell r="G140">
            <v>10.998555818710303</v>
          </cell>
          <cell r="H140">
            <v>12.310505678490699</v>
          </cell>
          <cell r="I140">
            <v>13.752137860638483</v>
          </cell>
          <cell r="J140">
            <v>15.335101517850237</v>
          </cell>
          <cell r="K140">
            <v>17.072036552591417</v>
          </cell>
          <cell r="O140" t="str">
            <v>Operating Income</v>
          </cell>
          <cell r="Q140">
            <v>48.64399999999997</v>
          </cell>
          <cell r="R140">
            <v>49.714999999999989</v>
          </cell>
          <cell r="S140">
            <v>50.899999999999991</v>
          </cell>
        </row>
        <row r="141">
          <cell r="A141" t="str">
            <v>Operating Margin</v>
          </cell>
          <cell r="C141">
            <v>0.13678991932195569</v>
          </cell>
          <cell r="D141">
            <v>0.1325026652452026</v>
          </cell>
          <cell r="E141">
            <v>0.12958248472505085</v>
          </cell>
          <cell r="F141">
            <v>0.14046976744186038</v>
          </cell>
          <cell r="G141">
            <v>0.14274695951190736</v>
          </cell>
          <cell r="H141">
            <v>0.14932183507264207</v>
          </cell>
          <cell r="I141">
            <v>0.15589560270547442</v>
          </cell>
          <cell r="J141">
            <v>0.1624675104487058</v>
          </cell>
          <cell r="K141">
            <v>0.16903686304993826</v>
          </cell>
          <cell r="O141" t="str">
            <v>Operating Margin</v>
          </cell>
          <cell r="Q141">
            <v>0.13678991932195564</v>
          </cell>
          <cell r="R141">
            <v>0.13250266524520254</v>
          </cell>
          <cell r="S141">
            <v>0.12958248472505088</v>
          </cell>
        </row>
        <row r="143">
          <cell r="A143" t="str">
            <v>Employee Profit Sharing</v>
          </cell>
          <cell r="C143">
            <v>0.54709871891484552</v>
          </cell>
          <cell r="D143">
            <v>0.51578330402746375</v>
          </cell>
          <cell r="E143">
            <v>0.46889391275223974</v>
          </cell>
          <cell r="F143">
            <v>0.59114125429121656</v>
          </cell>
          <cell r="G143">
            <v>0.61639454073515865</v>
          </cell>
          <cell r="H143">
            <v>0.65954215858661991</v>
          </cell>
          <cell r="I143">
            <v>0.70571010968768333</v>
          </cell>
          <cell r="J143">
            <v>0.75510981736582139</v>
          </cell>
          <cell r="K143">
            <v>0.80796750458142885</v>
          </cell>
          <cell r="O143" t="str">
            <v>Employee Profit Sharing</v>
          </cell>
          <cell r="Q143">
            <v>3.2669999999999999</v>
          </cell>
          <cell r="R143">
            <v>3.08</v>
          </cell>
          <cell r="S143">
            <v>2.8</v>
          </cell>
        </row>
        <row r="144">
          <cell r="A144" t="str">
            <v>As a % of Sales</v>
          </cell>
          <cell r="C144">
            <v>9.1870049014231847E-3</v>
          </cell>
          <cell r="D144">
            <v>8.2089552238805968E-3</v>
          </cell>
          <cell r="E144">
            <v>7.1283095723014252E-3</v>
          </cell>
          <cell r="F144">
            <v>8.2093023255813951E-3</v>
          </cell>
          <cell r="G144">
            <v>8.0000000000000002E-3</v>
          </cell>
          <cell r="H144">
            <v>8.0000000000000002E-3</v>
          </cell>
          <cell r="I144">
            <v>8.0000000000000002E-3</v>
          </cell>
          <cell r="J144">
            <v>8.0000000000000002E-3</v>
          </cell>
          <cell r="K144">
            <v>8.0000000000000002E-3</v>
          </cell>
          <cell r="O144" t="str">
            <v>As a % of Sales</v>
          </cell>
          <cell r="Q144">
            <v>9.1870049014231847E-3</v>
          </cell>
          <cell r="R144">
            <v>8.2089552238805968E-3</v>
          </cell>
          <cell r="S144">
            <v>7.1283095723014252E-3</v>
          </cell>
        </row>
        <row r="146">
          <cell r="A146" t="str">
            <v>Adjustments / (Cost Savings)</v>
          </cell>
          <cell r="C146">
            <v>0</v>
          </cell>
          <cell r="D146">
            <v>0</v>
          </cell>
          <cell r="E146">
            <v>0</v>
          </cell>
          <cell r="F146">
            <v>0</v>
          </cell>
          <cell r="G146">
            <v>0</v>
          </cell>
          <cell r="H146">
            <v>0</v>
          </cell>
          <cell r="I146">
            <v>0</v>
          </cell>
          <cell r="J146">
            <v>0</v>
          </cell>
          <cell r="K146">
            <v>0</v>
          </cell>
          <cell r="O146" t="str">
            <v>Adjustments / Cost Savings</v>
          </cell>
          <cell r="Q146">
            <v>0</v>
          </cell>
          <cell r="R146">
            <v>0</v>
          </cell>
          <cell r="S146">
            <v>0</v>
          </cell>
        </row>
        <row r="147">
          <cell r="A147" t="str">
            <v>As a % of EBIT</v>
          </cell>
          <cell r="C147">
            <v>0</v>
          </cell>
          <cell r="D147">
            <v>0</v>
          </cell>
          <cell r="E147">
            <v>0</v>
          </cell>
          <cell r="F147">
            <v>0</v>
          </cell>
          <cell r="G147">
            <v>0</v>
          </cell>
          <cell r="H147">
            <v>0</v>
          </cell>
          <cell r="I147">
            <v>0</v>
          </cell>
          <cell r="J147">
            <v>0</v>
          </cell>
          <cell r="K147">
            <v>0</v>
          </cell>
          <cell r="O147" t="str">
            <v>As a % of EBIT</v>
          </cell>
          <cell r="Q147">
            <v>0</v>
          </cell>
          <cell r="R147">
            <v>0</v>
          </cell>
          <cell r="S147">
            <v>0</v>
          </cell>
        </row>
        <row r="149">
          <cell r="A149" t="str">
            <v>Adj. EBIT</v>
          </cell>
          <cell r="C149">
            <v>7.5989282424851332</v>
          </cell>
          <cell r="D149">
            <v>7.8095955790002538</v>
          </cell>
          <cell r="E149">
            <v>8.0549275726366858</v>
          </cell>
          <cell r="F149">
            <v>9.5239052164447724</v>
          </cell>
          <cell r="G149">
            <v>10.382161277975143</v>
          </cell>
          <cell r="H149">
            <v>11.65096351990408</v>
          </cell>
          <cell r="I149">
            <v>13.0464277509508</v>
          </cell>
          <cell r="J149">
            <v>14.579991700484415</v>
          </cell>
          <cell r="K149">
            <v>16.264069048009986</v>
          </cell>
          <cell r="O149" t="str">
            <v>Adj. EBIT</v>
          </cell>
          <cell r="Q149">
            <v>45.376999999999967</v>
          </cell>
          <cell r="R149">
            <v>46.634999999999991</v>
          </cell>
          <cell r="S149">
            <v>48.099999999999994</v>
          </cell>
        </row>
        <row r="150">
          <cell r="A150" t="str">
            <v>As a % Of Sales</v>
          </cell>
          <cell r="C150">
            <v>0.12760291442053248</v>
          </cell>
          <cell r="D150">
            <v>0.12429371002132202</v>
          </cell>
          <cell r="E150">
            <v>0.12245417515274942</v>
          </cell>
          <cell r="F150">
            <v>0.13226046511627898</v>
          </cell>
          <cell r="G150">
            <v>0.13474695951190735</v>
          </cell>
          <cell r="H150">
            <v>0.14132183507264209</v>
          </cell>
          <cell r="I150">
            <v>0.14789560270547442</v>
          </cell>
          <cell r="J150">
            <v>0.1544675104487058</v>
          </cell>
          <cell r="K150">
            <v>0.16103686304993822</v>
          </cell>
          <cell r="O150" t="str">
            <v>As a % Of Sales</v>
          </cell>
          <cell r="Q150">
            <v>0.12760291442053245</v>
          </cell>
          <cell r="R150">
            <v>0.12429371002132195</v>
          </cell>
          <cell r="S150">
            <v>0.12245417515274948</v>
          </cell>
        </row>
        <row r="152">
          <cell r="A152" t="str">
            <v>Other Expenses /  (Income)</v>
          </cell>
          <cell r="C152">
            <v>-0.15523737754333083</v>
          </cell>
          <cell r="D152">
            <v>-0.2850205141086829</v>
          </cell>
          <cell r="E152">
            <v>-0.30143180105501127</v>
          </cell>
          <cell r="F152">
            <v>0</v>
          </cell>
          <cell r="G152">
            <v>0</v>
          </cell>
          <cell r="H152">
            <v>0</v>
          </cell>
          <cell r="I152">
            <v>0</v>
          </cell>
          <cell r="J152">
            <v>0</v>
          </cell>
          <cell r="K152">
            <v>0</v>
          </cell>
          <cell r="O152" t="str">
            <v>Extra-ordinary (gains)/ losses</v>
          </cell>
          <cell r="Q152">
            <v>-0.92700000000000005</v>
          </cell>
          <cell r="R152">
            <v>-1.702</v>
          </cell>
          <cell r="S152">
            <v>-1.8</v>
          </cell>
        </row>
        <row r="153">
          <cell r="A153" t="str">
            <v>Financial (income)/ expense</v>
          </cell>
          <cell r="C153">
            <v>-2.1133718496190235</v>
          </cell>
          <cell r="D153">
            <v>-2.5852800803818137</v>
          </cell>
          <cell r="E153">
            <v>-2.5829356108180521</v>
          </cell>
          <cell r="F153">
            <v>-0.47375031399145945</v>
          </cell>
          <cell r="G153">
            <v>-2.9964467202416638</v>
          </cell>
          <cell r="H153">
            <v>-3.3826635022734748</v>
          </cell>
          <cell r="I153">
            <v>-3.8913153593632961</v>
          </cell>
          <cell r="J153">
            <v>-4.4721487484191682</v>
          </cell>
          <cell r="K153">
            <v>-5.1329555676969463</v>
          </cell>
          <cell r="O153" t="str">
            <v>Financial (income)/ expense</v>
          </cell>
          <cell r="Q153">
            <v>-12.62</v>
          </cell>
          <cell r="R153">
            <v>-15.438000000000001</v>
          </cell>
          <cell r="S153">
            <v>-15.423999999999999</v>
          </cell>
        </row>
        <row r="154">
          <cell r="A154" t="str">
            <v>Pre-tax Income</v>
          </cell>
          <cell r="C154">
            <v>9.8675374696474876</v>
          </cell>
          <cell r="D154">
            <v>10.67989617349075</v>
          </cell>
          <cell r="E154">
            <v>10.93929498450975</v>
          </cell>
          <cell r="F154">
            <v>9.9976555304362318</v>
          </cell>
          <cell r="G154">
            <v>13.378607998216808</v>
          </cell>
          <cell r="H154">
            <v>15.033627022177555</v>
          </cell>
          <cell r="I154">
            <v>16.937743110314095</v>
          </cell>
          <cell r="J154">
            <v>19.052140448903582</v>
          </cell>
          <cell r="K154">
            <v>21.397024615706933</v>
          </cell>
          <cell r="O154" t="str">
            <v>Pre-tax Income</v>
          </cell>
          <cell r="Q154">
            <v>58.923999999999964</v>
          </cell>
          <cell r="R154">
            <v>63.774999999999991</v>
          </cell>
          <cell r="S154">
            <v>65.323999999999984</v>
          </cell>
        </row>
        <row r="156">
          <cell r="A156" t="str">
            <v xml:space="preserve">Income Taxes @ </v>
          </cell>
          <cell r="C156">
            <v>3.6920371765887965</v>
          </cell>
          <cell r="D156">
            <v>3.0735995980909316</v>
          </cell>
          <cell r="E156">
            <v>4.3757849786485803</v>
          </cell>
          <cell r="F156">
            <v>3.9989952273298162</v>
          </cell>
          <cell r="G156">
            <v>5.3514431992867229</v>
          </cell>
          <cell r="H156">
            <v>6.0134508088710197</v>
          </cell>
          <cell r="I156">
            <v>6.7750972441256403</v>
          </cell>
          <cell r="J156">
            <v>7.6208561795614331</v>
          </cell>
          <cell r="K156">
            <v>8.5588098462827755</v>
          </cell>
          <cell r="O156" t="str">
            <v xml:space="preserve">Income Taxes @ </v>
          </cell>
          <cell r="Q156">
            <v>22.047000000000001</v>
          </cell>
          <cell r="R156">
            <v>18.353999999999999</v>
          </cell>
          <cell r="S156">
            <v>26.13</v>
          </cell>
        </row>
        <row r="157">
          <cell r="A157" t="str">
            <v>Net Income (check with RG)</v>
          </cell>
          <cell r="C157">
            <v>6.1755002930586915</v>
          </cell>
          <cell r="D157">
            <v>7.6062965753998188</v>
          </cell>
          <cell r="E157">
            <v>6.5635100058611702</v>
          </cell>
          <cell r="F157">
            <v>5.9986603031064156</v>
          </cell>
          <cell r="G157">
            <v>8.0271647989300838</v>
          </cell>
          <cell r="H157">
            <v>9.0201762133065344</v>
          </cell>
          <cell r="I157">
            <v>10.162645866188456</v>
          </cell>
          <cell r="J157">
            <v>11.43128426934215</v>
          </cell>
          <cell r="K157">
            <v>12.838214769424157</v>
          </cell>
          <cell r="O157" t="str">
            <v>Net Income (check with RG)</v>
          </cell>
          <cell r="Q157">
            <v>36.876999999999967</v>
          </cell>
          <cell r="R157">
            <v>45.420999999999992</v>
          </cell>
          <cell r="S157">
            <v>39.193999999999988</v>
          </cell>
        </row>
        <row r="159">
          <cell r="A159" t="str">
            <v>Return on Sales</v>
          </cell>
          <cell r="C159">
            <v>0.10370039172016608</v>
          </cell>
          <cell r="D159">
            <v>0.12105810234541584</v>
          </cell>
          <cell r="E159">
            <v>9.9781059063136404E-2</v>
          </cell>
          <cell r="F159">
            <v>8.3304651162790622E-2</v>
          </cell>
          <cell r="G159">
            <v>0.1041821660439274</v>
          </cell>
          <cell r="H159">
            <v>0.10941136782081093</v>
          </cell>
          <cell r="I159">
            <v>0.11520476441167607</v>
          </cell>
          <cell r="J159">
            <v>0.12110857527155298</v>
          </cell>
          <cell r="K159">
            <v>0.12711614956420855</v>
          </cell>
          <cell r="O159" t="str">
            <v>Return on Sales</v>
          </cell>
          <cell r="Q159">
            <v>0.10370039172016604</v>
          </cell>
          <cell r="R159">
            <v>0.12105810234541577</v>
          </cell>
          <cell r="S159">
            <v>9.9781059063136418E-2</v>
          </cell>
        </row>
        <row r="160">
          <cell r="A160" t="str">
            <v>Adj. EBIT Growth</v>
          </cell>
          <cell r="C160" t="str">
            <v>na</v>
          </cell>
          <cell r="D160">
            <v>2.7723295942879478E-2</v>
          </cell>
          <cell r="E160">
            <v>3.1414173903719478E-2</v>
          </cell>
          <cell r="F160">
            <v>0.18237006237006237</v>
          </cell>
          <cell r="G160">
            <v>9.0115980999940559E-2</v>
          </cell>
          <cell r="H160">
            <v>0.12220983742764524</v>
          </cell>
          <cell r="I160">
            <v>0.11977243158153916</v>
          </cell>
          <cell r="J160">
            <v>0.11754665559097988</v>
          </cell>
          <cell r="K160">
            <v>0.11550605666460134</v>
          </cell>
          <cell r="O160" t="str">
            <v>Adj. EBIT Growth</v>
          </cell>
          <cell r="Q160" t="str">
            <v>n/a</v>
          </cell>
          <cell r="R160">
            <v>2.7723295942879034E-2</v>
          </cell>
          <cell r="S160">
            <v>3.1414173903720366E-2</v>
          </cell>
        </row>
        <row r="161">
          <cell r="A161" t="str">
            <v>Book Value</v>
          </cell>
          <cell r="C161">
            <v>50.510926902788235</v>
          </cell>
          <cell r="D161">
            <v>55.225990119735414</v>
          </cell>
          <cell r="E161">
            <v>59.281085154483797</v>
          </cell>
          <cell r="F161">
            <v>65.286376957213434</v>
          </cell>
          <cell r="G161">
            <v>71.515673723998518</v>
          </cell>
          <cell r="H161">
            <v>80.535849937305045</v>
          </cell>
          <cell r="I161">
            <v>90.698495803493486</v>
          </cell>
          <cell r="J161">
            <v>102.12978007283563</v>
          </cell>
          <cell r="K161">
            <v>114.96799484225981</v>
          </cell>
          <cell r="O161" t="str">
            <v>Book Value</v>
          </cell>
          <cell r="Q161">
            <v>301.62599999999998</v>
          </cell>
          <cell r="R161">
            <v>329.78200000000004</v>
          </cell>
          <cell r="S161">
            <v>353.99700000000001</v>
          </cell>
        </row>
        <row r="162">
          <cell r="A162" t="str">
            <v>EPS</v>
          </cell>
          <cell r="O162" t="str">
            <v>EPS</v>
          </cell>
        </row>
        <row r="163">
          <cell r="A163" t="str">
            <v>Capital Expenditures  (4)</v>
          </cell>
          <cell r="C163">
            <v>7.1338859583019332E-2</v>
          </cell>
          <cell r="D163">
            <v>0.94247676463200203</v>
          </cell>
          <cell r="E163">
            <v>0.98668676212007034</v>
          </cell>
          <cell r="F163">
            <v>1.0801306204471237</v>
          </cell>
          <cell r="G163">
            <v>1.1557397638784226</v>
          </cell>
          <cell r="H163">
            <v>1.2366415473499122</v>
          </cell>
          <cell r="I163">
            <v>1.3232064556644063</v>
          </cell>
          <cell r="J163">
            <v>1.4158309075609148</v>
          </cell>
          <cell r="K163">
            <v>1.5149390710901789</v>
          </cell>
          <cell r="O163" t="str">
            <v>Capital Expenditures  (4)</v>
          </cell>
          <cell r="Q163">
            <v>0.42599999999999999</v>
          </cell>
          <cell r="R163">
            <v>5.6280000000000001</v>
          </cell>
          <cell r="S163">
            <v>5.8920000000000003</v>
          </cell>
        </row>
        <row r="164">
          <cell r="A164" t="str">
            <v>D&amp;A</v>
          </cell>
          <cell r="C164">
            <v>0.51930000837310553</v>
          </cell>
          <cell r="D164">
            <v>0.55882106673365151</v>
          </cell>
          <cell r="E164">
            <v>0.65276731139579669</v>
          </cell>
          <cell r="F164">
            <v>0.69948924055932338</v>
          </cell>
          <cell r="G164">
            <v>0.76553151278094744</v>
          </cell>
          <cell r="H164">
            <v>0.83619674405808542</v>
          </cell>
          <cell r="I164">
            <v>0.91180854152462287</v>
          </cell>
          <cell r="J164">
            <v>0.99271316481381811</v>
          </cell>
          <cell r="K164">
            <v>1.079281111733257</v>
          </cell>
          <cell r="O164" t="str">
            <v>D&amp;A</v>
          </cell>
          <cell r="Q164">
            <v>3.101</v>
          </cell>
          <cell r="R164">
            <v>3.3370000000000002</v>
          </cell>
          <cell r="S164">
            <v>3.8980000000000001</v>
          </cell>
        </row>
        <row r="165">
          <cell r="A165" t="str">
            <v>Tax Rate</v>
          </cell>
          <cell r="C165">
            <v>0.37415993483130827</v>
          </cell>
          <cell r="D165">
            <v>0.28779302234417864</v>
          </cell>
          <cell r="E165">
            <v>0.40000612332374025</v>
          </cell>
          <cell r="F165">
            <v>0.39999329994472477</v>
          </cell>
          <cell r="G165">
            <v>0.39999999999999997</v>
          </cell>
          <cell r="H165">
            <v>0.39999999999999986</v>
          </cell>
          <cell r="I165">
            <v>0.40000000000000013</v>
          </cell>
          <cell r="J165">
            <v>0.4</v>
          </cell>
          <cell r="K165">
            <v>0.40000000000000013</v>
          </cell>
          <cell r="O165" t="str">
            <v>Tax Rate</v>
          </cell>
          <cell r="Q165">
            <v>0.37415993483130838</v>
          </cell>
          <cell r="R165">
            <v>0.28779302234417881</v>
          </cell>
          <cell r="S165">
            <v>0.40000612332374019</v>
          </cell>
        </row>
        <row r="166">
          <cell r="A166" t="str">
            <v>EPS</v>
          </cell>
          <cell r="O166" t="str">
            <v>EPS</v>
          </cell>
        </row>
        <row r="169">
          <cell r="A169" t="str">
            <v>Cash Flow Statements ($000's)</v>
          </cell>
          <cell r="O169" t="str">
            <v>Cash Flow Statements (Lira in millions)</v>
          </cell>
        </row>
        <row r="171">
          <cell r="C171" t="str">
            <v>1995A</v>
          </cell>
          <cell r="D171" t="str">
            <v>1996A</v>
          </cell>
          <cell r="E171" t="str">
            <v>1997A</v>
          </cell>
          <cell r="F171" t="str">
            <v>1998E</v>
          </cell>
          <cell r="G171" t="str">
            <v>1999E</v>
          </cell>
          <cell r="H171" t="str">
            <v>2000E</v>
          </cell>
          <cell r="I171" t="str">
            <v>2001E</v>
          </cell>
          <cell r="J171" t="str">
            <v>2002E</v>
          </cell>
          <cell r="K171" t="str">
            <v>2003E</v>
          </cell>
          <cell r="Q171" t="str">
            <v>1995A</v>
          </cell>
          <cell r="R171" t="str">
            <v>1996A</v>
          </cell>
          <cell r="S171" t="str">
            <v>1997A</v>
          </cell>
        </row>
        <row r="172">
          <cell r="A172" t="str">
            <v>EBIT</v>
          </cell>
          <cell r="C172">
            <v>7.5989282424851332</v>
          </cell>
          <cell r="D172">
            <v>7.8095955790002538</v>
          </cell>
          <cell r="E172">
            <v>8.0549275726366858</v>
          </cell>
          <cell r="F172">
            <v>9.5239052164447724</v>
          </cell>
          <cell r="G172">
            <v>10.382161277975143</v>
          </cell>
          <cell r="H172">
            <v>11.65096351990408</v>
          </cell>
          <cell r="I172">
            <v>13.0464277509508</v>
          </cell>
          <cell r="J172">
            <v>14.579991700484415</v>
          </cell>
          <cell r="K172">
            <v>16.264069048009986</v>
          </cell>
          <cell r="O172" t="str">
            <v>EBIT</v>
          </cell>
          <cell r="Q172">
            <v>45.376999999999967</v>
          </cell>
          <cell r="R172">
            <v>46.634999999999991</v>
          </cell>
          <cell r="S172">
            <v>48.099999999999994</v>
          </cell>
        </row>
        <row r="173">
          <cell r="A173" t="str">
            <v xml:space="preserve">Taxes @ </v>
          </cell>
          <cell r="B173">
            <v>0.4</v>
          </cell>
          <cell r="C173">
            <v>3.0395712969940534</v>
          </cell>
          <cell r="D173">
            <v>3.1238382316001019</v>
          </cell>
          <cell r="E173">
            <v>3.2219710290546746</v>
          </cell>
          <cell r="F173">
            <v>3.809562086577909</v>
          </cell>
          <cell r="G173">
            <v>4.1528645111900575</v>
          </cell>
          <cell r="H173">
            <v>4.6603854079616323</v>
          </cell>
          <cell r="I173">
            <v>5.2185711003803199</v>
          </cell>
          <cell r="J173">
            <v>5.8319966801937664</v>
          </cell>
          <cell r="K173">
            <v>6.5056276192039952</v>
          </cell>
          <cell r="O173" t="str">
            <v xml:space="preserve">Taxes @ </v>
          </cell>
          <cell r="Q173">
            <v>18.150799999999986</v>
          </cell>
          <cell r="R173">
            <v>18.653999999999996</v>
          </cell>
          <cell r="S173">
            <v>19.239999999999998</v>
          </cell>
        </row>
        <row r="174">
          <cell r="A174" t="str">
            <v>EBIAT</v>
          </cell>
          <cell r="C174">
            <v>4.5593569454910803</v>
          </cell>
          <cell r="D174">
            <v>4.6857573474001519</v>
          </cell>
          <cell r="E174">
            <v>4.8329565435820108</v>
          </cell>
          <cell r="F174">
            <v>5.7143431298668634</v>
          </cell>
          <cell r="G174">
            <v>6.2292967667850858</v>
          </cell>
          <cell r="H174">
            <v>6.9905781119424475</v>
          </cell>
          <cell r="I174">
            <v>7.8278566505704799</v>
          </cell>
          <cell r="J174">
            <v>8.7479950202906487</v>
          </cell>
          <cell r="K174">
            <v>9.7584414288059911</v>
          </cell>
          <cell r="O174" t="str">
            <v>EBIAT</v>
          </cell>
          <cell r="Q174">
            <v>27.226199999999981</v>
          </cell>
          <cell r="R174">
            <v>27.980999999999995</v>
          </cell>
          <cell r="S174">
            <v>28.859999999999996</v>
          </cell>
        </row>
        <row r="176">
          <cell r="A176" t="str">
            <v>Pre-Deal Amortization</v>
          </cell>
          <cell r="C176">
            <v>0</v>
          </cell>
          <cell r="D176">
            <v>0</v>
          </cell>
          <cell r="E176">
            <v>0</v>
          </cell>
          <cell r="F176">
            <v>0</v>
          </cell>
          <cell r="G176">
            <v>0</v>
          </cell>
          <cell r="H176">
            <v>0</v>
          </cell>
          <cell r="I176">
            <v>0</v>
          </cell>
          <cell r="J176">
            <v>0</v>
          </cell>
          <cell r="K176">
            <v>0</v>
          </cell>
          <cell r="O176" t="str">
            <v>Pre-Deal Amortization</v>
          </cell>
          <cell r="Q176">
            <v>0</v>
          </cell>
          <cell r="R176">
            <v>0</v>
          </cell>
          <cell r="S176">
            <v>0</v>
          </cell>
        </row>
        <row r="177">
          <cell r="A177" t="str">
            <v>Depreciation</v>
          </cell>
          <cell r="C177">
            <v>0.51930000837310553</v>
          </cell>
          <cell r="D177">
            <v>0.55882106673365151</v>
          </cell>
          <cell r="E177">
            <v>0.65276731139579669</v>
          </cell>
          <cell r="F177">
            <v>0.69948924055932338</v>
          </cell>
          <cell r="G177">
            <v>0.76553151278094744</v>
          </cell>
          <cell r="H177">
            <v>0.85886480068499149</v>
          </cell>
          <cell r="I177">
            <v>0.9508571807872026</v>
          </cell>
          <cell r="J177">
            <v>1.0429747828851776</v>
          </cell>
          <cell r="K177">
            <v>1.1364773100214707</v>
          </cell>
          <cell r="O177" t="str">
            <v>Depreciation</v>
          </cell>
          <cell r="Q177">
            <v>3.101</v>
          </cell>
          <cell r="R177">
            <v>3.3370000000000002</v>
          </cell>
          <cell r="S177">
            <v>3.8980000000000001</v>
          </cell>
        </row>
        <row r="178">
          <cell r="A178" t="str">
            <v>Total D &amp; A</v>
          </cell>
          <cell r="C178">
            <v>0.51930000837310553</v>
          </cell>
          <cell r="D178">
            <v>0.55882106673365151</v>
          </cell>
          <cell r="E178">
            <v>0.65276731139579669</v>
          </cell>
          <cell r="F178">
            <v>0.69948924055932338</v>
          </cell>
          <cell r="G178">
            <v>0.76553151278094744</v>
          </cell>
          <cell r="H178">
            <v>0.85886480068499149</v>
          </cell>
          <cell r="I178">
            <v>0.9508571807872026</v>
          </cell>
          <cell r="J178">
            <v>1.0429747828851776</v>
          </cell>
          <cell r="K178">
            <v>1.1364773100214707</v>
          </cell>
          <cell r="O178" t="str">
            <v>Total D &amp; A</v>
          </cell>
          <cell r="Q178">
            <v>3.101</v>
          </cell>
          <cell r="R178">
            <v>3.3370000000000002</v>
          </cell>
          <cell r="S178">
            <v>3.8980000000000001</v>
          </cell>
        </row>
        <row r="180">
          <cell r="A180" t="str">
            <v>Capex / Sales</v>
          </cell>
          <cell r="C180">
            <v>1.1979381965124814E-3</v>
          </cell>
          <cell r="D180">
            <v>1.5000000000000001E-2</v>
          </cell>
          <cell r="E180">
            <v>1.5000000000000001E-2</v>
          </cell>
          <cell r="F180">
            <v>1.4999999999999999E-2</v>
          </cell>
          <cell r="G180">
            <v>1.5000000000000001E-2</v>
          </cell>
          <cell r="H180">
            <v>1.4999999999999999E-2</v>
          </cell>
          <cell r="I180">
            <v>1.4999999999999999E-2</v>
          </cell>
          <cell r="J180">
            <v>1.4999999999999998E-2</v>
          </cell>
          <cell r="K180">
            <v>1.4999999999999999E-2</v>
          </cell>
          <cell r="O180" t="str">
            <v>Capex / Sales</v>
          </cell>
          <cell r="Q180">
            <v>1.1979381965124814E-3</v>
          </cell>
          <cell r="R180">
            <v>1.5000000000000001E-2</v>
          </cell>
          <cell r="S180">
            <v>1.5000000000000001E-2</v>
          </cell>
        </row>
        <row r="181">
          <cell r="A181" t="str">
            <v>Capex (1)</v>
          </cell>
          <cell r="C181">
            <v>7.1338859583019332E-2</v>
          </cell>
          <cell r="D181">
            <v>0.94247676463200203</v>
          </cell>
          <cell r="E181">
            <v>0.98668676212007034</v>
          </cell>
          <cell r="F181">
            <v>1.0801306204471237</v>
          </cell>
          <cell r="G181">
            <v>1.1557397638784226</v>
          </cell>
          <cell r="H181">
            <v>1.2366415473499122</v>
          </cell>
          <cell r="I181">
            <v>1.3232064556644063</v>
          </cell>
          <cell r="J181">
            <v>1.4158309075609148</v>
          </cell>
          <cell r="K181">
            <v>1.5149390710901789</v>
          </cell>
          <cell r="O181" t="str">
            <v>Capex (1)</v>
          </cell>
          <cell r="Q181">
            <v>0.42599999999999999</v>
          </cell>
          <cell r="R181">
            <v>5.6280000000000001</v>
          </cell>
          <cell r="S181">
            <v>5.8920000000000003</v>
          </cell>
        </row>
        <row r="182">
          <cell r="H182" t="str">
            <v xml:space="preserve"> </v>
          </cell>
          <cell r="I182" t="str">
            <v xml:space="preserve"> </v>
          </cell>
          <cell r="J182" t="str">
            <v xml:space="preserve"> </v>
          </cell>
          <cell r="K182" t="str">
            <v xml:space="preserve"> </v>
          </cell>
        </row>
        <row r="183">
          <cell r="A183" t="str">
            <v>Purchase Accounting Outflows / Sales</v>
          </cell>
          <cell r="C183">
            <v>3.3686758747971279E-6</v>
          </cell>
          <cell r="D183">
            <v>3.9978678038379534E-5</v>
          </cell>
          <cell r="E183">
            <v>3.8187372708757641E-5</v>
          </cell>
          <cell r="F183">
            <v>0</v>
          </cell>
          <cell r="G183">
            <v>0</v>
          </cell>
          <cell r="H183">
            <v>0</v>
          </cell>
          <cell r="I183">
            <v>0</v>
          </cell>
          <cell r="J183">
            <v>0</v>
          </cell>
          <cell r="K183">
            <v>0</v>
          </cell>
          <cell r="O183" t="str">
            <v>Purchase Accounting Outflows / Sales</v>
          </cell>
          <cell r="Q183">
            <v>3.3686758747971279E-6</v>
          </cell>
          <cell r="R183">
            <v>3.9978678038379534E-5</v>
          </cell>
          <cell r="S183">
            <v>3.8187372708757641E-5</v>
          </cell>
        </row>
        <row r="184">
          <cell r="A184" t="str">
            <v>Purchase Accounting Outflows</v>
          </cell>
          <cell r="C184">
            <v>2.0060926007074961E-4</v>
          </cell>
          <cell r="D184">
            <v>2.5119316754584277E-3</v>
          </cell>
          <cell r="E184">
            <v>2.5119316754584277E-3</v>
          </cell>
          <cell r="F184">
            <v>0</v>
          </cell>
          <cell r="G184">
            <v>0</v>
          </cell>
          <cell r="H184">
            <v>0</v>
          </cell>
          <cell r="I184">
            <v>0</v>
          </cell>
          <cell r="J184">
            <v>0</v>
          </cell>
          <cell r="K184">
            <v>0</v>
          </cell>
          <cell r="O184" t="str">
            <v>Purchase Accounting Outflows</v>
          </cell>
          <cell r="Q184">
            <v>1.1979381965124814E-3</v>
          </cell>
          <cell r="R184">
            <v>1.5000000000000001E-2</v>
          </cell>
          <cell r="S184">
            <v>1.5000000000000001E-2</v>
          </cell>
        </row>
        <row r="185">
          <cell r="H185" t="str">
            <v xml:space="preserve"> </v>
          </cell>
          <cell r="I185" t="str">
            <v xml:space="preserve"> </v>
          </cell>
          <cell r="J185" t="str">
            <v xml:space="preserve"> </v>
          </cell>
          <cell r="K185" t="str">
            <v xml:space="preserve"> </v>
          </cell>
        </row>
        <row r="186">
          <cell r="A186" t="str">
            <v>Working Capital / Sales</v>
          </cell>
          <cell r="C186">
            <v>0.25159514188256266</v>
          </cell>
          <cell r="D186">
            <v>0.22048773987206821</v>
          </cell>
          <cell r="E186">
            <v>0.24872708757637482</v>
          </cell>
          <cell r="F186">
            <v>0.24873501306757897</v>
          </cell>
          <cell r="G186">
            <v>0.24873886327580416</v>
          </cell>
          <cell r="H186">
            <v>0.24876628557927766</v>
          </cell>
          <cell r="I186">
            <v>0.24879370788275113</v>
          </cell>
          <cell r="J186">
            <v>0.24882113018622462</v>
          </cell>
          <cell r="K186">
            <v>0.24884855248969814</v>
          </cell>
          <cell r="O186" t="str">
            <v>Working Capital / Sales</v>
          </cell>
          <cell r="Q186">
            <v>0.25159514188256271</v>
          </cell>
          <cell r="R186">
            <v>0.22048773987206824</v>
          </cell>
          <cell r="S186">
            <v>0.24872708757637479</v>
          </cell>
        </row>
        <row r="187">
          <cell r="A187" t="str">
            <v>Working Capital (2)</v>
          </cell>
          <cell r="C187">
            <v>14.982835133551031</v>
          </cell>
          <cell r="D187">
            <v>13.85363811437662</v>
          </cell>
          <cell r="E187">
            <v>16.361048312819229</v>
          </cell>
          <cell r="F187">
            <v>17.911086932773834</v>
          </cell>
          <cell r="G187">
            <v>19.165159673984341</v>
          </cell>
          <cell r="H187">
            <v>20.508981621816538</v>
          </cell>
          <cell r="I187">
            <v>21.947029359942718</v>
          </cell>
          <cell r="J187">
            <v>23.485909771459664</v>
          </cell>
          <cell r="K187">
            <v>25.132692996725265</v>
          </cell>
          <cell r="O187" t="str">
            <v>Working Capital (2)</v>
          </cell>
          <cell r="Q187">
            <v>89.47</v>
          </cell>
          <cell r="R187">
            <v>82.727000000000004</v>
          </cell>
          <cell r="S187">
            <v>97.700000000000017</v>
          </cell>
        </row>
        <row r="188">
          <cell r="A188" t="str">
            <v>Change In WC</v>
          </cell>
          <cell r="C188">
            <v>14.982835133551031</v>
          </cell>
          <cell r="D188">
            <v>-1.129197019174411</v>
          </cell>
          <cell r="E188">
            <v>2.5074101984426083</v>
          </cell>
          <cell r="F188">
            <v>1.5500386199546057</v>
          </cell>
          <cell r="G188">
            <v>1.254072741210507</v>
          </cell>
          <cell r="H188">
            <v>1.3438219478321969</v>
          </cell>
          <cell r="I188">
            <v>1.4380477381261798</v>
          </cell>
          <cell r="J188">
            <v>1.5388804115169457</v>
          </cell>
          <cell r="K188">
            <v>1.6467832252656009</v>
          </cell>
          <cell r="O188" t="str">
            <v>Change In WC</v>
          </cell>
          <cell r="Q188">
            <v>89.47</v>
          </cell>
          <cell r="R188">
            <v>-6.742999999999995</v>
          </cell>
          <cell r="S188">
            <v>14.973000000000013</v>
          </cell>
        </row>
        <row r="191">
          <cell r="A191" t="str">
            <v>Free Cash Flow</v>
          </cell>
          <cell r="C191">
            <v>-9.9757176485299368</v>
          </cell>
          <cell r="D191">
            <v>5.4287867370007534</v>
          </cell>
          <cell r="E191">
            <v>1.98911496273967</v>
          </cell>
          <cell r="F191">
            <v>3.7836631300244576</v>
          </cell>
          <cell r="G191">
            <v>4.5850157744771041</v>
          </cell>
          <cell r="H191">
            <v>5.2689794174453297</v>
          </cell>
          <cell r="I191">
            <v>6.0174596375670966</v>
          </cell>
          <cell r="J191">
            <v>6.8362584840979661</v>
          </cell>
          <cell r="K191">
            <v>7.7331964424716819</v>
          </cell>
          <cell r="O191" t="str">
            <v>Free Cash Flow</v>
          </cell>
          <cell r="Q191">
            <v>-59.569997938196529</v>
          </cell>
          <cell r="R191">
            <v>32.417999999999992</v>
          </cell>
          <cell r="S191">
            <v>11.877999999999982</v>
          </cell>
        </row>
        <row r="192">
          <cell r="A192" t="str">
            <v>Tax Savings For Goodwill Amort.</v>
          </cell>
          <cell r="B192" t="str">
            <v>No</v>
          </cell>
          <cell r="G192">
            <v>0</v>
          </cell>
          <cell r="H192">
            <v>0</v>
          </cell>
          <cell r="I192">
            <v>0</v>
          </cell>
          <cell r="J192">
            <v>0</v>
          </cell>
          <cell r="K192">
            <v>0</v>
          </cell>
          <cell r="O192" t="str">
            <v>Tax Savings For Goodwill Amort.</v>
          </cell>
          <cell r="P192" t="str">
            <v>No</v>
          </cell>
        </row>
        <row r="194">
          <cell r="A194" t="str">
            <v>Purchase Price Payments (3)</v>
          </cell>
          <cell r="F194">
            <v>-79.316830883205029</v>
          </cell>
          <cell r="O194" t="str">
            <v>Purchase Price Payments (3)</v>
          </cell>
        </row>
        <row r="195">
          <cell r="A195" t="str">
            <v>Terminal Value  (4)</v>
          </cell>
          <cell r="G195">
            <v>0</v>
          </cell>
          <cell r="H195">
            <v>0</v>
          </cell>
          <cell r="I195">
            <v>0</v>
          </cell>
          <cell r="J195">
            <v>0</v>
          </cell>
          <cell r="K195">
            <v>117.16964306775274</v>
          </cell>
          <cell r="O195" t="str">
            <v>Terminal Value  (4)</v>
          </cell>
        </row>
        <row r="196">
          <cell r="A196" t="str">
            <v>Unlevered IRR Calculation:</v>
          </cell>
          <cell r="B196">
            <v>0.1455104494284723</v>
          </cell>
          <cell r="F196">
            <v>-79.316830883205029</v>
          </cell>
          <cell r="G196">
            <v>4.5850157744771041</v>
          </cell>
          <cell r="H196">
            <v>5.2689794174453297</v>
          </cell>
          <cell r="I196">
            <v>6.0174596375670966</v>
          </cell>
          <cell r="J196">
            <v>6.8362584840979661</v>
          </cell>
          <cell r="K196">
            <v>124.90283951022442</v>
          </cell>
          <cell r="O196" t="str">
            <v>Unlevered IRR Calculation:</v>
          </cell>
          <cell r="P196">
            <v>0.14551044942847244</v>
          </cell>
        </row>
        <row r="199">
          <cell r="B199" t="str">
            <v>Company Valuation:</v>
          </cell>
          <cell r="E199" t="str">
            <v>As of June 30, 1998</v>
          </cell>
          <cell r="G199" t="str">
            <v>As of June 30, 1998</v>
          </cell>
          <cell r="I199" t="str">
            <v>As of June 30, 1998</v>
          </cell>
          <cell r="O199" t="str">
            <v>Company Valuation:</v>
          </cell>
          <cell r="Q199" t="str">
            <v>As of June 30, 1998</v>
          </cell>
          <cell r="S199" t="str">
            <v>As of June 30, 1998</v>
          </cell>
        </row>
        <row r="201">
          <cell r="B201" t="str">
            <v>PV of Cash Flows @:</v>
          </cell>
          <cell r="D201">
            <v>0.15</v>
          </cell>
          <cell r="E201">
            <v>19.681071384683161</v>
          </cell>
          <cell r="F201">
            <v>0.2</v>
          </cell>
          <cell r="G201">
            <v>17.366791105961902</v>
          </cell>
          <cell r="H201">
            <v>0.25</v>
          </cell>
          <cell r="I201">
            <v>15.455244066536697</v>
          </cell>
          <cell r="O201" t="str">
            <v>PV of Cash Flows @:</v>
          </cell>
          <cell r="P201">
            <v>0.15</v>
          </cell>
          <cell r="Q201">
            <v>117.5255177736355</v>
          </cell>
          <cell r="R201">
            <v>0.2</v>
          </cell>
          <cell r="S201">
            <v>103.7057930892515</v>
          </cell>
        </row>
        <row r="202">
          <cell r="B202" t="str">
            <v>PV of TV @ :</v>
          </cell>
          <cell r="D202">
            <v>0.15</v>
          </cell>
          <cell r="E202">
            <v>58.254020616491218</v>
          </cell>
          <cell r="F202">
            <v>0.2</v>
          </cell>
          <cell r="G202">
            <v>47.087851670103824</v>
          </cell>
          <cell r="H202">
            <v>0.25</v>
          </cell>
          <cell r="I202">
            <v>38.394148640441223</v>
          </cell>
          <cell r="O202" t="str">
            <v>PV of TV @ :</v>
          </cell>
          <cell r="P202">
            <v>0.15</v>
          </cell>
          <cell r="Q202">
            <v>347.86388411137739</v>
          </cell>
          <cell r="R202">
            <v>0.2</v>
          </cell>
          <cell r="S202">
            <v>281.18510624802508</v>
          </cell>
        </row>
        <row r="203">
          <cell r="B203" t="str">
            <v>PV of Tax Benefit @:</v>
          </cell>
          <cell r="D203">
            <v>0.09</v>
          </cell>
          <cell r="E203">
            <v>0</v>
          </cell>
          <cell r="F203">
            <v>0.09</v>
          </cell>
          <cell r="G203">
            <v>0</v>
          </cell>
          <cell r="H203">
            <v>0.09</v>
          </cell>
          <cell r="I203">
            <v>0</v>
          </cell>
          <cell r="O203" t="str">
            <v>PV of Tax Benefit @:</v>
          </cell>
          <cell r="P203">
            <v>0.09</v>
          </cell>
          <cell r="Q203">
            <v>0</v>
          </cell>
          <cell r="R203">
            <v>0.09</v>
          </cell>
          <cell r="S203">
            <v>0</v>
          </cell>
        </row>
        <row r="204">
          <cell r="B204" t="str">
            <v>PV of Firm</v>
          </cell>
          <cell r="E204">
            <v>77.935092001174382</v>
          </cell>
          <cell r="G204">
            <v>64.454642776065725</v>
          </cell>
          <cell r="I204">
            <v>53.849392706977923</v>
          </cell>
          <cell r="O204" t="str">
            <v>PV of Firm</v>
          </cell>
          <cell r="Q204">
            <v>465.38940188501289</v>
          </cell>
          <cell r="S204">
            <v>384.89089933727655</v>
          </cell>
        </row>
        <row r="205">
          <cell r="B205" t="str">
            <v xml:space="preserve">Less Net LT Debt </v>
          </cell>
          <cell r="E205">
            <v>-43.806672424171659</v>
          </cell>
          <cell r="G205">
            <v>-43.806672424171659</v>
          </cell>
          <cell r="I205">
            <v>-43.806672424171659</v>
          </cell>
          <cell r="O205" t="str">
            <v xml:space="preserve">Less Net LT Debt </v>
          </cell>
          <cell r="Q205">
            <v>-261.59154438094106</v>
          </cell>
          <cell r="S205">
            <v>-261.59154438094106</v>
          </cell>
        </row>
        <row r="206">
          <cell r="B206" t="str">
            <v>PV of Equity</v>
          </cell>
          <cell r="E206">
            <v>121.74176442534605</v>
          </cell>
          <cell r="G206">
            <v>108.26131520023739</v>
          </cell>
          <cell r="I206">
            <v>97.656065131149575</v>
          </cell>
          <cell r="O206" t="str">
            <v>PV of Equity</v>
          </cell>
          <cell r="Q206">
            <v>726.98094626595389</v>
          </cell>
          <cell r="S206">
            <v>646.48244371821761</v>
          </cell>
        </row>
        <row r="208">
          <cell r="B208" t="str">
            <v>PV of Purchase Price</v>
          </cell>
          <cell r="E208">
            <v>79.316830883205029</v>
          </cell>
          <cell r="G208">
            <v>79.316830883205029</v>
          </cell>
          <cell r="I208">
            <v>79.316830883205029</v>
          </cell>
          <cell r="O208" t="str">
            <v>PV of Purchase Price</v>
          </cell>
          <cell r="Q208">
            <v>473.64045561905886</v>
          </cell>
          <cell r="S208">
            <v>473.64045561905886</v>
          </cell>
        </row>
        <row r="210">
          <cell r="B210" t="str">
            <v>NPV</v>
          </cell>
          <cell r="E210">
            <v>-1.3817388820306462</v>
          </cell>
          <cell r="G210">
            <v>-14.862188107139303</v>
          </cell>
          <cell r="I210">
            <v>-25.467438176227105</v>
          </cell>
          <cell r="O210" t="str">
            <v>NPV</v>
          </cell>
          <cell r="Q210">
            <v>-8.2510537340459678</v>
          </cell>
          <cell r="S210">
            <v>-88.749556281782304</v>
          </cell>
        </row>
        <row r="213">
          <cell r="A213" t="str">
            <v xml:space="preserve">(1) Capex assumed to be 1.5% of Sales. </v>
          </cell>
          <cell r="O213" t="str">
            <v xml:space="preserve">(1) Capex assumed to be 1.0% of Sales. </v>
          </cell>
        </row>
        <row r="214">
          <cell r="A214" t="str">
            <v>(2) Defined as Receivables + Inventory - Payables.</v>
          </cell>
          <cell r="O214" t="str">
            <v>(2) Defined as Receivables + Inventory - Payables.</v>
          </cell>
        </row>
        <row r="215">
          <cell r="A215" t="str">
            <v xml:space="preserve">(3) Fisher acquires 100% of  company </v>
          </cell>
          <cell r="O215" t="str">
            <v>(3) Fisher acquires 100% of  company</v>
          </cell>
        </row>
        <row r="216">
          <cell r="A216" t="str">
            <v>(4) Terminal value calculated as a perpetuity</v>
          </cell>
          <cell r="E216">
            <v>6.6000000000000003E-2</v>
          </cell>
          <cell r="O216" t="str">
            <v>(4) Terminal value calculated as 10% perpetuity</v>
          </cell>
          <cell r="S216">
            <v>6.6000000000000003E-2</v>
          </cell>
        </row>
        <row r="218">
          <cell r="A218" t="str">
            <v>Balance Sheet ($000's)</v>
          </cell>
          <cell r="O218" t="str">
            <v>Balance Sheet (Lira in millions)</v>
          </cell>
        </row>
        <row r="219">
          <cell r="A219" t="str">
            <v>Fiscal Year Ended June 30,</v>
          </cell>
          <cell r="O219" t="str">
            <v>At Dec 31,</v>
          </cell>
        </row>
        <row r="220">
          <cell r="F220" t="str">
            <v>(1)</v>
          </cell>
        </row>
        <row r="221">
          <cell r="C221" t="str">
            <v>1995A</v>
          </cell>
          <cell r="D221" t="str">
            <v>1996A</v>
          </cell>
          <cell r="E221" t="str">
            <v>1997A</v>
          </cell>
          <cell r="F221" t="str">
            <v>1998E</v>
          </cell>
          <cell r="G221" t="str">
            <v>1999E</v>
          </cell>
          <cell r="H221" t="str">
            <v>2000E</v>
          </cell>
          <cell r="I221" t="str">
            <v>2001E</v>
          </cell>
          <cell r="J221" t="str">
            <v>2002E</v>
          </cell>
          <cell r="K221" t="str">
            <v>2003E</v>
          </cell>
          <cell r="Q221" t="str">
            <v>1995A</v>
          </cell>
          <cell r="R221" t="str">
            <v>1996A</v>
          </cell>
          <cell r="S221" t="str">
            <v>1997A</v>
          </cell>
        </row>
        <row r="222">
          <cell r="A222" t="str">
            <v>Assets</v>
          </cell>
          <cell r="G222" t="str">
            <v xml:space="preserve"> </v>
          </cell>
          <cell r="H222" t="str">
            <v xml:space="preserve"> </v>
          </cell>
          <cell r="I222" t="str">
            <v xml:space="preserve"> </v>
          </cell>
          <cell r="J222" t="str">
            <v xml:space="preserve"> </v>
          </cell>
          <cell r="K222" t="str">
            <v xml:space="preserve"> </v>
          </cell>
          <cell r="O222" t="str">
            <v>Assets</v>
          </cell>
        </row>
        <row r="223">
          <cell r="A223" t="str">
            <v xml:space="preserve">Cash/Equivalents </v>
          </cell>
          <cell r="C223">
            <v>36.739680147366656</v>
          </cell>
          <cell r="D223">
            <v>39.774428535543834</v>
          </cell>
          <cell r="E223">
            <v>39.738759105752322</v>
          </cell>
          <cell r="F223">
            <v>43.806672424171659</v>
          </cell>
          <cell r="G223">
            <v>48.391688198648758</v>
          </cell>
          <cell r="H223">
            <v>55.690265717458168</v>
          </cell>
          <cell r="I223">
            <v>64.042514570643249</v>
          </cell>
          <cell r="J223">
            <v>73.5620623037927</v>
          </cell>
          <cell r="K223">
            <v>84.37503208688257</v>
          </cell>
          <cell r="O223" t="str">
            <v xml:space="preserve">Cash/Equivalents </v>
          </cell>
          <cell r="Q223">
            <v>219.39099999999999</v>
          </cell>
          <cell r="R223">
            <v>237.51300000000001</v>
          </cell>
          <cell r="S223">
            <v>237.3</v>
          </cell>
        </row>
        <row r="224">
          <cell r="A224" t="str">
            <v>Accounts Receivable (Net)</v>
          </cell>
          <cell r="C224">
            <v>15.335845265008791</v>
          </cell>
          <cell r="D224">
            <v>15.042619107426944</v>
          </cell>
          <cell r="E224">
            <v>16.562002846855901</v>
          </cell>
          <cell r="F224">
            <v>18.130502098136549</v>
          </cell>
          <cell r="G224">
            <v>19.399637245006112</v>
          </cell>
          <cell r="H224">
            <v>20.75761185215654</v>
          </cell>
          <cell r="I224">
            <v>22.210644681807498</v>
          </cell>
          <cell r="J224">
            <v>23.765389809534028</v>
          </cell>
          <cell r="K224">
            <v>25.428967096201415</v>
          </cell>
          <cell r="O224" t="str">
            <v>Accounts Receivable (Net)</v>
          </cell>
          <cell r="Q224">
            <v>91.578000000000003</v>
          </cell>
          <cell r="R224">
            <v>89.826999999999998</v>
          </cell>
          <cell r="S224">
            <v>98.9</v>
          </cell>
        </row>
        <row r="225">
          <cell r="A225" t="str">
            <v>Inventories (Net)</v>
          </cell>
          <cell r="C225">
            <v>4.2079879427279572</v>
          </cell>
          <cell r="D225">
            <v>3.6972285020514106</v>
          </cell>
          <cell r="E225">
            <v>4.5549694381646146</v>
          </cell>
          <cell r="F225">
            <v>4.9734104148881455</v>
          </cell>
          <cell r="G225">
            <v>5.3148249431600822</v>
          </cell>
          <cell r="H225">
            <v>5.6356185543733703</v>
          </cell>
          <cell r="I225">
            <v>5.9752806289350335</v>
          </cell>
          <cell r="J225">
            <v>6.3348808630189009</v>
          </cell>
          <cell r="K225">
            <v>6.7155462547927289</v>
          </cell>
          <cell r="O225" t="str">
            <v>Inventories (Net)</v>
          </cell>
          <cell r="Q225">
            <v>25.128</v>
          </cell>
          <cell r="R225">
            <v>22.077999999999999</v>
          </cell>
          <cell r="S225">
            <v>27.2</v>
          </cell>
        </row>
        <row r="226">
          <cell r="A226" t="str">
            <v xml:space="preserve">Prepaid Expenses &amp; Other </v>
          </cell>
          <cell r="C226">
            <v>0.96357699070585279</v>
          </cell>
          <cell r="D226">
            <v>1.7452901281085154</v>
          </cell>
          <cell r="E226">
            <v>3.7946914510591978</v>
          </cell>
          <cell r="F226">
            <v>3.7946914510591978</v>
          </cell>
          <cell r="G226">
            <v>3.7946914510591978</v>
          </cell>
          <cell r="H226">
            <v>3.7946914510591978</v>
          </cell>
          <cell r="I226">
            <v>3.7946914510591978</v>
          </cell>
          <cell r="J226">
            <v>3.7946914510591978</v>
          </cell>
          <cell r="K226">
            <v>3.7946914510591978</v>
          </cell>
          <cell r="O226" t="str">
            <v xml:space="preserve">Prepaid Expenses &amp; Other </v>
          </cell>
          <cell r="Q226">
            <v>5.7540000000000004</v>
          </cell>
          <cell r="R226">
            <v>10.422000000000001</v>
          </cell>
          <cell r="S226">
            <v>22.66</v>
          </cell>
        </row>
        <row r="227">
          <cell r="A227" t="str">
            <v>Total Current Assets</v>
          </cell>
          <cell r="C227">
            <v>57.247090345809262</v>
          </cell>
          <cell r="D227">
            <v>60.259566273130702</v>
          </cell>
          <cell r="E227">
            <v>64.650422841832039</v>
          </cell>
          <cell r="F227">
            <v>70.705276388255555</v>
          </cell>
          <cell r="G227">
            <v>76.90084183787414</v>
          </cell>
          <cell r="H227">
            <v>85.878187575047264</v>
          </cell>
          <cell r="I227">
            <v>96.023131332444976</v>
          </cell>
          <cell r="J227">
            <v>107.45702442740482</v>
          </cell>
          <cell r="K227">
            <v>120.31423688893591</v>
          </cell>
          <cell r="O227" t="str">
            <v>Total Current Assets</v>
          </cell>
          <cell r="Q227">
            <v>341.851</v>
          </cell>
          <cell r="R227">
            <v>359.84000000000003</v>
          </cell>
          <cell r="S227">
            <v>386.06000000000006</v>
          </cell>
        </row>
        <row r="229">
          <cell r="A229" t="str">
            <v>Net PP&amp;E</v>
          </cell>
          <cell r="C229">
            <v>2.9866867621200703</v>
          </cell>
          <cell r="D229">
            <v>2.7137235200535876</v>
          </cell>
          <cell r="E229">
            <v>2.3277233525914762</v>
          </cell>
          <cell r="F229">
            <v>2.7083647324792768</v>
          </cell>
          <cell r="G229">
            <v>3.0985729835767515</v>
          </cell>
          <cell r="H229">
            <v>3.4763497302416719</v>
          </cell>
          <cell r="I229">
            <v>3.8486990051188754</v>
          </cell>
          <cell r="J229">
            <v>4.2215551297946119</v>
          </cell>
          <cell r="K229">
            <v>4.600016890863321</v>
          </cell>
          <cell r="O229" t="str">
            <v>Net PP&amp;E</v>
          </cell>
          <cell r="Q229">
            <v>17.835000000000001</v>
          </cell>
          <cell r="R229">
            <v>16.204999999999998</v>
          </cell>
          <cell r="S229">
            <v>13.9</v>
          </cell>
        </row>
        <row r="230">
          <cell r="A230" t="str">
            <v>Goodwill &amp; Other Intangibles</v>
          </cell>
          <cell r="C230">
            <v>0.66566189399648323</v>
          </cell>
          <cell r="D230">
            <v>1.5696223729381225</v>
          </cell>
          <cell r="E230">
            <v>1.4904127941053336</v>
          </cell>
          <cell r="F230">
            <v>1.4904127941053336</v>
          </cell>
          <cell r="G230">
            <v>1.4904127941053336</v>
          </cell>
          <cell r="H230">
            <v>1.4904127941053336</v>
          </cell>
          <cell r="I230">
            <v>1.4904127941053336</v>
          </cell>
          <cell r="J230">
            <v>1.4904127941053336</v>
          </cell>
          <cell r="K230">
            <v>1.4904127941053336</v>
          </cell>
          <cell r="O230" t="str">
            <v>Goodwill &amp; Other Intangibles</v>
          </cell>
          <cell r="Q230">
            <v>3.9750000000000001</v>
          </cell>
          <cell r="R230">
            <v>9.3729999999999993</v>
          </cell>
          <cell r="S230">
            <v>8.9</v>
          </cell>
        </row>
        <row r="231">
          <cell r="A231" t="str">
            <v>Other Assets</v>
          </cell>
          <cell r="C231">
            <v>0.2662647575985933</v>
          </cell>
          <cell r="D231">
            <v>0.3582014569203717</v>
          </cell>
          <cell r="E231">
            <v>0</v>
          </cell>
          <cell r="F231">
            <v>0</v>
          </cell>
          <cell r="G231">
            <v>0</v>
          </cell>
          <cell r="H231">
            <v>0</v>
          </cell>
          <cell r="I231">
            <v>0</v>
          </cell>
          <cell r="J231">
            <v>0</v>
          </cell>
          <cell r="K231">
            <v>0</v>
          </cell>
          <cell r="O231" t="str">
            <v>Other Assets</v>
          </cell>
          <cell r="Q231">
            <v>1.59</v>
          </cell>
          <cell r="R231">
            <v>2.1389999999999998</v>
          </cell>
          <cell r="S231">
            <v>0</v>
          </cell>
        </row>
        <row r="232">
          <cell r="A232" t="str">
            <v>TOTAL ASSETS</v>
          </cell>
          <cell r="C232">
            <v>61.165703759524412</v>
          </cell>
          <cell r="D232">
            <v>64.901113623042789</v>
          </cell>
          <cell r="E232">
            <v>68.468558988528855</v>
          </cell>
          <cell r="F232">
            <v>74.904053914840176</v>
          </cell>
          <cell r="G232">
            <v>81.489827615556237</v>
          </cell>
          <cell r="H232">
            <v>90.844950099394268</v>
          </cell>
          <cell r="I232">
            <v>101.36224313166919</v>
          </cell>
          <cell r="J232">
            <v>113.16899235130477</v>
          </cell>
          <cell r="K232">
            <v>126.40466657390456</v>
          </cell>
          <cell r="O232" t="str">
            <v>TOTAL ASSETS</v>
          </cell>
          <cell r="Q232">
            <v>365.25099999999998</v>
          </cell>
          <cell r="R232">
            <v>387.55700000000002</v>
          </cell>
          <cell r="S232">
            <v>408.86</v>
          </cell>
        </row>
        <row r="234">
          <cell r="A234" t="str">
            <v>Liabilities &amp; Equity</v>
          </cell>
          <cell r="O234" t="str">
            <v>Liabilities &amp; Equity</v>
          </cell>
        </row>
        <row r="235">
          <cell r="A235" t="str">
            <v>Accounts Payable</v>
          </cell>
          <cell r="C235">
            <v>4.560998074185715</v>
          </cell>
          <cell r="D235">
            <v>4.886209495101733</v>
          </cell>
          <cell r="E235">
            <v>4.7559239722012894</v>
          </cell>
          <cell r="F235">
            <v>5.1928255802508598</v>
          </cell>
          <cell r="G235">
            <v>5.5493025141818517</v>
          </cell>
          <cell r="H235">
            <v>5.8842487847133729</v>
          </cell>
          <cell r="I235">
            <v>6.2388959507998152</v>
          </cell>
          <cell r="J235">
            <v>6.6143609010932662</v>
          </cell>
          <cell r="K235">
            <v>7.0118203542688802</v>
          </cell>
          <cell r="O235" t="str">
            <v>Accounts Payable</v>
          </cell>
          <cell r="Q235">
            <v>27.236000000000001</v>
          </cell>
          <cell r="R235">
            <v>29.178000000000001</v>
          </cell>
          <cell r="S235">
            <v>28.4</v>
          </cell>
        </row>
        <row r="236">
          <cell r="A236" t="str">
            <v>Short term debt</v>
          </cell>
          <cell r="C236">
            <v>0</v>
          </cell>
          <cell r="D236">
            <v>0</v>
          </cell>
          <cell r="E236">
            <v>0</v>
          </cell>
          <cell r="F236">
            <v>0</v>
          </cell>
          <cell r="G236">
            <v>0</v>
          </cell>
          <cell r="H236">
            <v>0</v>
          </cell>
          <cell r="I236">
            <v>0</v>
          </cell>
          <cell r="J236">
            <v>0</v>
          </cell>
          <cell r="K236">
            <v>0</v>
          </cell>
          <cell r="O236" t="str">
            <v>Short term debt</v>
          </cell>
          <cell r="Q236">
            <v>0</v>
          </cell>
          <cell r="R236">
            <v>0</v>
          </cell>
          <cell r="S236">
            <v>0</v>
          </cell>
        </row>
        <row r="237">
          <cell r="A237" t="str">
            <v>Other Accrued Expenses</v>
          </cell>
          <cell r="C237">
            <v>4.842166959725362</v>
          </cell>
          <cell r="D237">
            <v>3.5227329816628981</v>
          </cell>
          <cell r="E237">
            <v>3.0851544837980409</v>
          </cell>
          <cell r="F237">
            <v>3.0851544837980409</v>
          </cell>
          <cell r="G237">
            <v>3.0851544837980409</v>
          </cell>
          <cell r="H237">
            <v>3.0851544837980409</v>
          </cell>
          <cell r="I237">
            <v>3.0851544837980409</v>
          </cell>
          <cell r="J237">
            <v>3.0851544837980409</v>
          </cell>
          <cell r="K237">
            <v>3.0851544837980409</v>
          </cell>
          <cell r="O237" t="str">
            <v>Other Accrued Expenses</v>
          </cell>
          <cell r="Q237">
            <v>28.914999999999999</v>
          </cell>
          <cell r="R237">
            <v>21.035999999999998</v>
          </cell>
          <cell r="S237">
            <v>18.423000000000002</v>
          </cell>
        </row>
        <row r="238">
          <cell r="A238" t="str">
            <v>Total Current Liabilities</v>
          </cell>
          <cell r="C238">
            <v>9.4031650339110762</v>
          </cell>
          <cell r="D238">
            <v>8.408942476764631</v>
          </cell>
          <cell r="E238">
            <v>7.8410784559993303</v>
          </cell>
          <cell r="F238">
            <v>8.2779800640489007</v>
          </cell>
          <cell r="G238">
            <v>8.6344569979798926</v>
          </cell>
          <cell r="H238">
            <v>8.9694032685114138</v>
          </cell>
          <cell r="I238">
            <v>9.3240504345978561</v>
          </cell>
          <cell r="J238">
            <v>9.6995153848913063</v>
          </cell>
          <cell r="K238">
            <v>10.09697483806692</v>
          </cell>
          <cell r="O238" t="str">
            <v>Total Current Liabilities</v>
          </cell>
          <cell r="Q238">
            <v>56.150999999999996</v>
          </cell>
          <cell r="R238">
            <v>50.213999999999999</v>
          </cell>
          <cell r="S238">
            <v>46.823</v>
          </cell>
        </row>
        <row r="240">
          <cell r="A240" t="str">
            <v>Total Debt</v>
          </cell>
          <cell r="C240">
            <v>0</v>
          </cell>
          <cell r="D240">
            <v>0</v>
          </cell>
          <cell r="E240">
            <v>0</v>
          </cell>
          <cell r="F240">
            <v>0</v>
          </cell>
          <cell r="G240">
            <v>0</v>
          </cell>
          <cell r="H240">
            <v>0</v>
          </cell>
          <cell r="I240">
            <v>0</v>
          </cell>
          <cell r="J240">
            <v>0</v>
          </cell>
          <cell r="K240">
            <v>0</v>
          </cell>
          <cell r="O240" t="str">
            <v>Total Debt</v>
          </cell>
          <cell r="Q240">
            <v>0</v>
          </cell>
          <cell r="R240">
            <v>0</v>
          </cell>
          <cell r="S240">
            <v>0</v>
          </cell>
        </row>
        <row r="241">
          <cell r="A241" t="str">
            <v>Other Non-Current</v>
          </cell>
          <cell r="C241">
            <v>1.2516118228250859</v>
          </cell>
          <cell r="D241">
            <v>1.3415389768064974</v>
          </cell>
          <cell r="E241">
            <v>1.339696893577828</v>
          </cell>
          <cell r="F241">
            <v>1.339696893577828</v>
          </cell>
          <cell r="G241">
            <v>1.339696893577828</v>
          </cell>
          <cell r="H241">
            <v>1.339696893577828</v>
          </cell>
          <cell r="I241">
            <v>1.339696893577828</v>
          </cell>
          <cell r="J241">
            <v>1.339696893577828</v>
          </cell>
          <cell r="K241">
            <v>1.339696893577828</v>
          </cell>
          <cell r="O241" t="str">
            <v>Other Non-Current</v>
          </cell>
          <cell r="Q241">
            <v>7.4740000000000002</v>
          </cell>
          <cell r="R241">
            <v>8.0109999999999992</v>
          </cell>
          <cell r="S241">
            <v>8</v>
          </cell>
        </row>
        <row r="242">
          <cell r="A242" t="str">
            <v>Total Liabilities</v>
          </cell>
          <cell r="C242">
            <v>10.654776856736163</v>
          </cell>
          <cell r="D242">
            <v>9.7504814535711279</v>
          </cell>
          <cell r="E242">
            <v>9.1807753495771589</v>
          </cell>
          <cell r="F242">
            <v>9.6176769576267294</v>
          </cell>
          <cell r="G242">
            <v>9.9741538915577213</v>
          </cell>
          <cell r="H242">
            <v>10.309100162089242</v>
          </cell>
          <cell r="I242">
            <v>10.663747328175685</v>
          </cell>
          <cell r="J242">
            <v>11.039212278469135</v>
          </cell>
          <cell r="K242">
            <v>11.436671731644749</v>
          </cell>
          <cell r="O242" t="str">
            <v>Total Liabilities</v>
          </cell>
          <cell r="Q242">
            <v>63.625</v>
          </cell>
          <cell r="R242">
            <v>58.224999999999994</v>
          </cell>
          <cell r="S242">
            <v>54.823</v>
          </cell>
        </row>
        <row r="244">
          <cell r="A244" t="str">
            <v>Shareholders' Equity</v>
          </cell>
          <cell r="C244">
            <v>50.510926902788235</v>
          </cell>
          <cell r="D244">
            <v>55.225990119735414</v>
          </cell>
          <cell r="E244">
            <v>59.281085154483797</v>
          </cell>
          <cell r="F244">
            <v>65.286376957213434</v>
          </cell>
          <cell r="G244">
            <v>71.515673723998518</v>
          </cell>
          <cell r="H244">
            <v>80.535849937305045</v>
          </cell>
          <cell r="I244">
            <v>90.698495803493486</v>
          </cell>
          <cell r="J244">
            <v>102.12978007283563</v>
          </cell>
          <cell r="K244">
            <v>114.96799484225981</v>
          </cell>
          <cell r="O244" t="str">
            <v>Shareholders' Equity</v>
          </cell>
          <cell r="Q244">
            <v>301.62599999999998</v>
          </cell>
          <cell r="R244">
            <v>329.78200000000004</v>
          </cell>
          <cell r="S244">
            <v>353.99700000000001</v>
          </cell>
        </row>
        <row r="245">
          <cell r="A245" t="str">
            <v>TOTAL LIABILITIES &amp; EQUITY</v>
          </cell>
          <cell r="C245">
            <v>61.165703759524398</v>
          </cell>
          <cell r="D245">
            <v>64.97647157330654</v>
          </cell>
          <cell r="E245">
            <v>68.461860504060951</v>
          </cell>
          <cell r="F245">
            <v>74.904053914840162</v>
          </cell>
          <cell r="G245">
            <v>81.489827615556237</v>
          </cell>
          <cell r="H245">
            <v>90.844950099394282</v>
          </cell>
          <cell r="I245">
            <v>101.36224313166917</v>
          </cell>
          <cell r="J245">
            <v>113.16899235130477</v>
          </cell>
          <cell r="K245">
            <v>126.40466657390456</v>
          </cell>
          <cell r="O245" t="str">
            <v>TOTAL LIABILITIES &amp; EQUITY</v>
          </cell>
          <cell r="Q245">
            <v>365.25099999999998</v>
          </cell>
          <cell r="R245">
            <v>388.00700000000006</v>
          </cell>
          <cell r="S245">
            <v>408.82</v>
          </cell>
        </row>
        <row r="246">
          <cell r="H246" t="str">
            <v xml:space="preserve"> </v>
          </cell>
          <cell r="I246" t="str">
            <v xml:space="preserve"> </v>
          </cell>
        </row>
        <row r="248">
          <cell r="A248" t="str">
            <v>(1) Estimated Balance Sheet as of June 30, 1998 .</v>
          </cell>
        </row>
        <row r="253">
          <cell r="A253" t="str">
            <v>Balance Sheet Turnover Analysis</v>
          </cell>
        </row>
        <row r="255">
          <cell r="C255">
            <v>1994</v>
          </cell>
          <cell r="D255" t="str">
            <v>1996A</v>
          </cell>
          <cell r="E255" t="str">
            <v>1997A</v>
          </cell>
          <cell r="F255" t="str">
            <v>1998E</v>
          </cell>
          <cell r="G255" t="str">
            <v>1999E</v>
          </cell>
          <cell r="H255" t="str">
            <v>2000E</v>
          </cell>
          <cell r="I255" t="str">
            <v>2001E</v>
          </cell>
          <cell r="J255" t="str">
            <v>2002E</v>
          </cell>
          <cell r="K255" t="str">
            <v>2003E</v>
          </cell>
        </row>
        <row r="256">
          <cell r="A256" t="str">
            <v>(days)</v>
          </cell>
        </row>
        <row r="257">
          <cell r="A257" t="str">
            <v>Accounts Receivable</v>
          </cell>
          <cell r="C257">
            <v>93.995883141972556</v>
          </cell>
          <cell r="D257">
            <v>87.385007995735606</v>
          </cell>
          <cell r="E257">
            <v>91.900458248472518</v>
          </cell>
          <cell r="F257">
            <v>91.900458248472518</v>
          </cell>
          <cell r="G257">
            <v>91.900458248472518</v>
          </cell>
          <cell r="H257">
            <v>91.900458248472518</v>
          </cell>
          <cell r="I257">
            <v>91.900458248472518</v>
          </cell>
          <cell r="J257">
            <v>91.900458248472518</v>
          </cell>
          <cell r="K257">
            <v>91.900458248472518</v>
          </cell>
        </row>
        <row r="258">
          <cell r="A258" t="str">
            <v>Inventory</v>
          </cell>
          <cell r="C258">
            <v>46.138197476708854</v>
          </cell>
          <cell r="D258">
            <v>38.759974411635973</v>
          </cell>
          <cell r="E258">
            <v>45.374771480804377</v>
          </cell>
          <cell r="F258">
            <v>45.374771480804377</v>
          </cell>
          <cell r="G258">
            <v>45.374771480804377</v>
          </cell>
          <cell r="H258">
            <v>45.374771480804377</v>
          </cell>
          <cell r="I258">
            <v>45.374771480804377</v>
          </cell>
          <cell r="J258">
            <v>45.374771480804377</v>
          </cell>
          <cell r="K258">
            <v>45.374771480804377</v>
          </cell>
        </row>
        <row r="259">
          <cell r="A259" t="str">
            <v>Accounts Payable</v>
          </cell>
          <cell r="C259">
            <v>50.008753043443264</v>
          </cell>
          <cell r="D259">
            <v>51.224682189632865</v>
          </cell>
          <cell r="E259">
            <v>47.376599634369285</v>
          </cell>
          <cell r="F259">
            <v>47.376599634369285</v>
          </cell>
          <cell r="G259">
            <v>47.376599634369285</v>
          </cell>
          <cell r="H259">
            <v>47.376599634369285</v>
          </cell>
          <cell r="I259">
            <v>47.376599634369285</v>
          </cell>
          <cell r="J259">
            <v>47.376599634369285</v>
          </cell>
          <cell r="K259">
            <v>47.376599634369285</v>
          </cell>
        </row>
        <row r="262">
          <cell r="A262" t="str">
            <v>Percentage of Sales</v>
          </cell>
        </row>
        <row r="264">
          <cell r="C264" t="str">
            <v>1995A</v>
          </cell>
          <cell r="D264" t="str">
            <v>1996A</v>
          </cell>
          <cell r="E264" t="str">
            <v>1997A</v>
          </cell>
          <cell r="F264" t="str">
            <v>1998E</v>
          </cell>
          <cell r="G264" t="str">
            <v>1999E</v>
          </cell>
          <cell r="H264" t="str">
            <v>2000E</v>
          </cell>
          <cell r="I264" t="str">
            <v>2001E</v>
          </cell>
          <cell r="J264" t="str">
            <v>2002E</v>
          </cell>
          <cell r="K264" t="str">
            <v>2003E</v>
          </cell>
        </row>
        <row r="266">
          <cell r="A266" t="str">
            <v>Sales Growth</v>
          </cell>
          <cell r="C266" t="str">
            <v>na</v>
          </cell>
          <cell r="D266">
            <v>5.5085472609115109E-2</v>
          </cell>
          <cell r="E266">
            <v>4.6908315565031979E-2</v>
          </cell>
          <cell r="F266">
            <v>9.4704684317718862E-2</v>
          </cell>
          <cell r="G266">
            <v>7.0000000000000007E-2</v>
          </cell>
          <cell r="H266">
            <v>7.0000000000000007E-2</v>
          </cell>
          <cell r="I266">
            <v>7.0000000000000007E-2</v>
          </cell>
          <cell r="J266">
            <v>7.0000000000000007E-2</v>
          </cell>
          <cell r="K266">
            <v>7.0000000000000007E-2</v>
          </cell>
        </row>
        <row r="267">
          <cell r="A267" t="str">
            <v>Cost of Sales</v>
          </cell>
          <cell r="C267">
            <v>0.55900408030122806</v>
          </cell>
          <cell r="D267">
            <v>0.55412313432835825</v>
          </cell>
          <cell r="E267">
            <v>0.55702647657841153</v>
          </cell>
          <cell r="F267">
            <v>0.55558139534883733</v>
          </cell>
          <cell r="G267">
            <v>0.55487937404911969</v>
          </cell>
          <cell r="H267">
            <v>0.54987937404911968</v>
          </cell>
          <cell r="I267">
            <v>0.54487937404911968</v>
          </cell>
          <cell r="J267">
            <v>0.53987937404911968</v>
          </cell>
          <cell r="K267">
            <v>0.53487937404911967</v>
          </cell>
        </row>
        <row r="268">
          <cell r="A268" t="str">
            <v>Total Gross Profit</v>
          </cell>
          <cell r="C268">
            <v>0.44099591969877194</v>
          </cell>
          <cell r="D268">
            <v>0.44587686567164181</v>
          </cell>
          <cell r="E268">
            <v>0.44297352342158852</v>
          </cell>
          <cell r="F268">
            <v>0.44441860465116273</v>
          </cell>
          <cell r="G268">
            <v>0.44512062595088026</v>
          </cell>
          <cell r="H268">
            <v>0.45012062595088032</v>
          </cell>
          <cell r="I268">
            <v>0.45512062595088038</v>
          </cell>
          <cell r="J268">
            <v>0.46012062595088038</v>
          </cell>
          <cell r="K268">
            <v>0.46512062595088027</v>
          </cell>
        </row>
        <row r="269">
          <cell r="F269" t="str">
            <v xml:space="preserve"> </v>
          </cell>
          <cell r="G269" t="str">
            <v xml:space="preserve"> </v>
          </cell>
          <cell r="H269" t="str">
            <v xml:space="preserve"> </v>
          </cell>
          <cell r="I269" t="str">
            <v xml:space="preserve"> </v>
          </cell>
          <cell r="J269" t="str">
            <v xml:space="preserve"> </v>
          </cell>
          <cell r="K269" t="str">
            <v xml:space="preserve"> </v>
          </cell>
        </row>
        <row r="270">
          <cell r="A270" t="str">
            <v>SG&amp;A</v>
          </cell>
          <cell r="C270">
            <v>0.12942513026874872</v>
          </cell>
          <cell r="D270">
            <v>0.13265458422174839</v>
          </cell>
          <cell r="E270">
            <v>0.13747454175152751</v>
          </cell>
          <cell r="F270">
            <v>0.13255813953488374</v>
          </cell>
          <cell r="G270">
            <v>0.13212453814388175</v>
          </cell>
          <cell r="H270">
            <v>0.13169235507518681</v>
          </cell>
          <cell r="I270">
            <v>0.13126158568942681</v>
          </cell>
          <cell r="J270">
            <v>0.1308322253624053</v>
          </cell>
          <cell r="K270">
            <v>0.13040426948505163</v>
          </cell>
        </row>
        <row r="271">
          <cell r="A271" t="str">
            <v>Other Expenses</v>
          </cell>
          <cell r="C271">
            <v>2.191439522399476E-2</v>
          </cell>
          <cell r="D271">
            <v>2.2763859275053304E-2</v>
          </cell>
          <cell r="E271">
            <v>2.2764765784114054E-2</v>
          </cell>
          <cell r="F271">
            <v>2.2758139534883724E-2</v>
          </cell>
          <cell r="G271">
            <v>2.2758139534883721E-2</v>
          </cell>
          <cell r="H271">
            <v>2.2758139534883717E-2</v>
          </cell>
          <cell r="I271">
            <v>2.275813953488371E-2</v>
          </cell>
          <cell r="J271">
            <v>2.2758139534883714E-2</v>
          </cell>
          <cell r="K271">
            <v>2.2758139534883717E-2</v>
          </cell>
        </row>
        <row r="272">
          <cell r="A272" t="str">
            <v>Depreciation &amp; Amortization</v>
          </cell>
          <cell r="C272">
            <v>8.7202026933924995E-3</v>
          </cell>
          <cell r="D272">
            <v>8.8939232409381667E-3</v>
          </cell>
          <cell r="E272">
            <v>9.9236252545824855E-3</v>
          </cell>
          <cell r="F272">
            <v>9.7139534883720936E-3</v>
          </cell>
          <cell r="G272">
            <v>9.9356040612289236E-3</v>
          </cell>
          <cell r="H272">
            <v>1.0142754129319422E-2</v>
          </cell>
          <cell r="I272">
            <v>1.0336352323796519E-2</v>
          </cell>
          <cell r="J272">
            <v>1.0517285215831193E-2</v>
          </cell>
          <cell r="K272">
            <v>1.0686381376611263E-2</v>
          </cell>
        </row>
        <row r="273">
          <cell r="A273" t="str">
            <v>Operating Income</v>
          </cell>
          <cell r="C273">
            <v>0.12760291442053248</v>
          </cell>
          <cell r="D273">
            <v>0.12429371002132202</v>
          </cell>
          <cell r="E273">
            <v>0.12245417515274942</v>
          </cell>
          <cell r="F273">
            <v>0.13226046511627898</v>
          </cell>
          <cell r="G273">
            <v>0.13474695951190735</v>
          </cell>
          <cell r="H273">
            <v>0.14132183507264209</v>
          </cell>
          <cell r="I273">
            <v>0.14789560270547442</v>
          </cell>
          <cell r="J273">
            <v>0.1544675104487058</v>
          </cell>
          <cell r="K273">
            <v>0.16103686304993822</v>
          </cell>
        </row>
        <row r="275">
          <cell r="A275" t="str">
            <v>Adjustments / Cost Savings</v>
          </cell>
          <cell r="C275">
            <v>9.1870049014231847E-3</v>
          </cell>
          <cell r="D275">
            <v>8.2089552238805968E-3</v>
          </cell>
          <cell r="E275">
            <v>7.1283095723014252E-3</v>
          </cell>
          <cell r="F275">
            <v>8.2093023255813951E-3</v>
          </cell>
          <cell r="G275">
            <v>8.0000000000000002E-3</v>
          </cell>
          <cell r="H275">
            <v>8.0000000000000002E-3</v>
          </cell>
          <cell r="I275">
            <v>8.0000000000000002E-3</v>
          </cell>
          <cell r="J275">
            <v>8.0000000000000002E-3</v>
          </cell>
          <cell r="K275">
            <v>8.0000000000000002E-3</v>
          </cell>
        </row>
        <row r="277">
          <cell r="A277" t="str">
            <v>Adjusted Operating Income</v>
          </cell>
          <cell r="C277">
            <v>0.12760291442053248</v>
          </cell>
          <cell r="D277">
            <v>0.12429371002132202</v>
          </cell>
          <cell r="E277">
            <v>0.12245417515274942</v>
          </cell>
          <cell r="F277">
            <v>0.13226046511627898</v>
          </cell>
          <cell r="G277">
            <v>0.13474695951190735</v>
          </cell>
          <cell r="H277">
            <v>0.14132183507264209</v>
          </cell>
          <cell r="I277">
            <v>0.14789560270547442</v>
          </cell>
          <cell r="J277">
            <v>0.1544675104487058</v>
          </cell>
          <cell r="K277">
            <v>0.16103686304993822</v>
          </cell>
        </row>
        <row r="278">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row>
        <row r="279">
          <cell r="A279" t="str">
            <v>Net Interest Expense</v>
          </cell>
          <cell r="C279">
            <v>-3.5488216056308718E-2</v>
          </cell>
          <cell r="D279">
            <v>-4.1146055437100218E-2</v>
          </cell>
          <cell r="E279">
            <v>-3.9266802443991854E-2</v>
          </cell>
          <cell r="F279">
            <v>-6.5790697674418617E-3</v>
          </cell>
          <cell r="G279">
            <v>-3.8889983894638332E-2</v>
          </cell>
          <cell r="H279">
            <v>-4.1030444628709431E-2</v>
          </cell>
          <cell r="I279">
            <v>-4.4112337980652401E-2</v>
          </cell>
          <cell r="J279">
            <v>-4.7380115003882527E-2</v>
          </cell>
          <cell r="K279">
            <v>-5.0823386223742717E-2</v>
          </cell>
        </row>
        <row r="280">
          <cell r="A280" t="str">
            <v>Income Taxes</v>
          </cell>
          <cell r="C280">
            <v>6.1997519761762154E-2</v>
          </cell>
          <cell r="D280">
            <v>4.8917910447761191E-2</v>
          </cell>
          <cell r="E280">
            <v>6.6522403258655799E-2</v>
          </cell>
          <cell r="F280">
            <v>5.5534883720930232E-2</v>
          </cell>
          <cell r="G280">
            <v>6.9454777362618264E-2</v>
          </cell>
          <cell r="H280">
            <v>7.2940911880540582E-2</v>
          </cell>
          <cell r="I280">
            <v>7.6803176274450755E-2</v>
          </cell>
          <cell r="J280">
            <v>8.0739050181035318E-2</v>
          </cell>
          <cell r="K280">
            <v>8.4744099709472401E-2</v>
          </cell>
        </row>
        <row r="281">
          <cell r="A281" t="str">
            <v>Net Income</v>
          </cell>
          <cell r="C281">
            <v>0.10370039172016608</v>
          </cell>
          <cell r="D281">
            <v>0.12105810234541584</v>
          </cell>
          <cell r="E281">
            <v>9.9781059063136404E-2</v>
          </cell>
          <cell r="F281">
            <v>8.3304651162790622E-2</v>
          </cell>
          <cell r="G281">
            <v>0.1041821660439274</v>
          </cell>
          <cell r="H281">
            <v>0.10941136782081093</v>
          </cell>
          <cell r="I281">
            <v>0.11520476441167607</v>
          </cell>
          <cell r="J281">
            <v>0.12110857527155298</v>
          </cell>
          <cell r="K281">
            <v>0.12711614956420855</v>
          </cell>
        </row>
        <row r="284">
          <cell r="A284" t="str">
            <v>Capex</v>
          </cell>
          <cell r="D284">
            <v>1.5000000000000001E-2</v>
          </cell>
          <cell r="E284">
            <v>1.5000000000000001E-2</v>
          </cell>
          <cell r="F284">
            <v>1.4999999999999999E-2</v>
          </cell>
          <cell r="G284">
            <v>1.5000000000000001E-2</v>
          </cell>
          <cell r="H284">
            <v>1.4999999999999999E-2</v>
          </cell>
          <cell r="I284">
            <v>1.4999999999999999E-2</v>
          </cell>
          <cell r="J284">
            <v>1.4999999999999998E-2</v>
          </cell>
          <cell r="K284">
            <v>1.4999999999999999E-2</v>
          </cell>
        </row>
        <row r="285">
          <cell r="A285" t="str">
            <v>Depreciation</v>
          </cell>
          <cell r="D285">
            <v>8.8939232409381667E-3</v>
          </cell>
          <cell r="E285">
            <v>9.9236252545824855E-3</v>
          </cell>
          <cell r="F285">
            <v>9.7139534883720936E-3</v>
          </cell>
          <cell r="G285">
            <v>9.9356040612289236E-3</v>
          </cell>
          <cell r="H285">
            <v>1.0417709188149724E-2</v>
          </cell>
          <cell r="I285">
            <v>1.0779011582622906E-2</v>
          </cell>
          <cell r="J285">
            <v>1.1049781198963243E-2</v>
          </cell>
          <cell r="K285">
            <v>1.1252703145384322E-2</v>
          </cell>
        </row>
        <row r="286">
          <cell r="A286" t="str">
            <v>Depreciation/Net PPE</v>
          </cell>
          <cell r="D286">
            <v>0.2059240975007714</v>
          </cell>
          <cell r="E286">
            <v>0.28043165467625897</v>
          </cell>
          <cell r="F286">
            <v>0.25826995609967224</v>
          </cell>
          <cell r="G286">
            <v>0.24705937760332417</v>
          </cell>
          <cell r="H286">
            <v>0.24705937760332417</v>
          </cell>
          <cell r="I286">
            <v>0.24705937760332417</v>
          </cell>
          <cell r="J286">
            <v>0.24705937760332417</v>
          </cell>
          <cell r="K286">
            <v>0.24705937760332417</v>
          </cell>
        </row>
        <row r="287">
          <cell r="A287" t="str">
            <v>Capex/Depreciation</v>
          </cell>
          <cell r="D287">
            <v>1.686544800719209</v>
          </cell>
          <cell r="E287">
            <v>1.5115443817342227</v>
          </cell>
          <cell r="F287">
            <v>1.5441704572659805</v>
          </cell>
          <cell r="G287">
            <v>1.5097219965249569</v>
          </cell>
          <cell r="H287">
            <v>1.4398558962523824</v>
          </cell>
          <cell r="I287">
            <v>1.3915932722608673</v>
          </cell>
          <cell r="J287">
            <v>1.3574929430645548</v>
          </cell>
          <cell r="K287">
            <v>1.3330130375075928</v>
          </cell>
        </row>
        <row r="288">
          <cell r="A288" t="str">
            <v>Working Capital</v>
          </cell>
          <cell r="D288">
            <v>0.22048773987206821</v>
          </cell>
          <cell r="E288">
            <v>0.24872708757637482</v>
          </cell>
          <cell r="F288">
            <v>0.24873501306757897</v>
          </cell>
          <cell r="G288">
            <v>0.24873886327580416</v>
          </cell>
          <cell r="H288">
            <v>0.24876628557927766</v>
          </cell>
          <cell r="I288">
            <v>0.24879370788275113</v>
          </cell>
          <cell r="J288">
            <v>0.24882113018622462</v>
          </cell>
          <cell r="K288">
            <v>0.24884855248969814</v>
          </cell>
        </row>
        <row r="289">
          <cell r="A289" t="str">
            <v>Prepaid Expenses &amp; Other Current</v>
          </cell>
          <cell r="D289">
            <v>2.7777185501066098E-2</v>
          </cell>
          <cell r="E289">
            <v>5.7688391038696538E-2</v>
          </cell>
          <cell r="F289">
            <v>5.2697674418604658E-2</v>
          </cell>
          <cell r="G289">
            <v>4.9250163008041727E-2</v>
          </cell>
          <cell r="H289">
            <v>4.6028189727141795E-2</v>
          </cell>
          <cell r="I289">
            <v>4.3016999744992325E-2</v>
          </cell>
          <cell r="J289">
            <v>4.0202803499992827E-2</v>
          </cell>
          <cell r="K289">
            <v>3.7572713551395159E-2</v>
          </cell>
        </row>
        <row r="290">
          <cell r="A290" t="str">
            <v>Other Assets</v>
          </cell>
          <cell r="D290">
            <v>5.7009594882729206E-3</v>
          </cell>
          <cell r="E290">
            <v>0</v>
          </cell>
          <cell r="F290">
            <v>0</v>
          </cell>
          <cell r="G290">
            <v>0</v>
          </cell>
          <cell r="H290">
            <v>0</v>
          </cell>
          <cell r="I290">
            <v>0</v>
          </cell>
          <cell r="J290">
            <v>0</v>
          </cell>
          <cell r="K290">
            <v>0</v>
          </cell>
        </row>
        <row r="291">
          <cell r="A291" t="str">
            <v>Accrued Expenses &amp; Other</v>
          </cell>
          <cell r="D291">
            <v>5.6066098081023447E-2</v>
          </cell>
          <cell r="E291">
            <v>4.6901731160896139E-2</v>
          </cell>
          <cell r="F291">
            <v>4.2844186046511634E-2</v>
          </cell>
          <cell r="G291">
            <v>4.004129537057162E-2</v>
          </cell>
          <cell r="H291">
            <v>3.7421771374365996E-2</v>
          </cell>
          <cell r="I291">
            <v>3.4973618106884097E-2</v>
          </cell>
          <cell r="J291">
            <v>3.26856243989571E-2</v>
          </cell>
          <cell r="K291">
            <v>3.0547312522389812E-2</v>
          </cell>
        </row>
        <row r="292">
          <cell r="A292" t="str">
            <v>Other Liabilities</v>
          </cell>
          <cell r="D292">
            <v>2.1351279317697227E-2</v>
          </cell>
          <cell r="E292">
            <v>2.0366598778004074E-2</v>
          </cell>
          <cell r="F292">
            <v>1.8604651162790697E-2</v>
          </cell>
          <cell r="G292">
            <v>1.7387524451206258E-2</v>
          </cell>
          <cell r="H292">
            <v>1.6250022851594631E-2</v>
          </cell>
          <cell r="I292">
            <v>1.5186937244480963E-2</v>
          </cell>
          <cell r="J292">
            <v>1.4193399293907439E-2</v>
          </cell>
          <cell r="K292">
            <v>1.3264859153184523E-2</v>
          </cell>
        </row>
      </sheetData>
      <sheetData sheetId="1"/>
      <sheetData sheetId="2"/>
      <sheetData sheetId="3"/>
      <sheetData sheetId="4"/>
      <sheetData sheetId="5"/>
      <sheetData sheetId="6"/>
      <sheetData sheetId="7"/>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Guide"/>
      <sheetName val="PipelineTraitPricing"/>
      <sheetName val="PipelineOverview"/>
      <sheetName val="Pipeline at a Glance"/>
      <sheetName val="DCF"/>
      <sheetName val="TraitPricing"/>
      <sheetName val="TraitAcreage"/>
      <sheetName val="Sheet1"/>
      <sheetName val="SOYBEANS"/>
      <sheetName val="Cotton"/>
      <sheetName val="Intl Corn"/>
      <sheetName val="CORN"/>
      <sheetName val="Roundup"/>
      <sheetName val="Segment"/>
      <sheetName val="Income"/>
      <sheetName val="Balance"/>
      <sheetName val="CashFlow"/>
      <sheetName val="MW-Cache"/>
      <sheetName val="mwareDates"/>
      <sheetName val="MWA RR"/>
      <sheetName val="MON.N"/>
      <sheetName val="Model Summary"/>
      <sheetName val="Preview"/>
      <sheetName val="Earnings Charts"/>
      <sheetName val="R&amp;D Return"/>
      <sheetName val="M&amp;A"/>
      <sheetName val="Disclosures"/>
      <sheetName val="mwareSettings"/>
      <sheetName val="P&amp;L"/>
      <sheetName val="Q Variance"/>
      <sheetName val="Page 7"/>
      <sheetName val="Page 8"/>
      <sheetName val="Data"/>
      <sheetName val="Page 3"/>
      <sheetName val="Page 4"/>
      <sheetName val="Page 5"/>
      <sheetName val="Page 6"/>
      <sheetName val="Page1"/>
    </sheetNames>
    <sheetDataSet>
      <sheetData sheetId="0"/>
      <sheetData sheetId="1"/>
      <sheetData sheetId="2"/>
      <sheetData sheetId="3"/>
      <sheetData sheetId="4"/>
      <sheetData sheetId="5"/>
      <sheetData sheetId="6"/>
      <sheetData sheetId="7">
        <row r="7">
          <cell r="O7" t="str">
            <v>Incremental Yield</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amp;L"/>
      <sheetName val="Revenue Build"/>
      <sheetName val="Org Rev"/>
      <sheetName val="Bal Sheet"/>
      <sheetName val="MW-Cache"/>
      <sheetName val="Cash Flow"/>
      <sheetName val="Q Variance"/>
      <sheetName val="Earnings Charts"/>
      <sheetName val="Guidance"/>
      <sheetName val="BBB"/>
      <sheetName val="Debt"/>
      <sheetName val="FX"/>
      <sheetName val="DCF"/>
      <sheetName val="Quarterly Guidance"/>
      <sheetName val="Links"/>
      <sheetName val="Residual Income"/>
      <sheetName val="mwareDates"/>
      <sheetName val="MWA RR"/>
      <sheetName val="mwareSetting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7">
          <cell r="E7" t="str">
            <v>Current Quarter</v>
          </cell>
          <cell r="P7" t="str">
            <v>Y/Y</v>
          </cell>
        </row>
        <row r="8">
          <cell r="D8" t="str">
            <v>($ in millions, except EPS)</v>
          </cell>
          <cell r="E8" t="str">
            <v>2Q12E</v>
          </cell>
          <cell r="F8" t="str">
            <v>2Q12A</v>
          </cell>
          <cell r="G8" t="str">
            <v>Co. Guid
(midpt)</v>
          </cell>
          <cell r="H8" t="str">
            <v>A v E ($)</v>
          </cell>
          <cell r="I8" t="str">
            <v>A v E (%)</v>
          </cell>
          <cell r="J8" t="str">
            <v>EPS Impact</v>
          </cell>
          <cell r="K8" t="str">
            <v>Cons Est</v>
          </cell>
          <cell r="M8" t="str">
            <v>Variance</v>
          </cell>
          <cell r="O8" t="str">
            <v>2Q11A</v>
          </cell>
          <cell r="P8" t="str">
            <v>% Change</v>
          </cell>
          <cell r="Q8" t="str">
            <v>Comments</v>
          </cell>
        </row>
        <row r="9">
          <cell r="D9" t="str">
            <v>Analytical Technologies</v>
          </cell>
          <cell r="E9">
            <v>990.70749999999998</v>
          </cell>
          <cell r="F9">
            <v>999.5</v>
          </cell>
          <cell r="H9">
            <v>8.7925000000000182</v>
          </cell>
          <cell r="I9">
            <v>8.8749706649036142E-3</v>
          </cell>
          <cell r="O9">
            <v>929.2</v>
          </cell>
          <cell r="P9">
            <v>7.5656478691347395E-2</v>
          </cell>
        </row>
        <row r="10">
          <cell r="D10" t="str">
            <v>Specialty Diagnostics</v>
          </cell>
          <cell r="E10">
            <v>731.92075</v>
          </cell>
          <cell r="F10">
            <v>731.9</v>
          </cell>
          <cell r="H10">
            <v>-2.0750000000020918E-2</v>
          </cell>
          <cell r="I10">
            <v>-2.8350063855930863E-5</v>
          </cell>
          <cell r="O10">
            <v>570.6</v>
          </cell>
          <cell r="P10">
            <v>0.28268489309498768</v>
          </cell>
        </row>
        <row r="11">
          <cell r="D11" t="str">
            <v>Lab Products &amp; Services</v>
          </cell>
          <cell r="E11">
            <v>1500.2015000000001</v>
          </cell>
          <cell r="F11">
            <v>1519.7</v>
          </cell>
          <cell r="O11">
            <v>1483.9</v>
          </cell>
          <cell r="P11">
            <v>2.4125614933620865E-2</v>
          </cell>
        </row>
        <row r="12">
          <cell r="D12" t="str">
            <v>Eliminations</v>
          </cell>
          <cell r="E12">
            <v>-148.2501685</v>
          </cell>
          <cell r="F12">
            <v>-143</v>
          </cell>
          <cell r="O12">
            <v>-129.69999999999999</v>
          </cell>
        </row>
        <row r="13">
          <cell r="D13" t="str">
            <v>Total Revenues</v>
          </cell>
          <cell r="E13">
            <v>3074.5795814999997</v>
          </cell>
          <cell r="F13">
            <v>3108.1</v>
          </cell>
          <cell r="H13">
            <v>33.520418500000233</v>
          </cell>
          <cell r="I13">
            <v>1.0902439703202038E-2</v>
          </cell>
          <cell r="J13">
            <v>1.4433365526662112E-2</v>
          </cell>
          <cell r="K13">
            <v>3054.8159999999998</v>
          </cell>
          <cell r="M13">
            <v>1.744262174874045E-2</v>
          </cell>
          <cell r="O13">
            <v>2854</v>
          </cell>
          <cell r="P13">
            <v>8.9032936229852755E-2</v>
          </cell>
          <cell r="Q13" t="str">
            <v>pro forma 1% reported and organic 4%</v>
          </cell>
        </row>
        <row r="15">
          <cell r="D15" t="str">
            <v>Reported Growth (% y/y)</v>
          </cell>
          <cell r="E15">
            <v>6.1151232656864618E-2</v>
          </cell>
          <cell r="F15">
            <v>8.9032936229852755E-2</v>
          </cell>
          <cell r="O15">
            <v>0.09</v>
          </cell>
          <cell r="Q15" t="str">
            <v>changed historicals so y/y comps changed</v>
          </cell>
        </row>
        <row r="16">
          <cell r="D16" t="str">
            <v>FX Impact (% y/y)</v>
          </cell>
          <cell r="E16">
            <v>-3.15E-2</v>
          </cell>
          <cell r="F16">
            <v>-0.03</v>
          </cell>
          <cell r="O16">
            <v>0.04</v>
          </cell>
        </row>
        <row r="17">
          <cell r="D17" t="str">
            <v>CC growth (% y/y)</v>
          </cell>
          <cell r="E17">
            <v>2.1154958504485011E-2</v>
          </cell>
          <cell r="F17">
            <v>0.04</v>
          </cell>
          <cell r="O17">
            <v>0.04</v>
          </cell>
          <cell r="Q17" t="str">
            <v>acquisitions added 1%</v>
          </cell>
        </row>
        <row r="19">
          <cell r="D19" t="str">
            <v>COGS</v>
          </cell>
          <cell r="E19">
            <v>1743.3440309921866</v>
          </cell>
          <cell r="F19">
            <v>1720.4</v>
          </cell>
          <cell r="H19">
            <v>-22.944030992186526</v>
          </cell>
          <cell r="I19">
            <v>-1.3160931281663513E-2</v>
          </cell>
          <cell r="K19">
            <v>1707.2450179199998</v>
          </cell>
          <cell r="O19">
            <v>1632.8</v>
          </cell>
          <cell r="P19">
            <v>5.3650171484566522E-2</v>
          </cell>
        </row>
        <row r="20">
          <cell r="D20" t="str">
            <v>Gross Profit</v>
          </cell>
          <cell r="E20">
            <v>1331.2355505078131</v>
          </cell>
          <cell r="F20">
            <v>1387.7</v>
          </cell>
          <cell r="H20">
            <v>56.464449492186986</v>
          </cell>
          <cell r="I20">
            <v>4.2415070323691406E-2</v>
          </cell>
          <cell r="K20">
            <v>1347.57098208</v>
          </cell>
          <cell r="M20">
            <v>2.97787785976662E-2</v>
          </cell>
          <cell r="O20">
            <v>1221.2</v>
          </cell>
          <cell r="P20">
            <v>0.13634130363576813</v>
          </cell>
        </row>
        <row r="21">
          <cell r="D21" t="str">
            <v>SG&amp;A</v>
          </cell>
          <cell r="E21">
            <v>672.89631767382321</v>
          </cell>
          <cell r="F21">
            <v>703.4</v>
          </cell>
          <cell r="H21">
            <v>30.503682326176772</v>
          </cell>
          <cell r="I21">
            <v>4.5331920423679506E-2</v>
          </cell>
          <cell r="O21">
            <v>627.6</v>
          </cell>
          <cell r="P21">
            <v>0.12077756532823436</v>
          </cell>
          <cell r="Q21" t="str">
            <v>primarily due to acquisitions</v>
          </cell>
        </row>
        <row r="22">
          <cell r="D22" t="str">
            <v>R&amp;D</v>
          </cell>
          <cell r="E22">
            <v>86.087962994191813</v>
          </cell>
          <cell r="F22">
            <v>94.2</v>
          </cell>
          <cell r="H22">
            <v>8.1120370058081903</v>
          </cell>
          <cell r="I22">
            <v>9.4229631224466148E-2</v>
          </cell>
          <cell r="O22">
            <v>83.3</v>
          </cell>
          <cell r="P22">
            <v>0.13085234093637466</v>
          </cell>
          <cell r="Q22" t="str">
            <v>primarily due to acquisitions</v>
          </cell>
        </row>
        <row r="23">
          <cell r="D23" t="str">
            <v>Total Operating Expenses</v>
          </cell>
          <cell r="E23">
            <v>2502.3283116602015</v>
          </cell>
          <cell r="F23">
            <v>2518</v>
          </cell>
          <cell r="H23">
            <v>15.671688339798493</v>
          </cell>
          <cell r="I23">
            <v>6.2628425961424039E-3</v>
          </cell>
          <cell r="K23">
            <v>2476.9079999999999</v>
          </cell>
          <cell r="M23">
            <v>1.6590038871044044E-2</v>
          </cell>
          <cell r="O23">
            <v>2343.7000000000003</v>
          </cell>
          <cell r="P23">
            <v>7.4369586551179534E-2</v>
          </cell>
        </row>
        <row r="24">
          <cell r="D24" t="str">
            <v>Operating Income (Loss)</v>
          </cell>
          <cell r="E24">
            <v>572.25126983979817</v>
          </cell>
          <cell r="F24">
            <v>590.09999999999991</v>
          </cell>
          <cell r="H24">
            <v>17.84873016020174</v>
          </cell>
          <cell r="I24">
            <v>3.1190372308301795E-2</v>
          </cell>
          <cell r="K24">
            <v>577.90800000000002</v>
          </cell>
          <cell r="M24">
            <v>2.1096783571087352E-2</v>
          </cell>
          <cell r="O24">
            <v>510.29999999999973</v>
          </cell>
          <cell r="P24">
            <v>0.15637860082304567</v>
          </cell>
        </row>
        <row r="25">
          <cell r="D25" t="str">
            <v>Other (Income) expense, net</v>
          </cell>
          <cell r="E25">
            <v>-51.947374999999994</v>
          </cell>
          <cell r="F25">
            <v>-45</v>
          </cell>
          <cell r="O25">
            <v>-31.300000000000011</v>
          </cell>
          <cell r="Q25" t="str">
            <v>due to debt issued last year higher y/y</v>
          </cell>
        </row>
        <row r="26">
          <cell r="D26" t="str">
            <v>Income Taxes</v>
          </cell>
          <cell r="E26">
            <v>89.75242185986518</v>
          </cell>
          <cell r="F26">
            <v>96</v>
          </cell>
          <cell r="H26">
            <v>6.24757814013482</v>
          </cell>
          <cell r="I26">
            <v>6.9609020131952137E-2</v>
          </cell>
          <cell r="O26">
            <v>96</v>
          </cell>
          <cell r="P26">
            <v>0</v>
          </cell>
        </row>
        <row r="27">
          <cell r="D27" t="str">
            <v>Net Income (Loss)</v>
          </cell>
          <cell r="E27">
            <v>430.55147297993301</v>
          </cell>
          <cell r="F27">
            <v>449.09999999999991</v>
          </cell>
          <cell r="H27">
            <v>18.548527020066899</v>
          </cell>
          <cell r="I27">
            <v>4.3080858350544871E-2</v>
          </cell>
          <cell r="K27">
            <v>427.66899999999998</v>
          </cell>
          <cell r="M27">
            <v>5.0111184116688134E-2</v>
          </cell>
          <cell r="O27">
            <v>382.99999999999972</v>
          </cell>
          <cell r="P27">
            <v>0.17258485639686749</v>
          </cell>
        </row>
        <row r="28">
          <cell r="D28" t="str">
            <v>Diluted Shares Outstanding</v>
          </cell>
          <cell r="E28">
            <v>369.7435227272727</v>
          </cell>
          <cell r="F28">
            <v>369.2</v>
          </cell>
          <cell r="H28">
            <v>-0.54352272727271611</v>
          </cell>
          <cell r="I28">
            <v>-1.4699993207821782E-3</v>
          </cell>
          <cell r="J28">
            <v>1.7881275594888724E-3</v>
          </cell>
          <cell r="K28">
            <v>368.99827437446072</v>
          </cell>
          <cell r="O28">
            <v>385.9</v>
          </cell>
          <cell r="P28">
            <v>-4.3275459963721175E-2</v>
          </cell>
        </row>
        <row r="29">
          <cell r="D29" t="str">
            <v>EPS, Diluted</v>
          </cell>
          <cell r="E29">
            <v>1.1644598120452079</v>
          </cell>
          <cell r="F29">
            <v>1.2164138678223184</v>
          </cell>
          <cell r="H29">
            <v>5.1954055777110542E-2</v>
          </cell>
          <cell r="I29">
            <v>4.4616443813428441E-2</v>
          </cell>
          <cell r="J29">
            <v>5.1954055777110542E-2</v>
          </cell>
          <cell r="K29">
            <v>1.159</v>
          </cell>
          <cell r="M29">
            <v>4.9537418310887205E-2</v>
          </cell>
          <cell r="O29">
            <v>0.99248509976677823</v>
          </cell>
          <cell r="P29">
            <v>0.22562431225230561</v>
          </cell>
          <cell r="Q29" t="str">
            <v>LPS would have been a $0.02 drag on Q</v>
          </cell>
        </row>
        <row r="31">
          <cell r="D31" t="str">
            <v>Margin Analysis</v>
          </cell>
        </row>
        <row r="32">
          <cell r="D32" t="str">
            <v>Gross Margin</v>
          </cell>
          <cell r="E32">
            <v>0.43298132808725059</v>
          </cell>
          <cell r="F32">
            <v>0.44647855603101577</v>
          </cell>
          <cell r="I32">
            <v>130</v>
          </cell>
          <cell r="J32">
            <v>9.514086872908889E-2</v>
          </cell>
          <cell r="K32">
            <v>0.44113000000000002</v>
          </cell>
          <cell r="O32">
            <v>0.42789067974772249</v>
          </cell>
          <cell r="P32">
            <v>190</v>
          </cell>
        </row>
        <row r="33">
          <cell r="D33" t="str">
            <v>SG&amp;A</v>
          </cell>
          <cell r="E33">
            <v>0.2188579933733692</v>
          </cell>
          <cell r="F33">
            <v>0.22631189472668189</v>
          </cell>
          <cell r="I33">
            <v>70</v>
          </cell>
          <cell r="J33">
            <v>-5.2541948104439351E-2</v>
          </cell>
          <cell r="O33">
            <v>0.21990189208128944</v>
          </cell>
          <cell r="P33">
            <v>60</v>
          </cell>
        </row>
        <row r="34">
          <cell r="D34" t="str">
            <v>R&amp;D</v>
          </cell>
          <cell r="E34">
            <v>2.7999913715745145E-2</v>
          </cell>
          <cell r="F34">
            <v>3.0307905151056917E-2</v>
          </cell>
          <cell r="I34">
            <v>20</v>
          </cell>
          <cell r="J34">
            <v>-1.62688450613514E-2</v>
          </cell>
          <cell r="O34">
            <v>2.9187105816398037E-2</v>
          </cell>
          <cell r="P34">
            <v>10</v>
          </cell>
        </row>
        <row r="35">
          <cell r="D35" t="str">
            <v>Operating Income</v>
          </cell>
          <cell r="E35">
            <v>0.18612342099813631</v>
          </cell>
          <cell r="F35">
            <v>0.18985875615327691</v>
          </cell>
          <cell r="I35">
            <v>40</v>
          </cell>
          <cell r="K35">
            <v>0.18917931554633735</v>
          </cell>
          <cell r="O35">
            <v>0.17880168185003495</v>
          </cell>
          <cell r="P35">
            <v>110.00000000000001</v>
          </cell>
          <cell r="Q35" t="str">
            <v>driven by good pull through on organic growth, productivity &amp; cost actions, and solid accretion</v>
          </cell>
        </row>
        <row r="36">
          <cell r="D36" t="str">
            <v>Effective Tax Rate</v>
          </cell>
          <cell r="E36">
            <v>0.15684093088162371</v>
          </cell>
          <cell r="F36">
            <v>0.16268429079816982</v>
          </cell>
          <cell r="I36">
            <v>60</v>
          </cell>
          <cell r="J36">
            <v>-4.1189371704560829E-2</v>
          </cell>
          <cell r="K36">
            <v>0.17368866459027288</v>
          </cell>
          <cell r="O36">
            <v>0.1881246325690771</v>
          </cell>
          <cell r="P36">
            <v>-250</v>
          </cell>
        </row>
        <row r="37">
          <cell r="D37" t="str">
            <v>Net Income</v>
          </cell>
          <cell r="E37">
            <v>0.14003588509160633</v>
          </cell>
          <cell r="F37">
            <v>0.14449342041761845</v>
          </cell>
          <cell r="I37">
            <v>40</v>
          </cell>
          <cell r="K37">
            <v>0.13999828467573824</v>
          </cell>
          <cell r="O37">
            <v>0.13419761737911692</v>
          </cell>
          <cell r="P37">
            <v>100</v>
          </cell>
        </row>
      </sheetData>
      <sheetData sheetId="8" refreshError="1">
        <row r="1">
          <cell r="B1">
            <v>2011</v>
          </cell>
        </row>
        <row r="17">
          <cell r="H17" t="str">
            <v>Analysis</v>
          </cell>
          <cell r="I17" t="str">
            <v>Commentary</v>
          </cell>
        </row>
        <row r="18">
          <cell r="H18" t="str">
            <v>Product Lines</v>
          </cell>
        </row>
        <row r="19">
          <cell r="H19" t="str">
            <v>MS</v>
          </cell>
          <cell r="I19" t="str">
            <v xml:space="preserve">Instrumentation broadly would be softer in 2H; good strength in biopharma; believe have gained share in mass spec vs. peers; pricing was up slightly in the quarter overall as well </v>
          </cell>
        </row>
        <row r="20">
          <cell r="H20" t="str">
            <v>Phadia</v>
          </cell>
          <cell r="I20" t="str">
            <v>Integration for both businesses has gone well; '12 accretion will be better for both; Phadia will be more accretive than the $0.30 that was discussed</v>
          </cell>
        </row>
        <row r="21">
          <cell r="H21" t="str">
            <v>Dionex</v>
          </cell>
          <cell r="I21" t="str">
            <v>Integration going well; both businesses have more European exposure than company average and growing slightly less than company avg for organic growth</v>
          </cell>
        </row>
        <row r="22">
          <cell r="H22" t="str">
            <v>New Products</v>
          </cell>
          <cell r="I22" t="str">
            <v xml:space="preserve">Launched 13 products in Q1 and continued in Q2 with ASMS- Qexactive2 strong follow through; intro of 8 software packages going well; launched new spectrometer as well as '50 </v>
          </cell>
        </row>
        <row r="23">
          <cell r="H23" t="str">
            <v>Revenue Mix</v>
          </cell>
        </row>
        <row r="24">
          <cell r="H24" t="str">
            <v>Analytical Technologies</v>
          </cell>
          <cell r="I24" t="str">
            <v>5% organic- strong growth in instruments sold to industrial and applied markets, as well as bioprocess; margin expansion +40 bps y/y driven by organic growth pull thorugh and productivity actions; Q4 strongest Q for instrumentation</v>
          </cell>
        </row>
        <row r="25">
          <cell r="H25" t="str">
            <v>Specialty Diagnostics</v>
          </cell>
          <cell r="I25" t="str">
            <v>3% organic- strong growth in clinical diagnostics, offset by weak demand in S. Europe</v>
          </cell>
        </row>
        <row r="26">
          <cell r="H26" t="str">
            <v>Lab Products &amp; Services</v>
          </cell>
          <cell r="I26" t="str">
            <v>Organic 4%, solid growth in lab consumables and clinical trials logistics business; channel business also performing well, good trajectory; would have had 3.5% organic growth without divestiture vs. 4%, and $0.02 lower on the year (all in Q3- nothing in Q</v>
          </cell>
        </row>
        <row r="28">
          <cell r="H28" t="str">
            <v>End Market</v>
          </cell>
        </row>
        <row r="29">
          <cell r="H29" t="str">
            <v>Industrial/Applied</v>
          </cell>
          <cell r="I29" t="str">
            <v>Strong sales &amp; bookings in applied, particularly in mining industry; consistent pacing through the quarter; for comps, industrial gets harder for Q3/Q4</v>
          </cell>
        </row>
        <row r="30">
          <cell r="H30" t="str">
            <v>Academic/Govt</v>
          </cell>
          <cell r="I30" t="str">
            <v>Markets are consistent with 1H trends- down low single digits; outlook has not changed; lab consumables spend is steady while capital equipment side is constrained; for comps, Q3/Q4 academic comps are easier</v>
          </cell>
        </row>
        <row r="31">
          <cell r="H31" t="str">
            <v>Diagnostics</v>
          </cell>
          <cell r="I31" t="str">
            <v xml:space="preserve">Trends continuing from last several quarters- clinical Dx product sales robust, driven by strength in Biomarker business in applied markets- high single digit growth there; softness in Europe; pricing here was flat, and traditionally haven't gotten a lot </v>
          </cell>
        </row>
        <row r="32">
          <cell r="H32" t="str">
            <v>Pharma</v>
          </cell>
          <cell r="I32" t="str">
            <v>Strength on quarter, continue to gain share; BioProcess production had another great quarter; sera media &amp; disposable products grew in the US, and vaccines/biosimilars grew in LatAm and ROW</v>
          </cell>
        </row>
        <row r="34">
          <cell r="H34" t="str">
            <v>Geography</v>
          </cell>
        </row>
        <row r="35">
          <cell r="H35" t="str">
            <v>US</v>
          </cell>
          <cell r="I35" t="str">
            <v>N America low single digits; US was slightly stronger than 1Q- low single digit org. growth- implies slowdown in 2H to 2% in US and W Europe</v>
          </cell>
        </row>
        <row r="36">
          <cell r="H36" t="str">
            <v>Europe</v>
          </cell>
          <cell r="I36" t="str">
            <v>Europe weakened but still up y/y low single digits; expect slowdown in 2H in W Europe; 3Q is seasonally weakest quarter in Europe &amp; around the world</v>
          </cell>
        </row>
        <row r="37">
          <cell r="H37" t="str">
            <v>Asia</v>
          </cell>
          <cell r="I37" t="str">
            <v>Low double digits overall; Good growth- slightly stronger than Q1- India, S. Korea strong, China was +20%- driven by biopharma, HC, and environmental monitoring strength- due to regulations relating to particulate matter- TMO is 70% share for this applica</v>
          </cell>
        </row>
        <row r="38">
          <cell r="H38" t="str">
            <v>EM</v>
          </cell>
          <cell r="I38" t="str">
            <v>Low single digit growth; going to continue to expand in emerging markets and make commercial investments there</v>
          </cell>
        </row>
        <row r="50">
          <cell r="S50">
            <v>2010</v>
          </cell>
          <cell r="T50">
            <v>2011</v>
          </cell>
          <cell r="U50" t="str">
            <v>2012E</v>
          </cell>
          <cell r="V50" t="str">
            <v>2013E</v>
          </cell>
          <cell r="W50" t="str">
            <v>2014E</v>
          </cell>
          <cell r="X50" t="str">
            <v>2015E</v>
          </cell>
        </row>
        <row r="51">
          <cell r="Q51" t="str">
            <v>Total Revs ($MM)</v>
          </cell>
        </row>
        <row r="52">
          <cell r="R52" t="str">
            <v>Current</v>
          </cell>
          <cell r="S52">
            <v>10570.199999999999</v>
          </cell>
          <cell r="T52">
            <v>11558.8</v>
          </cell>
          <cell r="U52">
            <v>12181.643010916281</v>
          </cell>
          <cell r="V52">
            <v>12580.52764384253</v>
          </cell>
          <cell r="W52">
            <v>13040.248317990276</v>
          </cell>
          <cell r="X52">
            <v>13577.177965199713</v>
          </cell>
        </row>
        <row r="53">
          <cell r="R53" t="str">
            <v>% Y/Y</v>
          </cell>
          <cell r="T53">
            <v>9.3527085580216163E-2</v>
          </cell>
          <cell r="U53">
            <v>5.3884746765778591E-2</v>
          </cell>
          <cell r="V53">
            <v>3.2744731771305213E-2</v>
          </cell>
          <cell r="W53">
            <v>3.6542241085790517E-2</v>
          </cell>
          <cell r="X53">
            <v>4.1174802359299489E-2</v>
          </cell>
        </row>
        <row r="54">
          <cell r="R54" t="str">
            <v>Prior</v>
          </cell>
          <cell r="S54">
            <v>10570.2</v>
          </cell>
          <cell r="T54">
            <v>11725.9</v>
          </cell>
          <cell r="U54">
            <v>12329.063963099999</v>
          </cell>
          <cell r="V54">
            <v>12740.925074374001</v>
          </cell>
          <cell r="W54">
            <v>13208.993797358809</v>
          </cell>
          <cell r="X54">
            <v>13754.818656943684</v>
          </cell>
        </row>
        <row r="55">
          <cell r="R55" t="str">
            <v>% Y/Y</v>
          </cell>
          <cell r="T55">
            <v>0.10933567955194778</v>
          </cell>
          <cell r="U55">
            <v>5.1438607109049128E-2</v>
          </cell>
          <cell r="V55">
            <v>3.3405708049424776E-2</v>
          </cell>
          <cell r="W55">
            <v>3.673742057601781E-2</v>
          </cell>
          <cell r="X55">
            <v>4.132221333119368E-2</v>
          </cell>
        </row>
        <row r="56">
          <cell r="Q56" t="str">
            <v xml:space="preserve">COGS </v>
          </cell>
        </row>
        <row r="57">
          <cell r="R57" t="str">
            <v>Current</v>
          </cell>
          <cell r="S57">
            <v>6127.7999999999993</v>
          </cell>
          <cell r="T57">
            <v>6497.4000000000005</v>
          </cell>
          <cell r="U57">
            <v>6689.6008596793645</v>
          </cell>
          <cell r="V57">
            <v>6883.4955351009603</v>
          </cell>
          <cell r="W57">
            <v>7082.8112888782398</v>
          </cell>
          <cell r="X57">
            <v>7320.0669201334013</v>
          </cell>
        </row>
        <row r="58">
          <cell r="R58" t="str">
            <v>% sales</v>
          </cell>
          <cell r="S58">
            <v>0.57972413010160639</v>
          </cell>
          <cell r="T58">
            <v>0.5621171747932312</v>
          </cell>
          <cell r="U58">
            <v>0.54915423590107204</v>
          </cell>
          <cell r="V58">
            <v>0.54715475614173059</v>
          </cell>
          <cell r="W58">
            <v>0.54315003182161958</v>
          </cell>
          <cell r="X58">
            <v>0.53914494889113185</v>
          </cell>
        </row>
        <row r="59">
          <cell r="R59" t="str">
            <v>Prior</v>
          </cell>
          <cell r="S59">
            <v>6127.8</v>
          </cell>
          <cell r="T59">
            <v>6664.5</v>
          </cell>
          <cell r="U59">
            <v>6859.1139928342564</v>
          </cell>
          <cell r="V59">
            <v>7024.7183908234101</v>
          </cell>
          <cell r="W59">
            <v>7229.8853901584498</v>
          </cell>
          <cell r="X59">
            <v>7473.5418878996743</v>
          </cell>
        </row>
        <row r="60">
          <cell r="R60" t="str">
            <v>% sales</v>
          </cell>
          <cell r="S60">
            <v>0.57972413010160639</v>
          </cell>
          <cell r="T60">
            <v>0.56835722631098684</v>
          </cell>
          <cell r="U60">
            <v>0.55633696226762153</v>
          </cell>
          <cell r="V60">
            <v>0.55135073393943135</v>
          </cell>
          <cell r="W60">
            <v>0.54734565713885752</v>
          </cell>
          <cell r="X60">
            <v>0.54333990685707034</v>
          </cell>
        </row>
        <row r="61">
          <cell r="Q61" t="str">
            <v>SG&amp;A</v>
          </cell>
        </row>
        <row r="62">
          <cell r="R62" t="str">
            <v>Current</v>
          </cell>
          <cell r="S62">
            <v>2317.5</v>
          </cell>
          <cell r="T62">
            <v>2593</v>
          </cell>
          <cell r="U62">
            <v>2778.9569094522612</v>
          </cell>
          <cell r="V62">
            <v>2869.8880073626419</v>
          </cell>
          <cell r="W62">
            <v>2964.9462788476494</v>
          </cell>
          <cell r="X62">
            <v>3076.8694398037796</v>
          </cell>
        </row>
        <row r="63">
          <cell r="R63" t="str">
            <v>% sales</v>
          </cell>
          <cell r="S63">
            <v>0.219248453198615</v>
          </cell>
          <cell r="T63">
            <v>0.22433124545800603</v>
          </cell>
          <cell r="U63">
            <v>0.2281266087802743</v>
          </cell>
          <cell r="V63">
            <v>0.22812143406141577</v>
          </cell>
          <cell r="W63">
            <v>0.22736885115578828</v>
          </cell>
          <cell r="X63">
            <v>0.22662069007935556</v>
          </cell>
        </row>
        <row r="64">
          <cell r="R64" t="str">
            <v>Prior</v>
          </cell>
          <cell r="S64">
            <v>2317.5</v>
          </cell>
          <cell r="T64">
            <v>2593</v>
          </cell>
          <cell r="U64">
            <v>2763.4525179782313</v>
          </cell>
          <cell r="V64">
            <v>2855.7332098784591</v>
          </cell>
          <cell r="W64">
            <v>2950.6941543773014</v>
          </cell>
          <cell r="X64">
            <v>3062.3363005746405</v>
          </cell>
        </row>
        <row r="65">
          <cell r="R65" t="str">
            <v>% sales</v>
          </cell>
          <cell r="S65">
            <v>0.21924845319861497</v>
          </cell>
          <cell r="T65">
            <v>0.22113441185751201</v>
          </cell>
          <cell r="U65">
            <v>0.22414130758418041</v>
          </cell>
          <cell r="V65">
            <v>0.22413860792747575</v>
          </cell>
          <cell r="W65">
            <v>0.22338523279247086</v>
          </cell>
          <cell r="X65">
            <v>0.22263734455188308</v>
          </cell>
        </row>
        <row r="66">
          <cell r="Q66" t="str">
            <v>R&amp;D</v>
          </cell>
        </row>
        <row r="67">
          <cell r="R67" t="str">
            <v>Current</v>
          </cell>
          <cell r="S67">
            <v>284.79999999999995</v>
          </cell>
          <cell r="T67">
            <v>340.59999999999997</v>
          </cell>
          <cell r="U67">
            <v>368.29043957394936</v>
          </cell>
          <cell r="V67">
            <v>380.35509952569271</v>
          </cell>
          <cell r="W67">
            <v>384.48503990131485</v>
          </cell>
          <cell r="X67">
            <v>390.14323052339898</v>
          </cell>
        </row>
        <row r="68">
          <cell r="R68" t="str">
            <v>% sales</v>
          </cell>
          <cell r="S68">
            <v>2.6943671832131841E-2</v>
          </cell>
          <cell r="T68">
            <v>2.9466726649825241E-2</v>
          </cell>
          <cell r="U68">
            <v>3.0233232023292336E-2</v>
          </cell>
          <cell r="V68">
            <v>3.0233636481205573E-2</v>
          </cell>
          <cell r="W68">
            <v>2.9484487605261379E-2</v>
          </cell>
          <cell r="X68">
            <v>2.8735222556807678E-2</v>
          </cell>
        </row>
        <row r="69">
          <cell r="R69" t="str">
            <v>Prior</v>
          </cell>
          <cell r="S69">
            <v>284.8</v>
          </cell>
          <cell r="T69">
            <v>340.6</v>
          </cell>
          <cell r="U69">
            <v>358.64519153634689</v>
          </cell>
          <cell r="V69">
            <v>370.60942505382383</v>
          </cell>
          <cell r="W69">
            <v>374.32176024261116</v>
          </cell>
          <cell r="X69">
            <v>379.48788802854426</v>
          </cell>
        </row>
        <row r="70">
          <cell r="R70" t="str">
            <v>% sales</v>
          </cell>
          <cell r="S70">
            <v>2.6943671832131841E-2</v>
          </cell>
          <cell r="T70">
            <v>2.9046810905772696E-2</v>
          </cell>
          <cell r="U70">
            <v>2.9089409594251932E-2</v>
          </cell>
          <cell r="V70">
            <v>2.9088109606674926E-2</v>
          </cell>
          <cell r="W70">
            <v>2.8338400788518674E-2</v>
          </cell>
          <cell r="X70">
            <v>2.7589450467743668E-2</v>
          </cell>
        </row>
        <row r="71">
          <cell r="Q71" t="str">
            <v>Int Exp/Other</v>
          </cell>
        </row>
        <row r="72">
          <cell r="R72" t="str">
            <v>Current</v>
          </cell>
          <cell r="S72">
            <v>-71.999999999999943</v>
          </cell>
          <cell r="T72">
            <v>-150.39999999999986</v>
          </cell>
          <cell r="U72">
            <v>-224.7</v>
          </cell>
          <cell r="V72">
            <v>-183.2130817045047</v>
          </cell>
          <cell r="W72">
            <v>-158.64641953821672</v>
          </cell>
          <cell r="X72">
            <v>-123.68857521870299</v>
          </cell>
        </row>
        <row r="73">
          <cell r="R73" t="str">
            <v>% sales</v>
          </cell>
          <cell r="S73">
            <v>-6.8116024294715286E-3</v>
          </cell>
          <cell r="T73">
            <v>-1.3011731321590466E-2</v>
          </cell>
          <cell r="U73">
            <v>-1.8445787632968769E-2</v>
          </cell>
          <cell r="V73">
            <v>-1.4563227146850025E-2</v>
          </cell>
          <cell r="W73">
            <v>-1.2165904794876394E-2</v>
          </cell>
          <cell r="X73">
            <v>-9.1100356447956152E-3</v>
          </cell>
        </row>
        <row r="74">
          <cell r="R74" t="str">
            <v>Prior</v>
          </cell>
          <cell r="S74">
            <v>-71.999999999999943</v>
          </cell>
          <cell r="T74">
            <v>-150.4</v>
          </cell>
          <cell r="U74">
            <v>-202.25387499999999</v>
          </cell>
          <cell r="V74">
            <v>-188.32484134598826</v>
          </cell>
          <cell r="W74">
            <v>-162.42762130718484</v>
          </cell>
          <cell r="X74">
            <v>-126.05908932965031</v>
          </cell>
        </row>
        <row r="75">
          <cell r="R75" t="str">
            <v>% sales</v>
          </cell>
          <cell r="S75">
            <v>-6.8116024294715277E-3</v>
          </cell>
          <cell r="T75">
            <v>-1.2826307575537913E-2</v>
          </cell>
          <cell r="U75">
            <v>-1.6404641553108272E-2</v>
          </cell>
          <cell r="V75">
            <v>-1.4781096368329536E-2</v>
          </cell>
          <cell r="W75">
            <v>-1.2296744460555571E-2</v>
          </cell>
          <cell r="X75">
            <v>-9.1647220129662255E-3</v>
          </cell>
        </row>
        <row r="76">
          <cell r="Q76" t="str">
            <v>EPS- Diluted Adj.</v>
          </cell>
        </row>
        <row r="77">
          <cell r="R77" t="str">
            <v>Current</v>
          </cell>
          <cell r="S77">
            <v>3.4584096738732146</v>
          </cell>
          <cell r="T77">
            <v>4.1574946397245078</v>
          </cell>
          <cell r="U77">
            <v>4.8152667491028165</v>
          </cell>
          <cell r="V77">
            <v>5.4049678613770302</v>
          </cell>
          <cell r="W77">
            <v>6.0818512121484787</v>
          </cell>
          <cell r="X77">
            <v>6.9568029881790103</v>
          </cell>
        </row>
        <row r="78">
          <cell r="R78" t="str">
            <v>% Y/Y</v>
          </cell>
          <cell r="T78">
            <v>0.20214058823990033</v>
          </cell>
          <cell r="U78">
            <v>0.15821357966246108</v>
          </cell>
          <cell r="V78">
            <v>0.12246488990128901</v>
          </cell>
          <cell r="W78">
            <v>0.12523355700379657</v>
          </cell>
          <cell r="X78">
            <v>0.14386273940454486</v>
          </cell>
        </row>
        <row r="79">
          <cell r="R79" t="str">
            <v>Prior</v>
          </cell>
          <cell r="S79">
            <v>3.4584096738732146</v>
          </cell>
          <cell r="T79">
            <v>4.1574946397245132</v>
          </cell>
          <cell r="U79">
            <v>4.8164473532256684</v>
          </cell>
          <cell r="V79">
            <v>5.3260367232475581</v>
          </cell>
          <cell r="W79">
            <v>6.0189766752123948</v>
          </cell>
          <cell r="X79">
            <v>6.8780970827631673</v>
          </cell>
        </row>
        <row r="80">
          <cell r="R80" t="str">
            <v>% Y/Y</v>
          </cell>
          <cell r="T80">
            <v>0.20214058823990189</v>
          </cell>
          <cell r="U80">
            <v>0.1584975497514578</v>
          </cell>
          <cell r="V80">
            <v>0.10580191843695919</v>
          </cell>
          <cell r="W80">
            <v>0.13010423847440467</v>
          </cell>
          <cell r="X80">
            <v>0.1427352943713569</v>
          </cell>
        </row>
        <row r="81">
          <cell r="Q81" t="str">
            <v>Diluted Shs</v>
          </cell>
        </row>
        <row r="82">
          <cell r="R82" t="str">
            <v>Current</v>
          </cell>
          <cell r="S82">
            <v>409.34999999999997</v>
          </cell>
          <cell r="T82">
            <v>384.77499999999998</v>
          </cell>
          <cell r="U82">
            <v>363.98392370572208</v>
          </cell>
          <cell r="V82">
            <v>345.92503748329472</v>
          </cell>
          <cell r="W82">
            <v>332.65706503639075</v>
          </cell>
          <cell r="X82">
            <v>316.59003397771681</v>
          </cell>
        </row>
        <row r="83">
          <cell r="R83" t="str">
            <v>% Y/Y</v>
          </cell>
          <cell r="T83">
            <v>-6.0034200561866369E-2</v>
          </cell>
          <cell r="U83">
            <v>-5.4034374099871108E-2</v>
          </cell>
          <cell r="V83">
            <v>-4.9614516043922308E-2</v>
          </cell>
          <cell r="W83">
            <v>-3.83550509770334E-2</v>
          </cell>
          <cell r="X83">
            <v>-4.8299082591004905E-2</v>
          </cell>
        </row>
        <row r="84">
          <cell r="R84" t="str">
            <v>Prior</v>
          </cell>
          <cell r="S84">
            <v>409.35</v>
          </cell>
          <cell r="T84">
            <v>384.77499999999998</v>
          </cell>
          <cell r="U84">
            <v>368.45196022727276</v>
          </cell>
          <cell r="V84">
            <v>356.93921840774613</v>
          </cell>
          <cell r="W84">
            <v>341.93772375751701</v>
          </cell>
          <cell r="X84">
            <v>325.8551015911857</v>
          </cell>
        </row>
        <row r="85">
          <cell r="R85" t="str">
            <v>% Y/Y</v>
          </cell>
          <cell r="T85">
            <v>-6.003420056186648E-2</v>
          </cell>
          <cell r="U85">
            <v>-4.2422298155356253E-2</v>
          </cell>
          <cell r="V85">
            <v>-3.1246249341230881E-2</v>
          </cell>
          <cell r="W85">
            <v>-4.2028148986117619E-2</v>
          </cell>
          <cell r="X85">
            <v>-4.7033775593991467E-2</v>
          </cell>
        </row>
        <row r="86">
          <cell r="Q86" t="str">
            <v>FCF</v>
          </cell>
        </row>
        <row r="87">
          <cell r="R87" t="str">
            <v>Current</v>
          </cell>
          <cell r="S87">
            <v>1239.9999999999998</v>
          </cell>
          <cell r="T87">
            <v>1424.5</v>
          </cell>
          <cell r="U87">
            <v>1575.3018869243094</v>
          </cell>
          <cell r="V87">
            <v>1644.5873070170619</v>
          </cell>
          <cell r="W87">
            <v>1817.1464779661073</v>
          </cell>
          <cell r="X87">
            <v>1945.6685496018629</v>
          </cell>
        </row>
        <row r="88">
          <cell r="R88" t="str">
            <v>% Y/Y</v>
          </cell>
          <cell r="T88">
            <v>0.14879032258064528</v>
          </cell>
          <cell r="U88">
            <v>0.10586303048389567</v>
          </cell>
          <cell r="V88">
            <v>4.3982312639787802E-2</v>
          </cell>
          <cell r="W88">
            <v>0.10492551548511697</v>
          </cell>
          <cell r="X88">
            <v>7.0727414214624806E-2</v>
          </cell>
        </row>
        <row r="89">
          <cell r="R89" t="str">
            <v>Prior</v>
          </cell>
          <cell r="S89">
            <v>1240</v>
          </cell>
          <cell r="T89">
            <v>1424.5</v>
          </cell>
          <cell r="U89">
            <v>1559.7019119336819</v>
          </cell>
          <cell r="V89">
            <v>1721.9872961077901</v>
          </cell>
          <cell r="W89">
            <v>1885.5349283103346</v>
          </cell>
          <cell r="X89">
            <v>2018.5558878479412</v>
          </cell>
        </row>
        <row r="90">
          <cell r="R90" t="str">
            <v>% Y/Y</v>
          </cell>
          <cell r="T90">
            <v>0.14879032258064506</v>
          </cell>
          <cell r="U90">
            <v>9.4911837089281859E-2</v>
          </cell>
          <cell r="V90">
            <v>0.10404897431516935</v>
          </cell>
          <cell r="W90">
            <v>9.4976096845900804E-2</v>
          </cell>
          <cell r="X90">
            <v>7.0548128035373692E-2</v>
          </cell>
        </row>
      </sheetData>
      <sheetData sheetId="9" refreshError="1"/>
      <sheetData sheetId="10" refreshError="1">
        <row r="1">
          <cell r="B1">
            <v>2013</v>
          </cell>
          <cell r="C1" t="str">
            <v>Bear</v>
          </cell>
          <cell r="D1" t="str">
            <v>Base</v>
          </cell>
          <cell r="E1" t="str">
            <v>Bull</v>
          </cell>
        </row>
        <row r="2">
          <cell r="B2" t="str">
            <v>Revenues</v>
          </cell>
          <cell r="C2">
            <v>12328.917090965679</v>
          </cell>
          <cell r="D2">
            <v>12580.52764384253</v>
          </cell>
          <cell r="E2">
            <v>12895.040834938593</v>
          </cell>
        </row>
        <row r="3">
          <cell r="B3" t="str">
            <v xml:space="preserve">  % from base</v>
          </cell>
          <cell r="C3">
            <v>-0.02</v>
          </cell>
          <cell r="E3">
            <v>2.5000000000000001E-2</v>
          </cell>
        </row>
        <row r="4">
          <cell r="B4" t="str">
            <v xml:space="preserve">  % change YY</v>
          </cell>
          <cell r="C4">
            <v>1.2089837135879078E-2</v>
          </cell>
          <cell r="D4">
            <v>3.2744731771305213E-2</v>
          </cell>
          <cell r="E4">
            <v>5.8563350065587771E-2</v>
          </cell>
        </row>
        <row r="5">
          <cell r="B5" t="str">
            <v>EBITDA</v>
          </cell>
          <cell r="C5">
            <v>2552.0858378298954</v>
          </cell>
          <cell r="D5">
            <v>2697.4601019829402</v>
          </cell>
          <cell r="E5">
            <v>2836.9089836864905</v>
          </cell>
        </row>
        <row r="6">
          <cell r="B6" t="str">
            <v>other exp</v>
          </cell>
          <cell r="C6">
            <v>433.88418183420845</v>
          </cell>
          <cell r="D6">
            <v>433.88418183420845</v>
          </cell>
          <cell r="E6">
            <v>433.88418183420845</v>
          </cell>
        </row>
        <row r="7">
          <cell r="B7" t="str">
            <v>Pre-tax</v>
          </cell>
          <cell r="C7">
            <v>2118.2016559956869</v>
          </cell>
          <cell r="D7">
            <v>2263.5759201487317</v>
          </cell>
          <cell r="E7">
            <v>2403.0248018522821</v>
          </cell>
        </row>
        <row r="8">
          <cell r="B8" t="str">
            <v>tax</v>
          </cell>
          <cell r="C8">
            <v>0.17399999999999999</v>
          </cell>
          <cell r="D8">
            <v>0.17399999999999999</v>
          </cell>
          <cell r="E8">
            <v>0.17399999999999999</v>
          </cell>
        </row>
        <row r="9">
          <cell r="B9" t="str">
            <v>Net income</v>
          </cell>
          <cell r="C9">
            <v>1749.6345678524376</v>
          </cell>
          <cell r="D9">
            <v>1869.7137100428524</v>
          </cell>
          <cell r="E9">
            <v>1984.8984863299852</v>
          </cell>
        </row>
        <row r="10">
          <cell r="B10" t="str">
            <v>Shares</v>
          </cell>
          <cell r="C10">
            <v>345.92503748329472</v>
          </cell>
          <cell r="D10">
            <v>345.92503748329472</v>
          </cell>
          <cell r="E10">
            <v>345.92503748329472</v>
          </cell>
        </row>
        <row r="12">
          <cell r="B12" t="str">
            <v>Diluted EPS</v>
          </cell>
          <cell r="C12">
            <v>5.0578431112750266</v>
          </cell>
          <cell r="D12">
            <v>5.4049678613770302</v>
          </cell>
          <cell r="E12">
            <v>5.7379439799174383</v>
          </cell>
        </row>
        <row r="13">
          <cell r="B13" t="str">
            <v>change vs  base</v>
          </cell>
          <cell r="C13">
            <v>-6.4223277363496867E-2</v>
          </cell>
          <cell r="E13">
            <v>6.1605568632479457E-2</v>
          </cell>
        </row>
        <row r="14">
          <cell r="B14" t="str">
            <v>yy %</v>
          </cell>
          <cell r="C14">
            <v>5.0376515946371381E-2</v>
          </cell>
          <cell r="D14">
            <v>0.12246488990128901</v>
          </cell>
          <cell r="E14">
            <v>0.1916149777136511</v>
          </cell>
        </row>
        <row r="16">
          <cell r="B16" t="str">
            <v>Margin</v>
          </cell>
        </row>
        <row r="17">
          <cell r="B17" t="str">
            <v>Rev growth</v>
          </cell>
          <cell r="C17">
            <v>1.2089837135879078E-2</v>
          </cell>
          <cell r="D17">
            <v>3.2744731771305213E-2</v>
          </cell>
          <cell r="E17">
            <v>5.8563350065587771E-2</v>
          </cell>
        </row>
        <row r="18">
          <cell r="B18" t="str">
            <v>EBITDA margin</v>
          </cell>
          <cell r="C18">
            <v>0.20699999999999999</v>
          </cell>
          <cell r="D18">
            <v>0.21441549816896568</v>
          </cell>
          <cell r="E18">
            <v>0.22</v>
          </cell>
        </row>
        <row r="19">
          <cell r="B19" t="str">
            <v>EBITDA y/y</v>
          </cell>
          <cell r="C19">
            <v>-4.2415967941191457E-3</v>
          </cell>
          <cell r="D19">
            <v>3.1739013748465494E-3</v>
          </cell>
          <cell r="E19">
            <v>8.7584032058808658E-3</v>
          </cell>
        </row>
        <row r="20">
          <cell r="B20" t="str">
            <v>Net Income margin</v>
          </cell>
          <cell r="C20">
            <v>0.1419130775998588</v>
          </cell>
          <cell r="D20">
            <v>0.14861965753542727</v>
          </cell>
          <cell r="E20">
            <v>0.15392727419303573</v>
          </cell>
        </row>
        <row r="21">
          <cell r="B21" t="str">
            <v>EPS growth</v>
          </cell>
          <cell r="C21">
            <v>5.0376515946371381E-2</v>
          </cell>
          <cell r="D21">
            <v>0.12246488990128901</v>
          </cell>
          <cell r="E21">
            <v>0.1916149777136511</v>
          </cell>
        </row>
        <row r="22">
          <cell r="B22" t="str">
            <v>Price</v>
          </cell>
          <cell r="D22">
            <v>55.07</v>
          </cell>
        </row>
        <row r="23">
          <cell r="B23" t="str">
            <v>Mcap</v>
          </cell>
          <cell r="D23">
            <v>19050.09181420504</v>
          </cell>
        </row>
        <row r="24">
          <cell r="B24" t="str">
            <v>Net Debt</v>
          </cell>
          <cell r="C24">
            <v>5882.5999999999995</v>
          </cell>
          <cell r="D24">
            <v>5882.5999999999995</v>
          </cell>
          <cell r="E24">
            <v>5882.5999999999995</v>
          </cell>
        </row>
        <row r="25">
          <cell r="B25" t="str">
            <v>EV</v>
          </cell>
          <cell r="D25">
            <v>24932.691814205038</v>
          </cell>
        </row>
        <row r="27">
          <cell r="B27" t="str">
            <v>P/E</v>
          </cell>
          <cell r="C27">
            <v>9.4499999999999993</v>
          </cell>
          <cell r="D27">
            <v>12.24</v>
          </cell>
          <cell r="E27">
            <v>14</v>
          </cell>
        </row>
        <row r="28">
          <cell r="B28" t="str">
            <v>Sh Price</v>
          </cell>
          <cell r="C28">
            <v>47.796617401549</v>
          </cell>
          <cell r="D28">
            <v>66.156806623254852</v>
          </cell>
          <cell r="E28">
            <v>80.331215718844135</v>
          </cell>
        </row>
        <row r="29">
          <cell r="B29" t="str">
            <v>% Diff</v>
          </cell>
          <cell r="C29">
            <v>-0.13207522423190488</v>
          </cell>
          <cell r="D29">
            <v>0.20132207414662884</v>
          </cell>
          <cell r="E29">
            <v>0.4587110172297828</v>
          </cell>
        </row>
        <row r="31">
          <cell r="B31" t="str">
            <v>EV/EBITDA</v>
          </cell>
          <cell r="C31">
            <v>8.5500000000000007</v>
          </cell>
          <cell r="D31">
            <v>9.5</v>
          </cell>
          <cell r="E31">
            <v>10.450000000000001</v>
          </cell>
        </row>
        <row r="32">
          <cell r="B32" t="str">
            <v>Sh Price</v>
          </cell>
          <cell r="C32">
            <v>46.072796665419943</v>
          </cell>
          <cell r="D32">
            <v>57.07384210312145</v>
          </cell>
          <cell r="E32">
            <v>68.694359484376406</v>
          </cell>
        </row>
      </sheetData>
      <sheetData sheetId="11" refreshError="1"/>
      <sheetData sheetId="12" refreshError="1"/>
      <sheetData sheetId="13" refreshError="1">
        <row r="56">
          <cell r="I56" t="str">
            <v>WACC</v>
          </cell>
        </row>
        <row r="57">
          <cell r="I57">
            <v>6.6970283544374828E-2</v>
          </cell>
          <cell r="J57">
            <v>7.1970283544374833E-2</v>
          </cell>
          <cell r="K57">
            <v>7.6970283544374837E-2</v>
          </cell>
          <cell r="L57">
            <v>8.1970283544374842E-2</v>
          </cell>
          <cell r="M57">
            <v>8.6970283544374846E-2</v>
          </cell>
          <cell r="N57">
            <v>9.1970283544374851E-2</v>
          </cell>
          <cell r="O57">
            <v>9.6970283544374855E-2</v>
          </cell>
          <cell r="P57">
            <v>0.10197028354437486</v>
          </cell>
          <cell r="Q57">
            <v>0.10697028354437486</v>
          </cell>
        </row>
        <row r="58">
          <cell r="H58">
            <v>-0.01</v>
          </cell>
          <cell r="I58">
            <v>88.727278757774656</v>
          </cell>
          <cell r="J58">
            <v>82.898128065702551</v>
          </cell>
          <cell r="K58">
            <v>77.813241525523949</v>
          </cell>
          <cell r="L58">
            <v>73.348205516203663</v>
          </cell>
          <cell r="M58">
            <v>69.404403174040226</v>
          </cell>
          <cell r="N58">
            <v>65.902683076269682</v>
          </cell>
          <cell r="O58">
            <v>62.778803913861061</v>
          </cell>
          <cell r="P58">
            <v>59.980099988796148</v>
          </cell>
          <cell r="Q58">
            <v>57.463002220525951</v>
          </cell>
        </row>
        <row r="59">
          <cell r="G59" t="str">
            <v>Terminal</v>
          </cell>
          <cell r="H59">
            <v>-5.0000000000000001E-3</v>
          </cell>
          <cell r="I59">
            <v>93.402620670254962</v>
          </cell>
          <cell r="J59">
            <v>86.880230319843903</v>
          </cell>
          <cell r="K59">
            <v>81.232471234710047</v>
          </cell>
          <cell r="L59">
            <v>76.30527620721665</v>
          </cell>
          <cell r="M59">
            <v>71.978226479935216</v>
          </cell>
          <cell r="N59">
            <v>68.155869684606813</v>
          </cell>
          <cell r="O59">
            <v>64.761592452841526</v>
          </cell>
          <cell r="P59">
            <v>61.733211804253223</v>
          </cell>
          <cell r="Q59">
            <v>59.019748031981258</v>
          </cell>
        </row>
        <row r="60">
          <cell r="G60" t="str">
            <v>Value</v>
          </cell>
          <cell r="H60">
            <v>0</v>
          </cell>
          <cell r="I60">
            <v>98.776084445902015</v>
          </cell>
          <cell r="J60">
            <v>91.415630693435631</v>
          </cell>
          <cell r="K60">
            <v>85.095928190014405</v>
          </cell>
          <cell r="L60">
            <v>79.623096009145186</v>
          </cell>
          <cell r="M60">
            <v>74.847992629868642</v>
          </cell>
          <cell r="N60">
            <v>70.654047014022908</v>
          </cell>
          <cell r="O60">
            <v>66.948854823031624</v>
          </cell>
          <cell r="P60">
            <v>63.65824741500839</v>
          </cell>
          <cell r="Q60">
            <v>60.722024523535175</v>
          </cell>
        </row>
        <row r="61">
          <cell r="G61" t="str">
            <v>Growth</v>
          </cell>
          <cell r="H61">
            <v>5.0000000000000001E-3</v>
          </cell>
          <cell r="I61">
            <v>105.01665152789414</v>
          </cell>
          <cell r="J61">
            <v>96.628256865330357</v>
          </cell>
          <cell r="K61">
            <v>89.496197947080518</v>
          </cell>
          <cell r="L61">
            <v>83.371967854686844</v>
          </cell>
          <cell r="M61">
            <v>78.067857135675098</v>
          </cell>
          <cell r="N61">
            <v>73.439469276720331</v>
          </cell>
          <cell r="O61">
            <v>69.373939920943855</v>
          </cell>
          <cell r="P61">
            <v>65.781801122276519</v>
          </cell>
          <cell r="Q61">
            <v>62.591239502693981</v>
          </cell>
        </row>
        <row r="62">
          <cell r="H62">
            <v>0.01</v>
          </cell>
          <cell r="I62">
            <v>112.3526260212135</v>
          </cell>
          <cell r="J62">
            <v>102.68203235489152</v>
          </cell>
          <cell r="K62">
            <v>94.553515804316376</v>
          </cell>
          <cell r="L62">
            <v>87.641731332290817</v>
          </cell>
          <cell r="M62">
            <v>81.706047306600126</v>
          </cell>
          <cell r="N62">
            <v>76.564700326487426</v>
          </cell>
          <cell r="O62">
            <v>72.077865675581677</v>
          </cell>
          <cell r="P62">
            <v>68.136250465116277</v>
          </cell>
          <cell r="Q62">
            <v>64.653216110553529</v>
          </cell>
        </row>
        <row r="63">
          <cell r="H63">
            <v>1.4999999999999999E-2</v>
          </cell>
          <cell r="I63">
            <v>121.1001715110727</v>
          </cell>
          <cell r="J63">
            <v>109.79842770746349</v>
          </cell>
          <cell r="K63">
            <v>100.42692123901418</v>
          </cell>
          <cell r="L63">
            <v>92.549055717752509</v>
          </cell>
          <cell r="M63">
            <v>85.849750307508884</v>
          </cell>
          <cell r="N63">
            <v>80.095962237238084</v>
          </cell>
          <cell r="O63">
            <v>75.111658015733241</v>
          </cell>
          <cell r="P63">
            <v>70.761418638214693</v>
          </cell>
          <cell r="Q63">
            <v>66.939393028382199</v>
          </cell>
        </row>
        <row r="64">
          <cell r="H64">
            <v>0.02</v>
          </cell>
          <cell r="I64">
            <v>131.71007439581444</v>
          </cell>
          <cell r="J64">
            <v>118.28414315360314</v>
          </cell>
          <cell r="K64">
            <v>107.33128616158658</v>
          </cell>
          <cell r="L64">
            <v>98.248263584261665</v>
          </cell>
          <cell r="M64">
            <v>90.612190871050714</v>
          </cell>
          <cell r="N64">
            <v>84.117879698702737</v>
          </cell>
          <cell r="O64">
            <v>78.539601475050517</v>
          </cell>
          <cell r="P64">
            <v>73.706845331789921</v>
          </cell>
          <cell r="Q64">
            <v>69.488438689953938</v>
          </cell>
        </row>
        <row r="65">
          <cell r="H65">
            <v>2.5000000000000001E-2</v>
          </cell>
          <cell r="I65">
            <v>144.84793325052806</v>
          </cell>
          <cell r="J65">
            <v>128.57647222985267</v>
          </cell>
          <cell r="K65">
            <v>115.56417277996172</v>
          </cell>
          <cell r="L65">
            <v>104.94785402075921</v>
          </cell>
          <cell r="M65">
            <v>96.14313535149509</v>
          </cell>
          <cell r="N65">
            <v>88.7403497110312</v>
          </cell>
          <cell r="O65">
            <v>82.443844775149103</v>
          </cell>
          <cell r="P65">
            <v>77.034942655891911</v>
          </cell>
          <cell r="Q65">
            <v>72.348456273465118</v>
          </cell>
        </row>
        <row r="66">
          <cell r="H66">
            <v>3.0000000000000002E-2</v>
          </cell>
          <cell r="I66">
            <v>161.53941885493768</v>
          </cell>
          <cell r="J66">
            <v>141.32109092796475</v>
          </cell>
          <cell r="K66">
            <v>125.54984562765509</v>
          </cell>
          <cell r="L66">
            <v>112.93656392699705</v>
          </cell>
          <cell r="M66">
            <v>102.64492711166848</v>
          </cell>
          <cell r="N66">
            <v>94.10873691914243</v>
          </cell>
          <cell r="O66">
            <v>86.931069525148757</v>
          </cell>
          <cell r="P66">
            <v>80.825466576111182</v>
          </cell>
          <cell r="Q66">
            <v>75.580048112885379</v>
          </cell>
        </row>
      </sheetData>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amp;L"/>
      <sheetName val="Revenue Build"/>
      <sheetName val="Org Rev"/>
      <sheetName val="Bal Sheet"/>
      <sheetName val="MW-Cache"/>
      <sheetName val="Cash Flow"/>
      <sheetName val="Q Variance"/>
      <sheetName val="Earnings Charts"/>
      <sheetName val="Guidance"/>
      <sheetName val="BBB"/>
      <sheetName val="Debt"/>
      <sheetName val="FX"/>
      <sheetName val="DCF"/>
      <sheetName val="Quarterly Guidance"/>
      <sheetName val="Links"/>
      <sheetName val="Residual Income"/>
      <sheetName val="mwareDates"/>
      <sheetName val="MWA RR"/>
      <sheetName val="mwareSettings"/>
      <sheetName val="Page 7"/>
      <sheetName val="Page 8"/>
      <sheetName val="Data"/>
      <sheetName val="Page 3"/>
      <sheetName val="Page 4"/>
      <sheetName val="Page 5"/>
      <sheetName val="Page 6"/>
      <sheetName val="Page1"/>
      <sheetName val="ToDo"/>
      <sheetName val="IS"/>
      <sheetName val="RevBuild"/>
      <sheetName val="OrgRev"/>
      <sheetName val="BS"/>
      <sheetName val="CFS"/>
      <sheetName val="TMOLIFE"/>
      <sheetName val="Consensus"/>
      <sheetName val="EPS Charts"/>
      <sheetName val="CommTrkr"/>
      <sheetName val="LinksQ"/>
      <sheetName val="LinksA"/>
      <sheetName val="GeoRev"/>
      <sheetName val="Timeline"/>
      <sheetName val="TMO"/>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hart.old"/>
      <sheetName val="Detailed Count "/>
      <sheetName val="Total Count"/>
      <sheetName val="Summary Count"/>
      <sheetName val="Bar Charts"/>
      <sheetName val="Sheet1"/>
      <sheetName val="Chart"/>
      <sheetName val="Sheet2"/>
      <sheetName val="Source"/>
      <sheetName val="Organic Growth"/>
      <sheetName val="Products"/>
      <sheetName val="R&amp;D Efficiency"/>
      <sheetName val="14 margin"/>
      <sheetName val="BBB Margin"/>
      <sheetName val="CAM BEST, lev 4+8"/>
      <sheetName val="Q Variance"/>
    </sheetNames>
    <sheetDataSet>
      <sheetData sheetId="0"/>
      <sheetData sheetId="1"/>
      <sheetData sheetId="2"/>
      <sheetData sheetId="3">
        <row r="3">
          <cell r="E3" t="str">
            <v xml:space="preserve">YOY % </v>
          </cell>
        </row>
      </sheetData>
      <sheetData sheetId="4">
        <row r="3">
          <cell r="F3" t="str">
            <v>YOY %</v>
          </cell>
        </row>
      </sheetData>
      <sheetData sheetId="5"/>
      <sheetData sheetId="6">
        <row r="4">
          <cell r="A4" t="str">
            <v>Year</v>
          </cell>
        </row>
      </sheetData>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mp;L"/>
      <sheetName val="RevBuild"/>
      <sheetName val="BS"/>
      <sheetName val="CFS"/>
      <sheetName val="Debt"/>
      <sheetName val="DCF"/>
      <sheetName val="OrgRev"/>
      <sheetName val="Growth_Drivers"/>
      <sheetName val="Mkt_Models"/>
      <sheetName val="Graphs"/>
      <sheetName val="FX"/>
      <sheetName val="Guidance"/>
      <sheetName val="BS_Predictive"/>
      <sheetName val="EPS Charts"/>
      <sheetName val="CommTrkr"/>
      <sheetName val="MW-Cache"/>
      <sheetName val="Q Variance"/>
      <sheetName val="Links"/>
      <sheetName val="LinksQ"/>
      <sheetName val="LinksA"/>
      <sheetName val="BBB"/>
      <sheetName val="GeoRev"/>
      <sheetName val="MWA RR"/>
      <sheetName val="__FDSCACHE__"/>
      <sheetName val="mwareDates"/>
      <sheetName val="mwareSettings"/>
    </sheetNames>
    <sheetDataSet>
      <sheetData sheetId="0">
        <row r="35">
          <cell r="BW35">
            <v>233.73058793731514</v>
          </cell>
        </row>
      </sheetData>
      <sheetData sheetId="1">
        <row r="37">
          <cell r="BE37">
            <v>8.2340425531914896E-2</v>
          </cell>
        </row>
      </sheetData>
      <sheetData sheetId="2">
        <row r="77">
          <cell r="U77">
            <v>61.352333064850384</v>
          </cell>
        </row>
      </sheetData>
      <sheetData sheetId="3"/>
      <sheetData sheetId="4"/>
      <sheetData sheetId="5"/>
      <sheetData sheetId="6">
        <row r="16">
          <cell r="AW16">
            <v>4.712488762187194E-2</v>
          </cell>
        </row>
      </sheetData>
      <sheetData sheetId="7">
        <row r="57">
          <cell r="BI57">
            <v>4.8792907651537964</v>
          </cell>
        </row>
        <row r="65">
          <cell r="BC65">
            <v>66.291833032820477</v>
          </cell>
        </row>
      </sheetData>
      <sheetData sheetId="8"/>
      <sheetData sheetId="9">
        <row r="5">
          <cell r="E5">
            <v>0.104</v>
          </cell>
        </row>
      </sheetData>
      <sheetData sheetId="10"/>
      <sheetData sheetId="11"/>
      <sheetData sheetId="12"/>
      <sheetData sheetId="13"/>
      <sheetData sheetId="14"/>
      <sheetData sheetId="15"/>
      <sheetData sheetId="16"/>
      <sheetData sheetId="17">
        <row r="8">
          <cell r="AR8">
            <v>2.6250000000000002E-2</v>
          </cell>
        </row>
      </sheetData>
      <sheetData sheetId="18"/>
      <sheetData sheetId="19"/>
      <sheetData sheetId="20"/>
      <sheetData sheetId="21"/>
      <sheetData sheetId="22"/>
      <sheetData sheetId="23"/>
      <sheetData sheetId="24"/>
      <sheetData sheetId="25"/>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Sheet1"/>
      <sheetName val="Sheet2"/>
      <sheetName val="Sheet3"/>
      <sheetName val="Summary Count"/>
      <sheetName val="Total Count"/>
    </sheetNames>
    <sheetDataSet>
      <sheetData sheetId="0"/>
      <sheetData sheetId="1" refreshError="1">
        <row r="1">
          <cell r="L1" t="str">
            <v>PT</v>
          </cell>
        </row>
        <row r="7">
          <cell r="D7" t="str">
            <v>P/E (FY1)</v>
          </cell>
        </row>
        <row r="9">
          <cell r="D9" t="str">
            <v>辰簾糧兩</v>
          </cell>
        </row>
        <row r="11">
          <cell r="B11" t="str">
            <v xml:space="preserve">Infosys Technologies </v>
          </cell>
          <cell r="C11">
            <v>23.165303750274681</v>
          </cell>
          <cell r="D11" t="str">
            <v></v>
          </cell>
          <cell r="E11">
            <v>5.92997</v>
          </cell>
        </row>
        <row r="12">
          <cell r="B12" t="str">
            <v xml:space="preserve">Rolta India </v>
          </cell>
          <cell r="C12">
            <v>20.694458166823328</v>
          </cell>
          <cell r="D12" t="str">
            <v></v>
          </cell>
          <cell r="E12">
            <v>3.5718800000000002</v>
          </cell>
        </row>
        <row r="13">
          <cell r="B13" t="str">
            <v xml:space="preserve">Vakrangee Softwares </v>
          </cell>
          <cell r="C13">
            <v>20.301251956181531</v>
          </cell>
          <cell r="D13" t="str">
            <v></v>
          </cell>
          <cell r="E13">
            <v>1.46147</v>
          </cell>
        </row>
        <row r="14">
          <cell r="B14" t="str">
            <v xml:space="preserve">Satyam Computer Services </v>
          </cell>
          <cell r="C14">
            <v>19.718643799889353</v>
          </cell>
          <cell r="D14" t="str">
            <v></v>
          </cell>
          <cell r="E14">
            <v>5.4957700000000003</v>
          </cell>
        </row>
        <row r="15">
          <cell r="B15" t="str">
            <v xml:space="preserve">Tata Consultancy Services </v>
          </cell>
          <cell r="C15">
            <v>18.737467646561658</v>
          </cell>
          <cell r="D15" t="str">
            <v></v>
          </cell>
          <cell r="E15">
            <v>13.614140000000001</v>
          </cell>
        </row>
        <row r="16">
          <cell r="B16" t="str">
            <v xml:space="preserve">Mphasis </v>
          </cell>
          <cell r="C16">
            <v>18.603477724334482</v>
          </cell>
          <cell r="D16" t="str">
            <v></v>
          </cell>
          <cell r="E16">
            <v>4.5919100000000004</v>
          </cell>
        </row>
        <row r="17">
          <cell r="B17" t="str">
            <v xml:space="preserve">Wipro </v>
          </cell>
          <cell r="C17">
            <v>18.503024055060422</v>
          </cell>
          <cell r="D17" t="str">
            <v></v>
          </cell>
          <cell r="E17">
            <v>8.4862000000000002</v>
          </cell>
        </row>
        <row r="18">
          <cell r="B18" t="str">
            <v xml:space="preserve">Mindtree </v>
          </cell>
          <cell r="C18">
            <v>17.848498130011894</v>
          </cell>
          <cell r="D18" t="str">
            <v></v>
          </cell>
          <cell r="E18">
            <v>7.19984</v>
          </cell>
        </row>
        <row r="19">
          <cell r="B19" t="str">
            <v xml:space="preserve">GTL </v>
          </cell>
          <cell r="C19">
            <v>17.231316725978647</v>
          </cell>
          <cell r="D19" t="str">
            <v></v>
          </cell>
          <cell r="E19">
            <v>1.1864600000000001</v>
          </cell>
        </row>
        <row r="20">
          <cell r="B20" t="str">
            <v xml:space="preserve">Tanla Solutions </v>
          </cell>
          <cell r="C20">
            <v>16.367534456355283</v>
          </cell>
          <cell r="D20" t="str">
            <v></v>
          </cell>
          <cell r="E20">
            <v>3.17971</v>
          </cell>
        </row>
        <row r="21">
          <cell r="B21" t="str">
            <v xml:space="preserve">HCL Technologies </v>
          </cell>
          <cell r="C21">
            <v>15.459382224372732</v>
          </cell>
          <cell r="D21" t="str">
            <v></v>
          </cell>
        </row>
      </sheetData>
      <sheetData sheetId="2"/>
      <sheetData sheetId="3"/>
      <sheetData sheetId="4" refreshError="1"/>
      <sheetData sheetId="5"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Cashflow Forecast Port"/>
      <sheetName val="FX Adjustment"/>
      <sheetName val="LBO Control"/>
      <sheetName val="Standalone"/>
      <sheetName val="Balance Sheet"/>
      <sheetName val="Data Validation Names"/>
      <sheetName val="c1"/>
      <sheetName val="DCF 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_Analysis"/>
      <sheetName val="Changes to Model"/>
      <sheetName val="Sensitivity Tables"/>
      <sheetName val="tables"/>
      <sheetName val="Dionex.Phadia"/>
      <sheetName val="Cost Cutting"/>
      <sheetName val="Self MFR"/>
      <sheetName val="Cost Cutting Chart"/>
      <sheetName val="Deal Capacity"/>
      <sheetName val="Segments"/>
      <sheetName val="Buybacks"/>
      <sheetName val="Dividend"/>
      <sheetName val="Bridge"/>
      <sheetName val="Outlooks"/>
      <sheetName val="Cash Flow"/>
      <sheetName val="China oppty growth"/>
      <sheetName val="Core Growth"/>
      <sheetName val="#REF"/>
      <sheetName val="CENMODE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DCF_SUMMARY"/>
      <sheetName val="RDCF_FORECAST"/>
      <sheetName val="RDCF_BULL"/>
      <sheetName val="RDCF_BASE"/>
      <sheetName val="RDCF_BEAR"/>
      <sheetName val="Legal"/>
      <sheetName val="Breakdown"/>
      <sheetName val="D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MO - FEIC (co estimates)"/>
      <sheetName val="TMO - AFFX (MSe)"/>
      <sheetName val="#REF"/>
      <sheetName val="Breakdown"/>
    </sheetNames>
    <sheetDataSet>
      <sheetData sheetId="0"/>
      <sheetData sheetId="1"/>
      <sheetData sheetId="2" refreshError="1"/>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2"/>
  <sheetViews>
    <sheetView workbookViewId="0"/>
  </sheetViews>
  <sheetFormatPr defaultRowHeight="12.75"/>
  <sheetData>
    <row r="1" spans="1:22">
      <c r="A1" s="229" t="s">
        <v>441</v>
      </c>
    </row>
    <row r="2" spans="1:22">
      <c r="A2" s="169" t="s">
        <v>23</v>
      </c>
      <c r="B2" s="169" t="s">
        <v>430</v>
      </c>
      <c r="C2" s="169" t="s">
        <v>8</v>
      </c>
      <c r="D2" s="169" t="s">
        <v>399</v>
      </c>
      <c r="E2" s="169" t="s">
        <v>7</v>
      </c>
      <c r="F2" s="169" t="s">
        <v>399</v>
      </c>
      <c r="G2" s="169" t="s">
        <v>10</v>
      </c>
      <c r="H2" s="169" t="s">
        <v>399</v>
      </c>
      <c r="I2" s="169" t="s">
        <v>0</v>
      </c>
      <c r="J2" s="169" t="s">
        <v>399</v>
      </c>
      <c r="K2" s="169" t="s">
        <v>24</v>
      </c>
      <c r="L2" s="169" t="s">
        <v>733</v>
      </c>
      <c r="M2" s="169" t="s">
        <v>440</v>
      </c>
      <c r="N2" s="169" t="s">
        <v>3</v>
      </c>
      <c r="O2" s="169" t="s">
        <v>2</v>
      </c>
      <c r="P2" s="169" t="s">
        <v>399</v>
      </c>
      <c r="Q2" s="169" t="s">
        <v>25</v>
      </c>
      <c r="R2" s="169" t="s">
        <v>466</v>
      </c>
      <c r="S2" s="169" t="s">
        <v>1</v>
      </c>
      <c r="T2" s="169" t="s">
        <v>399</v>
      </c>
      <c r="U2" s="169" t="s">
        <v>9</v>
      </c>
      <c r="V2" s="169" t="s">
        <v>399</v>
      </c>
    </row>
  </sheetData>
  <phoneticPr fontId="2"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81"/>
  <sheetViews>
    <sheetView showGridLines="0" tabSelected="1" workbookViewId="0">
      <selection activeCell="Z1" sqref="Z1"/>
    </sheetView>
  </sheetViews>
  <sheetFormatPr defaultRowHeight="12.75"/>
  <cols>
    <col min="1" max="1" width="25.7109375" style="2380" customWidth="1"/>
    <col min="2" max="5" width="9.140625" style="2380"/>
    <col min="6" max="6" width="18.7109375" style="2380" customWidth="1"/>
    <col min="7" max="256" width="9.140625" style="2380"/>
    <col min="257" max="257" width="100.7109375" style="2380" customWidth="1"/>
    <col min="258" max="512" width="9.140625" style="2380"/>
    <col min="513" max="513" width="100.7109375" style="2380" customWidth="1"/>
    <col min="514" max="768" width="9.140625" style="2380"/>
    <col min="769" max="769" width="100.7109375" style="2380" customWidth="1"/>
    <col min="770" max="1024" width="9.140625" style="2380"/>
    <col min="1025" max="1025" width="100.7109375" style="2380" customWidth="1"/>
    <col min="1026" max="1280" width="9.140625" style="2380"/>
    <col min="1281" max="1281" width="100.7109375" style="2380" customWidth="1"/>
    <col min="1282" max="1536" width="9.140625" style="2380"/>
    <col min="1537" max="1537" width="100.7109375" style="2380" customWidth="1"/>
    <col min="1538" max="1792" width="9.140625" style="2380"/>
    <col min="1793" max="1793" width="100.7109375" style="2380" customWidth="1"/>
    <col min="1794" max="2048" width="9.140625" style="2380"/>
    <col min="2049" max="2049" width="100.7109375" style="2380" customWidth="1"/>
    <col min="2050" max="2304" width="9.140625" style="2380"/>
    <col min="2305" max="2305" width="100.7109375" style="2380" customWidth="1"/>
    <col min="2306" max="2560" width="9.140625" style="2380"/>
    <col min="2561" max="2561" width="100.7109375" style="2380" customWidth="1"/>
    <col min="2562" max="2816" width="9.140625" style="2380"/>
    <col min="2817" max="2817" width="100.7109375" style="2380" customWidth="1"/>
    <col min="2818" max="3072" width="9.140625" style="2380"/>
    <col min="3073" max="3073" width="100.7109375" style="2380" customWidth="1"/>
    <col min="3074" max="3328" width="9.140625" style="2380"/>
    <col min="3329" max="3329" width="100.7109375" style="2380" customWidth="1"/>
    <col min="3330" max="3584" width="9.140625" style="2380"/>
    <col min="3585" max="3585" width="100.7109375" style="2380" customWidth="1"/>
    <col min="3586" max="3840" width="9.140625" style="2380"/>
    <col min="3841" max="3841" width="100.7109375" style="2380" customWidth="1"/>
    <col min="3842" max="4096" width="9.140625" style="2380"/>
    <col min="4097" max="4097" width="100.7109375" style="2380" customWidth="1"/>
    <col min="4098" max="4352" width="9.140625" style="2380"/>
    <col min="4353" max="4353" width="100.7109375" style="2380" customWidth="1"/>
    <col min="4354" max="4608" width="9.140625" style="2380"/>
    <col min="4609" max="4609" width="100.7109375" style="2380" customWidth="1"/>
    <col min="4610" max="4864" width="9.140625" style="2380"/>
    <col min="4865" max="4865" width="100.7109375" style="2380" customWidth="1"/>
    <col min="4866" max="5120" width="9.140625" style="2380"/>
    <col min="5121" max="5121" width="100.7109375" style="2380" customWidth="1"/>
    <col min="5122" max="5376" width="9.140625" style="2380"/>
    <col min="5377" max="5377" width="100.7109375" style="2380" customWidth="1"/>
    <col min="5378" max="5632" width="9.140625" style="2380"/>
    <col min="5633" max="5633" width="100.7109375" style="2380" customWidth="1"/>
    <col min="5634" max="5888" width="9.140625" style="2380"/>
    <col min="5889" max="5889" width="100.7109375" style="2380" customWidth="1"/>
    <col min="5890" max="6144" width="9.140625" style="2380"/>
    <col min="6145" max="6145" width="100.7109375" style="2380" customWidth="1"/>
    <col min="6146" max="6400" width="9.140625" style="2380"/>
    <col min="6401" max="6401" width="100.7109375" style="2380" customWidth="1"/>
    <col min="6402" max="6656" width="9.140625" style="2380"/>
    <col min="6657" max="6657" width="100.7109375" style="2380" customWidth="1"/>
    <col min="6658" max="6912" width="9.140625" style="2380"/>
    <col min="6913" max="6913" width="100.7109375" style="2380" customWidth="1"/>
    <col min="6914" max="7168" width="9.140625" style="2380"/>
    <col min="7169" max="7169" width="100.7109375" style="2380" customWidth="1"/>
    <col min="7170" max="7424" width="9.140625" style="2380"/>
    <col min="7425" max="7425" width="100.7109375" style="2380" customWidth="1"/>
    <col min="7426" max="7680" width="9.140625" style="2380"/>
    <col min="7681" max="7681" width="100.7109375" style="2380" customWidth="1"/>
    <col min="7682" max="7936" width="9.140625" style="2380"/>
    <col min="7937" max="7937" width="100.7109375" style="2380" customWidth="1"/>
    <col min="7938" max="8192" width="9.140625" style="2380"/>
    <col min="8193" max="8193" width="100.7109375" style="2380" customWidth="1"/>
    <col min="8194" max="8448" width="9.140625" style="2380"/>
    <col min="8449" max="8449" width="100.7109375" style="2380" customWidth="1"/>
    <col min="8450" max="8704" width="9.140625" style="2380"/>
    <col min="8705" max="8705" width="100.7109375" style="2380" customWidth="1"/>
    <col min="8706" max="8960" width="9.140625" style="2380"/>
    <col min="8961" max="8961" width="100.7109375" style="2380" customWidth="1"/>
    <col min="8962" max="9216" width="9.140625" style="2380"/>
    <col min="9217" max="9217" width="100.7109375" style="2380" customWidth="1"/>
    <col min="9218" max="9472" width="9.140625" style="2380"/>
    <col min="9473" max="9473" width="100.7109375" style="2380" customWidth="1"/>
    <col min="9474" max="9728" width="9.140625" style="2380"/>
    <col min="9729" max="9729" width="100.7109375" style="2380" customWidth="1"/>
    <col min="9730" max="9984" width="9.140625" style="2380"/>
    <col min="9985" max="9985" width="100.7109375" style="2380" customWidth="1"/>
    <col min="9986" max="10240" width="9.140625" style="2380"/>
    <col min="10241" max="10241" width="100.7109375" style="2380" customWidth="1"/>
    <col min="10242" max="10496" width="9.140625" style="2380"/>
    <col min="10497" max="10497" width="100.7109375" style="2380" customWidth="1"/>
    <col min="10498" max="10752" width="9.140625" style="2380"/>
    <col min="10753" max="10753" width="100.7109375" style="2380" customWidth="1"/>
    <col min="10754" max="11008" width="9.140625" style="2380"/>
    <col min="11009" max="11009" width="100.7109375" style="2380" customWidth="1"/>
    <col min="11010" max="11264" width="9.140625" style="2380"/>
    <col min="11265" max="11265" width="100.7109375" style="2380" customWidth="1"/>
    <col min="11266" max="11520" width="9.140625" style="2380"/>
    <col min="11521" max="11521" width="100.7109375" style="2380" customWidth="1"/>
    <col min="11522" max="11776" width="9.140625" style="2380"/>
    <col min="11777" max="11777" width="100.7109375" style="2380" customWidth="1"/>
    <col min="11778" max="12032" width="9.140625" style="2380"/>
    <col min="12033" max="12033" width="100.7109375" style="2380" customWidth="1"/>
    <col min="12034" max="12288" width="9.140625" style="2380"/>
    <col min="12289" max="12289" width="100.7109375" style="2380" customWidth="1"/>
    <col min="12290" max="12544" width="9.140625" style="2380"/>
    <col min="12545" max="12545" width="100.7109375" style="2380" customWidth="1"/>
    <col min="12546" max="12800" width="9.140625" style="2380"/>
    <col min="12801" max="12801" width="100.7109375" style="2380" customWidth="1"/>
    <col min="12802" max="13056" width="9.140625" style="2380"/>
    <col min="13057" max="13057" width="100.7109375" style="2380" customWidth="1"/>
    <col min="13058" max="13312" width="9.140625" style="2380"/>
    <col min="13313" max="13313" width="100.7109375" style="2380" customWidth="1"/>
    <col min="13314" max="13568" width="9.140625" style="2380"/>
    <col min="13569" max="13569" width="100.7109375" style="2380" customWidth="1"/>
    <col min="13570" max="13824" width="9.140625" style="2380"/>
    <col min="13825" max="13825" width="100.7109375" style="2380" customWidth="1"/>
    <col min="13826" max="14080" width="9.140625" style="2380"/>
    <col min="14081" max="14081" width="100.7109375" style="2380" customWidth="1"/>
    <col min="14082" max="14336" width="9.140625" style="2380"/>
    <col min="14337" max="14337" width="100.7109375" style="2380" customWidth="1"/>
    <col min="14338" max="14592" width="9.140625" style="2380"/>
    <col min="14593" max="14593" width="100.7109375" style="2380" customWidth="1"/>
    <col min="14594" max="14848" width="9.140625" style="2380"/>
    <col min="14849" max="14849" width="100.7109375" style="2380" customWidth="1"/>
    <col min="14850" max="15104" width="9.140625" style="2380"/>
    <col min="15105" max="15105" width="100.7109375" style="2380" customWidth="1"/>
    <col min="15106" max="15360" width="9.140625" style="2380"/>
    <col min="15361" max="15361" width="100.7109375" style="2380" customWidth="1"/>
    <col min="15362" max="15616" width="9.140625" style="2380"/>
    <col min="15617" max="15617" width="100.7109375" style="2380" customWidth="1"/>
    <col min="15618" max="15872" width="9.140625" style="2380"/>
    <col min="15873" max="15873" width="100.7109375" style="2380" customWidth="1"/>
    <col min="15874" max="16128" width="9.140625" style="2380"/>
    <col min="16129" max="16129" width="100.7109375" style="2380" customWidth="1"/>
    <col min="16130" max="16384" width="9.140625" style="2380"/>
  </cols>
  <sheetData>
    <row r="1" spans="1:8" ht="30" customHeight="1">
      <c r="A1" s="2378"/>
      <c r="B1" s="2379"/>
      <c r="C1" s="2379"/>
      <c r="D1" s="2379"/>
      <c r="E1" s="2379"/>
      <c r="F1" s="2379"/>
      <c r="G1" s="2379"/>
      <c r="H1" s="2379"/>
    </row>
    <row r="2" spans="1:8" ht="14.25">
      <c r="A2" s="2381" t="s">
        <v>740</v>
      </c>
      <c r="B2" s="2379"/>
      <c r="C2" s="2379"/>
      <c r="D2" s="2379"/>
      <c r="E2" s="2379"/>
      <c r="F2" s="2379"/>
      <c r="G2" s="2379"/>
      <c r="H2" s="2379"/>
    </row>
    <row r="3" spans="1:8" ht="14.25">
      <c r="A3" s="2381" t="s">
        <v>741</v>
      </c>
      <c r="B3" s="2379"/>
      <c r="C3" s="2379"/>
      <c r="D3" s="2379"/>
      <c r="E3" s="2379"/>
      <c r="F3" s="2379"/>
      <c r="G3" s="2379"/>
      <c r="H3" s="2379"/>
    </row>
    <row r="4" spans="1:8" ht="14.25">
      <c r="A4" s="2381" t="s">
        <v>182</v>
      </c>
      <c r="B4" s="2379"/>
      <c r="C4" s="2379"/>
      <c r="D4" s="2379"/>
      <c r="E4" s="2379"/>
      <c r="F4" s="2379"/>
      <c r="G4" s="2379"/>
      <c r="H4" s="2379"/>
    </row>
    <row r="5" spans="1:8" ht="14.25">
      <c r="A5" s="2381" t="s">
        <v>742</v>
      </c>
      <c r="B5" s="2379"/>
      <c r="C5" s="2379"/>
      <c r="D5" s="2379"/>
      <c r="E5" s="2379"/>
      <c r="F5" s="2379"/>
      <c r="G5" s="2379"/>
      <c r="H5" s="2379"/>
    </row>
    <row r="6" spans="1:8" ht="14.25">
      <c r="A6" s="2381"/>
      <c r="B6" s="2379"/>
      <c r="C6" s="2379"/>
      <c r="D6" s="2379"/>
      <c r="E6" s="2379"/>
      <c r="F6" s="2379"/>
      <c r="G6" s="2379"/>
      <c r="H6" s="2379"/>
    </row>
    <row r="7" spans="1:8">
      <c r="A7" s="2378" t="s">
        <v>743</v>
      </c>
      <c r="B7" s="2379"/>
      <c r="C7" s="2379"/>
      <c r="D7" s="2379"/>
      <c r="E7" s="2379"/>
      <c r="F7" s="2379"/>
      <c r="G7" s="2379"/>
      <c r="H7" s="2379"/>
    </row>
    <row r="8" spans="1:8">
      <c r="A8" s="2378" t="s">
        <v>744</v>
      </c>
      <c r="B8" s="2379"/>
      <c r="C8" s="2379"/>
      <c r="D8" s="2379"/>
      <c r="E8" s="2379"/>
      <c r="F8" s="2379"/>
      <c r="G8" s="2379"/>
      <c r="H8" s="2379"/>
    </row>
    <row r="9" spans="1:8">
      <c r="A9" s="2378"/>
      <c r="B9" s="2379"/>
      <c r="C9" s="2379"/>
      <c r="D9" s="2379"/>
      <c r="E9" s="2379"/>
      <c r="F9" s="2379"/>
      <c r="G9" s="2379"/>
      <c r="H9" s="2379"/>
    </row>
    <row r="10" spans="1:8">
      <c r="A10" s="2382" t="s">
        <v>745</v>
      </c>
      <c r="B10" s="2379"/>
      <c r="C10" s="2379"/>
      <c r="D10" s="2379"/>
      <c r="E10" s="2379"/>
      <c r="F10" s="2379"/>
      <c r="G10" s="2379"/>
      <c r="H10" s="2379"/>
    </row>
    <row r="11" spans="1:8">
      <c r="A11" s="2382" t="s">
        <v>746</v>
      </c>
      <c r="B11" s="2379"/>
      <c r="C11" s="2379"/>
      <c r="D11" s="2379"/>
      <c r="E11" s="2379"/>
      <c r="F11" s="2379"/>
      <c r="G11" s="2379"/>
      <c r="H11" s="2379"/>
    </row>
    <row r="12" spans="1:8">
      <c r="A12" s="2382" t="s">
        <v>747</v>
      </c>
      <c r="B12" s="2379"/>
      <c r="C12" s="2379"/>
      <c r="D12" s="2379"/>
      <c r="E12" s="2379"/>
      <c r="F12" s="2379"/>
      <c r="G12" s="2379"/>
      <c r="H12" s="2379"/>
    </row>
    <row r="13" spans="1:8">
      <c r="A13" s="2382" t="s">
        <v>748</v>
      </c>
      <c r="B13" s="2379"/>
      <c r="C13" s="2379"/>
      <c r="D13" s="2379"/>
      <c r="E13" s="2379"/>
      <c r="F13" s="2379"/>
      <c r="G13" s="2379"/>
      <c r="H13" s="2379"/>
    </row>
    <row r="14" spans="1:8">
      <c r="A14" s="2382" t="s">
        <v>749</v>
      </c>
      <c r="B14" s="2379"/>
      <c r="C14" s="2379"/>
      <c r="D14" s="2379"/>
      <c r="E14" s="2379"/>
      <c r="F14" s="2379"/>
      <c r="G14" s="2379"/>
      <c r="H14" s="2379"/>
    </row>
    <row r="15" spans="1:8">
      <c r="A15" s="2382" t="s">
        <v>750</v>
      </c>
      <c r="B15" s="2379"/>
      <c r="C15" s="2379"/>
      <c r="D15" s="2379"/>
      <c r="E15" s="2379"/>
      <c r="F15" s="2379"/>
      <c r="G15" s="2379"/>
      <c r="H15" s="2379"/>
    </row>
    <row r="16" spans="1:8">
      <c r="A16" s="2382"/>
      <c r="B16" s="2379"/>
      <c r="C16" s="2379"/>
      <c r="D16" s="2379"/>
      <c r="E16" s="2379"/>
      <c r="F16" s="2379"/>
      <c r="G16" s="2379"/>
      <c r="H16" s="2379"/>
    </row>
    <row r="17" spans="1:8">
      <c r="A17" s="2382" t="s">
        <v>737</v>
      </c>
      <c r="B17" s="2379"/>
      <c r="C17" s="2379"/>
      <c r="D17" s="2379"/>
      <c r="E17" s="2379"/>
      <c r="F17" s="2379"/>
      <c r="G17" s="2379"/>
      <c r="H17" s="2379"/>
    </row>
    <row r="18" spans="1:8">
      <c r="A18" s="2382"/>
      <c r="B18" s="2379"/>
      <c r="C18" s="2379"/>
      <c r="D18" s="2379"/>
      <c r="E18" s="2379"/>
      <c r="F18" s="2379"/>
      <c r="G18" s="2379"/>
      <c r="H18" s="2379"/>
    </row>
    <row r="19" spans="1:8">
      <c r="A19" s="2382" t="s">
        <v>738</v>
      </c>
      <c r="B19" s="2379"/>
      <c r="C19" s="2379"/>
      <c r="D19" s="2379"/>
      <c r="E19" s="2379"/>
      <c r="F19" s="2379"/>
      <c r="G19" s="2379"/>
      <c r="H19" s="2379"/>
    </row>
    <row r="20" spans="1:8">
      <c r="A20" s="2378"/>
      <c r="B20" s="2379"/>
      <c r="C20" s="2379"/>
      <c r="D20" s="2379"/>
      <c r="E20" s="2379"/>
      <c r="F20" s="2379"/>
      <c r="G20" s="2379"/>
      <c r="H20" s="2379"/>
    </row>
    <row r="21" spans="1:8">
      <c r="A21" s="2383" t="s">
        <v>739</v>
      </c>
      <c r="B21" s="2379"/>
      <c r="C21" s="2379"/>
      <c r="D21" s="2379"/>
      <c r="E21" s="2379"/>
      <c r="F21" s="2379"/>
      <c r="G21" s="2379"/>
      <c r="H21" s="2379"/>
    </row>
    <row r="22" spans="1:8">
      <c r="A22" s="2384"/>
      <c r="B22" s="2384"/>
      <c r="C22" s="2384"/>
      <c r="D22" s="2384"/>
      <c r="E22" s="2384"/>
      <c r="F22" s="2384"/>
      <c r="G22" s="2384"/>
      <c r="H22" s="2384"/>
    </row>
    <row r="23" spans="1:8">
      <c r="A23" s="2385" t="s">
        <v>1021</v>
      </c>
      <c r="B23" s="2384"/>
      <c r="C23" s="2384"/>
      <c r="D23" s="2384"/>
      <c r="E23" s="2384"/>
      <c r="F23" s="2384"/>
      <c r="G23" s="2384"/>
      <c r="H23" s="2384"/>
    </row>
    <row r="24" spans="1:8">
      <c r="A24" s="2385" t="s">
        <v>1022</v>
      </c>
      <c r="B24" s="2384"/>
      <c r="C24" s="2384"/>
      <c r="D24" s="2384"/>
      <c r="E24" s="2384"/>
      <c r="F24" s="2384"/>
      <c r="G24" s="2384"/>
      <c r="H24" s="2384"/>
    </row>
    <row r="25" spans="1:8">
      <c r="A25" s="2385" t="s">
        <v>1023</v>
      </c>
      <c r="B25" s="2384"/>
      <c r="C25" s="2384"/>
      <c r="D25" s="2384"/>
      <c r="E25" s="2384"/>
      <c r="F25" s="2384"/>
      <c r="G25" s="2384"/>
      <c r="H25" s="2384"/>
    </row>
    <row r="26" spans="1:8">
      <c r="A26" s="2385" t="s">
        <v>1024</v>
      </c>
      <c r="B26" s="2384"/>
      <c r="C26" s="2384"/>
      <c r="D26" s="2384"/>
      <c r="E26" s="2384"/>
      <c r="F26" s="2384"/>
      <c r="G26" s="2384"/>
      <c r="H26" s="2384"/>
    </row>
    <row r="27" spans="1:8">
      <c r="A27" s="2384"/>
      <c r="B27" s="2384"/>
      <c r="C27" s="2384"/>
      <c r="D27" s="2384"/>
      <c r="E27" s="2384"/>
      <c r="F27" s="2384"/>
      <c r="G27" s="2384"/>
      <c r="H27" s="2384"/>
    </row>
    <row r="28" spans="1:8">
      <c r="A28" s="2384"/>
      <c r="B28" s="2384"/>
      <c r="C28" s="2384"/>
      <c r="D28" s="2384"/>
      <c r="E28" s="2384"/>
      <c r="F28" s="2384"/>
      <c r="G28" s="2384"/>
      <c r="H28" s="2384"/>
    </row>
    <row r="29" spans="1:8">
      <c r="A29" s="2385" t="s">
        <v>1016</v>
      </c>
      <c r="B29" s="2384"/>
      <c r="C29" s="2384"/>
      <c r="D29" s="2384"/>
      <c r="E29" s="2384"/>
      <c r="F29" s="2384"/>
      <c r="G29" s="2384"/>
      <c r="H29" s="2384"/>
    </row>
    <row r="30" spans="1:8">
      <c r="A30" s="2385" t="s">
        <v>1017</v>
      </c>
      <c r="B30" s="2384"/>
      <c r="C30" s="2384"/>
      <c r="D30" s="2384"/>
      <c r="E30" s="2384"/>
      <c r="F30" s="2384"/>
      <c r="G30" s="2384"/>
      <c r="H30" s="2384"/>
    </row>
    <row r="31" spans="1:8">
      <c r="A31" s="2385" t="s">
        <v>1018</v>
      </c>
      <c r="B31" s="2384"/>
      <c r="C31" s="2384"/>
      <c r="D31" s="2384"/>
      <c r="E31" s="2384"/>
      <c r="F31" s="2384"/>
      <c r="G31" s="2384"/>
      <c r="H31" s="2384"/>
    </row>
    <row r="32" spans="1:8">
      <c r="A32" s="2385" t="s">
        <v>1019</v>
      </c>
      <c r="B32" s="2384"/>
      <c r="C32" s="2384"/>
      <c r="D32" s="2384"/>
      <c r="E32" s="2384"/>
      <c r="F32" s="2384"/>
      <c r="G32" s="2384"/>
      <c r="H32" s="2384"/>
    </row>
    <row r="33" spans="1:8">
      <c r="A33" s="2385" t="s">
        <v>1020</v>
      </c>
      <c r="B33" s="2384"/>
      <c r="C33" s="2384"/>
      <c r="D33" s="2384"/>
      <c r="E33" s="2384"/>
      <c r="F33" s="2384"/>
      <c r="G33" s="2384"/>
      <c r="H33" s="2384"/>
    </row>
    <row r="34" spans="1:8">
      <c r="A34" s="2384"/>
      <c r="B34" s="2384"/>
      <c r="C34" s="2384"/>
      <c r="D34" s="2384"/>
      <c r="E34" s="2384"/>
      <c r="F34" s="2384"/>
      <c r="G34" s="2384"/>
      <c r="H34" s="2384"/>
    </row>
    <row r="35" spans="1:8">
      <c r="A35" s="2385" t="s">
        <v>1012</v>
      </c>
      <c r="B35" s="2384"/>
      <c r="C35" s="2384"/>
      <c r="D35" s="2384"/>
      <c r="E35" s="2384"/>
      <c r="F35" s="2384"/>
      <c r="G35" s="2384"/>
      <c r="H35" s="2384"/>
    </row>
    <row r="36" spans="1:8">
      <c r="A36" s="2385" t="s">
        <v>1013</v>
      </c>
      <c r="B36" s="2384"/>
      <c r="C36" s="2384"/>
      <c r="D36" s="2384"/>
      <c r="E36" s="2384"/>
      <c r="F36" s="2384"/>
      <c r="G36" s="2384"/>
      <c r="H36" s="2384"/>
    </row>
    <row r="37" spans="1:8">
      <c r="A37" s="2385" t="s">
        <v>1014</v>
      </c>
      <c r="B37" s="2384"/>
      <c r="C37" s="2384"/>
      <c r="D37" s="2384"/>
      <c r="E37" s="2384"/>
      <c r="F37" s="2384"/>
      <c r="G37" s="2384"/>
      <c r="H37" s="2384"/>
    </row>
    <row r="38" spans="1:8">
      <c r="A38" s="2385" t="s">
        <v>1015</v>
      </c>
      <c r="B38" s="2384"/>
      <c r="C38" s="2384"/>
      <c r="D38" s="2384"/>
      <c r="E38" s="2384"/>
      <c r="F38" s="2384"/>
      <c r="G38" s="2384"/>
      <c r="H38" s="2384"/>
    </row>
    <row r="39" spans="1:8">
      <c r="A39" s="2384"/>
      <c r="B39" s="2384"/>
      <c r="C39" s="2384"/>
      <c r="D39" s="2384"/>
      <c r="E39" s="2384"/>
      <c r="F39" s="2384"/>
      <c r="G39" s="2384"/>
      <c r="H39" s="2384"/>
    </row>
    <row r="40" spans="1:8">
      <c r="A40" s="2385" t="s">
        <v>1006</v>
      </c>
      <c r="B40" s="2384"/>
      <c r="C40" s="2384"/>
      <c r="D40" s="2384"/>
      <c r="E40" s="2384"/>
      <c r="F40" s="2384"/>
      <c r="G40" s="2384"/>
      <c r="H40" s="2384"/>
    </row>
    <row r="41" spans="1:8">
      <c r="A41" s="2385" t="s">
        <v>1007</v>
      </c>
      <c r="B41" s="2384"/>
      <c r="C41" s="2384"/>
      <c r="D41" s="2384"/>
      <c r="E41" s="2384"/>
      <c r="F41" s="2384"/>
      <c r="G41" s="2384"/>
      <c r="H41" s="2384"/>
    </row>
    <row r="42" spans="1:8">
      <c r="A42" s="2385" t="s">
        <v>1008</v>
      </c>
      <c r="B42" s="2384"/>
      <c r="C42" s="2384"/>
      <c r="D42" s="2384"/>
      <c r="E42" s="2384"/>
      <c r="F42" s="2384"/>
      <c r="G42" s="2384"/>
      <c r="H42" s="2384"/>
    </row>
    <row r="43" spans="1:8">
      <c r="A43" s="2385" t="s">
        <v>1009</v>
      </c>
      <c r="B43" s="2384"/>
      <c r="C43" s="2384"/>
      <c r="D43" s="2384"/>
      <c r="E43" s="2384"/>
      <c r="F43" s="2384"/>
      <c r="G43" s="2384"/>
      <c r="H43" s="2384"/>
    </row>
    <row r="44" spans="1:8">
      <c r="A44" s="2385" t="s">
        <v>1010</v>
      </c>
      <c r="B44" s="2384"/>
      <c r="C44" s="2384"/>
      <c r="D44" s="2384"/>
      <c r="E44" s="2384"/>
      <c r="F44" s="2384"/>
      <c r="G44" s="2384"/>
      <c r="H44" s="2384"/>
    </row>
    <row r="45" spans="1:8">
      <c r="A45" s="2385" t="s">
        <v>1011</v>
      </c>
      <c r="B45" s="2384"/>
      <c r="C45" s="2384"/>
      <c r="D45" s="2384"/>
      <c r="E45" s="2384"/>
      <c r="F45" s="2384"/>
      <c r="G45" s="2384"/>
      <c r="H45" s="2384"/>
    </row>
    <row r="46" spans="1:8">
      <c r="A46" s="2384"/>
      <c r="B46" s="2384"/>
      <c r="C46" s="2384"/>
      <c r="D46" s="2384"/>
      <c r="E46" s="2384"/>
      <c r="F46" s="2384"/>
      <c r="G46" s="2384"/>
      <c r="H46" s="2384"/>
    </row>
    <row r="47" spans="1:8" ht="15.75">
      <c r="A47" s="2386" t="s">
        <v>751</v>
      </c>
      <c r="B47" s="2384"/>
      <c r="C47" s="2384"/>
      <c r="D47" s="2384"/>
      <c r="E47" s="2384"/>
      <c r="F47" s="2384"/>
      <c r="G47" s="2384"/>
      <c r="H47" s="2384"/>
    </row>
    <row r="48" spans="1:8">
      <c r="A48" s="2384"/>
      <c r="B48" s="2384"/>
      <c r="C48" s="2384"/>
      <c r="D48" s="2384"/>
      <c r="E48" s="2384"/>
      <c r="F48" s="2384"/>
      <c r="G48" s="2384"/>
      <c r="H48" s="2384"/>
    </row>
    <row r="49" spans="1:8">
      <c r="A49" s="2385" t="s">
        <v>1002</v>
      </c>
      <c r="B49" s="2384"/>
      <c r="C49" s="2384"/>
      <c r="D49" s="2384"/>
      <c r="E49" s="2384"/>
      <c r="F49" s="2384"/>
      <c r="G49" s="2384"/>
      <c r="H49" s="2384"/>
    </row>
    <row r="50" spans="1:8">
      <c r="A50" s="2385" t="s">
        <v>1003</v>
      </c>
      <c r="B50" s="2384"/>
      <c r="C50" s="2384"/>
      <c r="D50" s="2384"/>
      <c r="E50" s="2384"/>
      <c r="F50" s="2384"/>
      <c r="G50" s="2384"/>
      <c r="H50" s="2384"/>
    </row>
    <row r="51" spans="1:8">
      <c r="A51" s="2385" t="s">
        <v>1004</v>
      </c>
      <c r="B51" s="2384"/>
      <c r="C51" s="2384"/>
      <c r="D51" s="2384"/>
      <c r="E51" s="2384"/>
      <c r="F51" s="2384"/>
      <c r="G51" s="2384"/>
      <c r="H51" s="2384"/>
    </row>
    <row r="52" spans="1:8">
      <c r="A52" s="2385" t="s">
        <v>1005</v>
      </c>
      <c r="B52" s="2384"/>
      <c r="C52" s="2384"/>
      <c r="D52" s="2384"/>
      <c r="E52" s="2384"/>
      <c r="F52" s="2384"/>
      <c r="G52" s="2384"/>
      <c r="H52" s="2384"/>
    </row>
    <row r="53" spans="1:8">
      <c r="A53" s="2384"/>
      <c r="B53" s="2384"/>
      <c r="C53" s="2384"/>
      <c r="D53" s="2384"/>
      <c r="E53" s="2384"/>
      <c r="F53" s="2384"/>
      <c r="G53" s="2384"/>
      <c r="H53" s="2384"/>
    </row>
    <row r="54" spans="1:8">
      <c r="A54" s="2385" t="s">
        <v>752</v>
      </c>
      <c r="B54" s="2384"/>
      <c r="C54" s="2384"/>
      <c r="D54" s="2384"/>
      <c r="E54" s="2384"/>
      <c r="F54" s="2384"/>
      <c r="G54" s="2384"/>
      <c r="H54" s="2384"/>
    </row>
    <row r="55" spans="1:8">
      <c r="A55" s="2384"/>
      <c r="B55" s="2384"/>
      <c r="C55" s="2384"/>
      <c r="D55" s="2384"/>
      <c r="E55" s="2384"/>
      <c r="F55" s="2384"/>
      <c r="G55" s="2384"/>
      <c r="H55" s="2384"/>
    </row>
    <row r="56" spans="1:8" ht="15.75">
      <c r="A56" s="2386" t="s">
        <v>753</v>
      </c>
      <c r="B56" s="2384"/>
      <c r="C56" s="2384"/>
      <c r="D56" s="2384"/>
      <c r="E56" s="2384"/>
      <c r="F56" s="2384"/>
      <c r="G56" s="2384"/>
      <c r="H56" s="2384"/>
    </row>
    <row r="57" spans="1:8">
      <c r="A57" s="2384"/>
      <c r="B57" s="2384"/>
      <c r="C57" s="2384"/>
      <c r="D57" s="2384"/>
      <c r="E57" s="2384"/>
      <c r="F57" s="2384"/>
      <c r="G57" s="2384"/>
      <c r="H57" s="2384"/>
    </row>
    <row r="58" spans="1:8">
      <c r="A58" s="2385" t="s">
        <v>1000</v>
      </c>
      <c r="B58" s="2384"/>
      <c r="C58" s="2384"/>
      <c r="D58" s="2384"/>
      <c r="E58" s="2384"/>
      <c r="F58" s="2384"/>
      <c r="G58" s="2384"/>
      <c r="H58" s="2384"/>
    </row>
    <row r="59" spans="1:8">
      <c r="A59" s="2385" t="s">
        <v>1001</v>
      </c>
      <c r="B59" s="2384"/>
      <c r="C59" s="2384"/>
      <c r="D59" s="2384"/>
      <c r="E59" s="2384"/>
      <c r="F59" s="2384"/>
      <c r="G59" s="2384"/>
      <c r="H59" s="2384"/>
    </row>
    <row r="60" spans="1:8">
      <c r="A60" s="2384"/>
      <c r="B60" s="2384"/>
      <c r="C60" s="2384"/>
      <c r="D60" s="2384"/>
      <c r="E60" s="2384"/>
      <c r="F60" s="2384"/>
      <c r="G60" s="2384"/>
      <c r="H60" s="2384"/>
    </row>
    <row r="61" spans="1:8" ht="15.75">
      <c r="A61" s="2386" t="s">
        <v>754</v>
      </c>
      <c r="B61" s="2384"/>
      <c r="C61" s="2384"/>
      <c r="D61" s="2384"/>
      <c r="E61" s="2384"/>
      <c r="F61" s="2384"/>
      <c r="G61" s="2384"/>
      <c r="H61" s="2384"/>
    </row>
    <row r="62" spans="1:8">
      <c r="A62" s="2384"/>
      <c r="B62" s="2384"/>
      <c r="C62" s="2384"/>
      <c r="D62" s="2384"/>
      <c r="E62" s="2384"/>
      <c r="F62" s="2384"/>
      <c r="G62" s="2384"/>
      <c r="H62" s="2384"/>
    </row>
    <row r="63" spans="1:8">
      <c r="A63" s="2385" t="s">
        <v>998</v>
      </c>
      <c r="B63" s="2384"/>
      <c r="C63" s="2384"/>
      <c r="D63" s="2384"/>
      <c r="E63" s="2384"/>
      <c r="F63" s="2384"/>
      <c r="G63" s="2384"/>
      <c r="H63" s="2384"/>
    </row>
    <row r="64" spans="1:8">
      <c r="A64" s="2385" t="s">
        <v>999</v>
      </c>
      <c r="B64" s="2384"/>
      <c r="C64" s="2384"/>
      <c r="D64" s="2384"/>
      <c r="E64" s="2384"/>
      <c r="F64" s="2384"/>
      <c r="G64" s="2384"/>
      <c r="H64" s="2384"/>
    </row>
    <row r="65" spans="1:8">
      <c r="A65" s="2384"/>
      <c r="B65" s="2384"/>
      <c r="C65" s="2384"/>
      <c r="D65" s="2384"/>
      <c r="E65" s="2384"/>
      <c r="F65" s="2384"/>
      <c r="G65" s="2384"/>
      <c r="H65" s="2384"/>
    </row>
    <row r="66" spans="1:8">
      <c r="A66" s="2385" t="s">
        <v>996</v>
      </c>
      <c r="B66" s="2384"/>
      <c r="C66" s="2384"/>
      <c r="D66" s="2384"/>
      <c r="E66" s="2384"/>
      <c r="F66" s="2384"/>
      <c r="G66" s="2384"/>
      <c r="H66" s="2384"/>
    </row>
    <row r="67" spans="1:8">
      <c r="A67" s="2385" t="s">
        <v>997</v>
      </c>
      <c r="B67" s="2384"/>
      <c r="C67" s="2384"/>
      <c r="D67" s="2384"/>
      <c r="E67" s="2384"/>
      <c r="F67" s="2384"/>
      <c r="G67" s="2384"/>
      <c r="H67" s="2384"/>
    </row>
    <row r="68" spans="1:8">
      <c r="A68" s="2384"/>
      <c r="B68" s="2384"/>
      <c r="C68" s="2384"/>
      <c r="D68" s="2384"/>
      <c r="E68" s="2384"/>
      <c r="F68" s="2384"/>
      <c r="G68" s="2384"/>
      <c r="H68" s="2384"/>
    </row>
    <row r="69" spans="1:8">
      <c r="A69" s="2385" t="s">
        <v>755</v>
      </c>
      <c r="B69" s="2384"/>
      <c r="C69" s="2384"/>
      <c r="D69" s="2384"/>
      <c r="E69" s="2384"/>
      <c r="F69" s="2384"/>
      <c r="G69" s="2384"/>
      <c r="H69" s="2384"/>
    </row>
    <row r="70" spans="1:8">
      <c r="A70" s="2384"/>
      <c r="B70" s="2384"/>
      <c r="C70" s="2384"/>
      <c r="D70" s="2384"/>
      <c r="E70" s="2384"/>
      <c r="F70" s="2384"/>
      <c r="G70" s="2384"/>
      <c r="H70" s="2384"/>
    </row>
    <row r="71" spans="1:8">
      <c r="A71" s="2385" t="s">
        <v>991</v>
      </c>
      <c r="B71" s="2384"/>
      <c r="C71" s="2384"/>
      <c r="D71" s="2384"/>
      <c r="E71" s="2384"/>
      <c r="F71" s="2384"/>
      <c r="G71" s="2384"/>
      <c r="H71" s="2384"/>
    </row>
    <row r="72" spans="1:8">
      <c r="A72" s="2385" t="s">
        <v>992</v>
      </c>
      <c r="B72" s="2384"/>
      <c r="C72" s="2384"/>
      <c r="D72" s="2384"/>
      <c r="E72" s="2384"/>
      <c r="F72" s="2384"/>
      <c r="G72" s="2384"/>
      <c r="H72" s="2384"/>
    </row>
    <row r="73" spans="1:8">
      <c r="A73" s="2385" t="s">
        <v>993</v>
      </c>
      <c r="B73" s="2384"/>
      <c r="C73" s="2384"/>
      <c r="D73" s="2384"/>
      <c r="E73" s="2384"/>
      <c r="F73" s="2384"/>
      <c r="G73" s="2384"/>
      <c r="H73" s="2384"/>
    </row>
    <row r="74" spans="1:8">
      <c r="A74" s="2385" t="s">
        <v>994</v>
      </c>
      <c r="B74" s="2384"/>
      <c r="C74" s="2384"/>
      <c r="D74" s="2384"/>
      <c r="E74" s="2384"/>
      <c r="F74" s="2384"/>
      <c r="G74" s="2384"/>
      <c r="H74" s="2384"/>
    </row>
    <row r="75" spans="1:8">
      <c r="A75" s="2385" t="s">
        <v>995</v>
      </c>
      <c r="B75" s="2384"/>
      <c r="C75" s="2384"/>
      <c r="D75" s="2384"/>
      <c r="E75" s="2384"/>
      <c r="F75" s="2384"/>
      <c r="G75" s="2384"/>
      <c r="H75" s="2384"/>
    </row>
    <row r="76" spans="1:8">
      <c r="A76" s="2385" t="s">
        <v>880</v>
      </c>
      <c r="B76" s="2384"/>
      <c r="C76" s="2384"/>
      <c r="D76" s="2384"/>
      <c r="E76" s="2384"/>
      <c r="F76" s="2384"/>
      <c r="G76" s="2384"/>
      <c r="H76" s="2384"/>
    </row>
    <row r="77" spans="1:8">
      <c r="A77" s="2384"/>
      <c r="B77" s="2384"/>
      <c r="C77" s="2384"/>
      <c r="D77" s="2384"/>
      <c r="E77" s="2384"/>
      <c r="F77" s="2384"/>
      <c r="G77" s="2384"/>
      <c r="H77" s="2384"/>
    </row>
    <row r="78" spans="1:8">
      <c r="A78" s="2385" t="s">
        <v>984</v>
      </c>
      <c r="B78" s="2384"/>
      <c r="C78" s="2384"/>
      <c r="D78" s="2384"/>
      <c r="E78" s="2384"/>
      <c r="F78" s="2384"/>
      <c r="G78" s="2384"/>
      <c r="H78" s="2384"/>
    </row>
    <row r="79" spans="1:8">
      <c r="A79" s="2385" t="s">
        <v>985</v>
      </c>
      <c r="B79" s="2384"/>
      <c r="C79" s="2384"/>
      <c r="D79" s="2384"/>
      <c r="E79" s="2384"/>
      <c r="F79" s="2384"/>
      <c r="G79" s="2384"/>
      <c r="H79" s="2384"/>
    </row>
    <row r="80" spans="1:8">
      <c r="A80" s="2385" t="s">
        <v>986</v>
      </c>
      <c r="B80" s="2384"/>
      <c r="C80" s="2384"/>
      <c r="D80" s="2384"/>
      <c r="E80" s="2384"/>
      <c r="F80" s="2384"/>
      <c r="G80" s="2384"/>
      <c r="H80" s="2384"/>
    </row>
    <row r="81" spans="1:8">
      <c r="A81" s="2385" t="s">
        <v>987</v>
      </c>
      <c r="B81" s="2384"/>
      <c r="C81" s="2384"/>
      <c r="D81" s="2384"/>
      <c r="E81" s="2384"/>
      <c r="F81" s="2384"/>
      <c r="G81" s="2384"/>
      <c r="H81" s="2384"/>
    </row>
    <row r="82" spans="1:8">
      <c r="A82" s="2385" t="s">
        <v>988</v>
      </c>
      <c r="B82" s="2384"/>
      <c r="C82" s="2384"/>
      <c r="D82" s="2384"/>
      <c r="E82" s="2384"/>
      <c r="F82" s="2384"/>
      <c r="G82" s="2384"/>
      <c r="H82" s="2384"/>
    </row>
    <row r="83" spans="1:8">
      <c r="A83" s="2385" t="s">
        <v>989</v>
      </c>
      <c r="B83" s="2384"/>
      <c r="C83" s="2384"/>
      <c r="D83" s="2384"/>
      <c r="E83" s="2384"/>
      <c r="F83" s="2384"/>
      <c r="G83" s="2384"/>
      <c r="H83" s="2384"/>
    </row>
    <row r="84" spans="1:8">
      <c r="A84" s="2385" t="s">
        <v>990</v>
      </c>
      <c r="B84" s="2384"/>
      <c r="C84" s="2384"/>
      <c r="D84" s="2384"/>
      <c r="E84" s="2384"/>
      <c r="F84" s="2384"/>
      <c r="G84" s="2384"/>
      <c r="H84" s="2384"/>
    </row>
    <row r="85" spans="1:8">
      <c r="A85" s="2384"/>
      <c r="B85" s="2384"/>
      <c r="C85" s="2384"/>
      <c r="D85" s="2384"/>
      <c r="E85" s="2384"/>
      <c r="F85" s="2384"/>
      <c r="G85" s="2384"/>
      <c r="H85" s="2384"/>
    </row>
    <row r="86" spans="1:8">
      <c r="A86" s="2385" t="s">
        <v>982</v>
      </c>
      <c r="B86" s="2384"/>
      <c r="C86" s="2384"/>
      <c r="D86" s="2384"/>
      <c r="E86" s="2384"/>
      <c r="F86" s="2384"/>
      <c r="G86" s="2384"/>
      <c r="H86" s="2384"/>
    </row>
    <row r="87" spans="1:8">
      <c r="A87" s="2385" t="s">
        <v>983</v>
      </c>
      <c r="B87" s="2384"/>
      <c r="C87" s="2384"/>
      <c r="D87" s="2384"/>
      <c r="E87" s="2384"/>
      <c r="F87" s="2384"/>
      <c r="G87" s="2384"/>
      <c r="H87" s="2384"/>
    </row>
    <row r="88" spans="1:8">
      <c r="A88" s="2384"/>
      <c r="B88" s="2384"/>
      <c r="C88" s="2384"/>
      <c r="D88" s="2384"/>
      <c r="E88" s="2384"/>
      <c r="F88" s="2384"/>
      <c r="G88" s="2384"/>
      <c r="H88" s="2384"/>
    </row>
    <row r="89" spans="1:8" ht="15.75">
      <c r="A89" s="2386" t="s">
        <v>756</v>
      </c>
      <c r="B89" s="2384"/>
      <c r="C89" s="2384"/>
      <c r="D89" s="2384"/>
      <c r="E89" s="2384"/>
      <c r="F89" s="2384"/>
      <c r="G89" s="2384"/>
      <c r="H89" s="2384"/>
    </row>
    <row r="90" spans="1:8">
      <c r="A90" s="2384"/>
      <c r="B90" s="2384"/>
      <c r="C90" s="2384"/>
      <c r="D90" s="2384"/>
      <c r="E90" s="2384"/>
      <c r="F90" s="2384"/>
      <c r="G90" s="2384"/>
      <c r="H90" s="2384"/>
    </row>
    <row r="91" spans="1:8">
      <c r="A91" s="2385" t="s">
        <v>973</v>
      </c>
      <c r="B91" s="2384"/>
      <c r="C91" s="2384"/>
      <c r="D91" s="2384"/>
      <c r="E91" s="2384"/>
      <c r="F91" s="2384"/>
      <c r="G91" s="2384"/>
      <c r="H91" s="2384"/>
    </row>
    <row r="92" spans="1:8">
      <c r="A92" s="2385" t="s">
        <v>974</v>
      </c>
      <c r="B92" s="2384"/>
      <c r="C92" s="2384"/>
      <c r="D92" s="2384"/>
      <c r="E92" s="2384"/>
      <c r="F92" s="2384"/>
      <c r="G92" s="2384"/>
      <c r="H92" s="2384"/>
    </row>
    <row r="93" spans="1:8">
      <c r="A93" s="2385" t="s">
        <v>975</v>
      </c>
      <c r="B93" s="2384"/>
      <c r="C93" s="2384"/>
      <c r="D93" s="2384"/>
      <c r="E93" s="2384"/>
      <c r="F93" s="2384"/>
      <c r="G93" s="2384"/>
      <c r="H93" s="2384"/>
    </row>
    <row r="94" spans="1:8">
      <c r="A94" s="2385" t="s">
        <v>976</v>
      </c>
      <c r="B94" s="2384"/>
      <c r="C94" s="2384"/>
      <c r="D94" s="2384"/>
      <c r="E94" s="2384"/>
      <c r="F94" s="2384"/>
      <c r="G94" s="2384"/>
      <c r="H94" s="2384"/>
    </row>
    <row r="95" spans="1:8">
      <c r="A95" s="2385" t="s">
        <v>977</v>
      </c>
      <c r="B95" s="2384"/>
      <c r="C95" s="2384"/>
      <c r="D95" s="2384"/>
      <c r="E95" s="2384"/>
      <c r="F95" s="2384"/>
      <c r="G95" s="2384"/>
      <c r="H95" s="2384"/>
    </row>
    <row r="96" spans="1:8">
      <c r="A96" s="2385" t="s">
        <v>978</v>
      </c>
      <c r="B96" s="2384"/>
      <c r="C96" s="2384"/>
      <c r="D96" s="2384"/>
      <c r="E96" s="2384"/>
      <c r="F96" s="2384"/>
      <c r="G96" s="2384"/>
      <c r="H96" s="2384"/>
    </row>
    <row r="97" spans="1:8">
      <c r="A97" s="2385" t="s">
        <v>979</v>
      </c>
      <c r="B97" s="2384"/>
      <c r="C97" s="2384"/>
      <c r="D97" s="2384"/>
      <c r="E97" s="2384"/>
      <c r="F97" s="2384"/>
      <c r="G97" s="2384"/>
      <c r="H97" s="2384"/>
    </row>
    <row r="98" spans="1:8">
      <c r="A98" s="2385" t="s">
        <v>980</v>
      </c>
      <c r="B98" s="2384"/>
      <c r="C98" s="2384"/>
      <c r="D98" s="2384"/>
      <c r="E98" s="2384"/>
      <c r="F98" s="2384"/>
      <c r="G98" s="2384"/>
      <c r="H98" s="2384"/>
    </row>
    <row r="99" spans="1:8">
      <c r="A99" s="2385" t="s">
        <v>981</v>
      </c>
      <c r="B99" s="2384"/>
      <c r="C99" s="2384"/>
      <c r="D99" s="2384"/>
      <c r="E99" s="2384"/>
      <c r="F99" s="2384"/>
      <c r="G99" s="2384"/>
      <c r="H99" s="2384"/>
    </row>
    <row r="100" spans="1:8">
      <c r="A100" s="2384"/>
      <c r="B100" s="2384"/>
      <c r="C100" s="2384"/>
      <c r="D100" s="2384"/>
      <c r="E100" s="2384"/>
      <c r="F100" s="2384"/>
      <c r="G100" s="2384"/>
      <c r="H100" s="2384"/>
    </row>
    <row r="101" spans="1:8" ht="15.75">
      <c r="A101" s="2387" t="s">
        <v>757</v>
      </c>
      <c r="B101" s="2387"/>
      <c r="C101" s="2387"/>
      <c r="D101" s="2387"/>
      <c r="E101" s="2387"/>
      <c r="F101" s="2387"/>
      <c r="G101" s="2387"/>
      <c r="H101" s="2387"/>
    </row>
    <row r="102" spans="1:8">
      <c r="A102" s="2388" t="s">
        <v>758</v>
      </c>
      <c r="B102" s="2388"/>
      <c r="C102" s="2388"/>
      <c r="D102" s="2388"/>
      <c r="E102" s="2388"/>
      <c r="F102" s="2388"/>
      <c r="G102" s="2388"/>
      <c r="H102" s="2388"/>
    </row>
    <row r="103" spans="1:8">
      <c r="A103" s="2389"/>
      <c r="B103" s="2389"/>
      <c r="C103" s="2389"/>
      <c r="D103" s="2389"/>
      <c r="E103" s="2389"/>
      <c r="F103" s="2389"/>
      <c r="G103" s="2389"/>
      <c r="H103" s="2389"/>
    </row>
    <row r="104" spans="1:8">
      <c r="A104" s="2388" t="s">
        <v>971</v>
      </c>
      <c r="B104" s="2388"/>
      <c r="C104" s="2388"/>
      <c r="D104" s="2388"/>
      <c r="E104" s="2388"/>
      <c r="F104" s="2388"/>
      <c r="G104" s="2388"/>
      <c r="H104" s="2388"/>
    </row>
    <row r="105" spans="1:8">
      <c r="A105" s="2385" t="s">
        <v>972</v>
      </c>
      <c r="B105" s="2385"/>
      <c r="C105" s="2385"/>
      <c r="D105" s="2385"/>
      <c r="E105" s="2385"/>
      <c r="F105" s="2385"/>
      <c r="G105" s="2385"/>
      <c r="H105" s="2385"/>
    </row>
    <row r="106" spans="1:8">
      <c r="A106" s="2389"/>
      <c r="B106" s="2389"/>
      <c r="C106" s="2389"/>
      <c r="D106" s="2389"/>
      <c r="E106" s="2389"/>
      <c r="F106" s="2389"/>
      <c r="G106" s="2389"/>
      <c r="H106" s="2389"/>
    </row>
    <row r="107" spans="1:8">
      <c r="A107" s="2388" t="s">
        <v>964</v>
      </c>
      <c r="B107" s="2388"/>
      <c r="C107" s="2388"/>
      <c r="D107" s="2388"/>
      <c r="E107" s="2388"/>
      <c r="F107" s="2388"/>
      <c r="G107" s="2388"/>
      <c r="H107" s="2388"/>
    </row>
    <row r="108" spans="1:8">
      <c r="A108" s="2385" t="s">
        <v>965</v>
      </c>
      <c r="B108" s="2385"/>
      <c r="C108" s="2385"/>
      <c r="D108" s="2385"/>
      <c r="E108" s="2385"/>
      <c r="F108" s="2385"/>
      <c r="G108" s="2385"/>
      <c r="H108" s="2385"/>
    </row>
    <row r="109" spans="1:8">
      <c r="A109" s="2385" t="s">
        <v>966</v>
      </c>
      <c r="B109" s="2385"/>
      <c r="C109" s="2385"/>
      <c r="D109" s="2385"/>
      <c r="E109" s="2385"/>
      <c r="F109" s="2385"/>
      <c r="G109" s="2385"/>
      <c r="H109" s="2385"/>
    </row>
    <row r="110" spans="1:8">
      <c r="A110" s="2385" t="s">
        <v>967</v>
      </c>
      <c r="B110" s="2385"/>
      <c r="C110" s="2385"/>
      <c r="D110" s="2385"/>
      <c r="E110" s="2385"/>
      <c r="F110" s="2385"/>
      <c r="G110" s="2385"/>
      <c r="H110" s="2385"/>
    </row>
    <row r="111" spans="1:8">
      <c r="A111" s="2385" t="s">
        <v>968</v>
      </c>
      <c r="B111" s="2385"/>
      <c r="C111" s="2385"/>
      <c r="D111" s="2385"/>
      <c r="E111" s="2385"/>
      <c r="F111" s="2385"/>
      <c r="G111" s="2385"/>
      <c r="H111" s="2385"/>
    </row>
    <row r="112" spans="1:8">
      <c r="A112" s="2385" t="s">
        <v>969</v>
      </c>
      <c r="B112" s="2385"/>
      <c r="C112" s="2385"/>
      <c r="D112" s="2385"/>
      <c r="E112" s="2385"/>
      <c r="F112" s="2385"/>
      <c r="G112" s="2385"/>
      <c r="H112" s="2385"/>
    </row>
    <row r="113" spans="1:8">
      <c r="A113" s="2385" t="s">
        <v>970</v>
      </c>
      <c r="B113" s="2385"/>
      <c r="C113" s="2385"/>
      <c r="D113" s="2385"/>
      <c r="E113" s="2385"/>
      <c r="F113" s="2385"/>
      <c r="G113" s="2385"/>
      <c r="H113" s="2385"/>
    </row>
    <row r="114" spans="1:8">
      <c r="A114" s="2390"/>
      <c r="B114" s="2390"/>
      <c r="C114" s="2390"/>
      <c r="D114" s="2390"/>
      <c r="E114" s="2390"/>
      <c r="F114" s="2390"/>
      <c r="G114" s="2390"/>
      <c r="H114" s="2390"/>
    </row>
    <row r="115" spans="1:8">
      <c r="A115" s="2391"/>
      <c r="B115" s="2392" t="s">
        <v>759</v>
      </c>
      <c r="C115" s="2393"/>
      <c r="D115" s="2392" t="s">
        <v>760</v>
      </c>
      <c r="E115" s="2394"/>
      <c r="F115" s="2393"/>
      <c r="G115" s="2392" t="s">
        <v>761</v>
      </c>
      <c r="H115" s="2393"/>
    </row>
    <row r="116" spans="1:8">
      <c r="A116" s="2391" t="s">
        <v>762</v>
      </c>
      <c r="B116" s="2391" t="s">
        <v>455</v>
      </c>
      <c r="C116" s="2391" t="s">
        <v>588</v>
      </c>
      <c r="D116" s="2391" t="s">
        <v>455</v>
      </c>
      <c r="E116" s="2391" t="s">
        <v>763</v>
      </c>
      <c r="F116" s="2391" t="s">
        <v>764</v>
      </c>
      <c r="G116" s="2391" t="s">
        <v>455</v>
      </c>
      <c r="H116" s="2391" t="s">
        <v>765</v>
      </c>
    </row>
    <row r="117" spans="1:8">
      <c r="A117" s="2391" t="s">
        <v>766</v>
      </c>
      <c r="B117" s="2391">
        <v>1189</v>
      </c>
      <c r="C117" s="2395">
        <v>0.38</v>
      </c>
      <c r="D117" s="2391">
        <v>315</v>
      </c>
      <c r="E117" s="2395">
        <v>0.41</v>
      </c>
      <c r="F117" s="2395">
        <v>0.26</v>
      </c>
      <c r="G117" s="2391">
        <v>555</v>
      </c>
      <c r="H117" s="2395">
        <v>0.39</v>
      </c>
    </row>
    <row r="118" spans="1:8">
      <c r="A118" s="2391" t="s">
        <v>767</v>
      </c>
      <c r="B118" s="2391">
        <v>1355</v>
      </c>
      <c r="C118" s="2395">
        <v>0.43</v>
      </c>
      <c r="D118" s="2391">
        <v>364</v>
      </c>
      <c r="E118" s="2395">
        <v>0.47</v>
      </c>
      <c r="F118" s="2395">
        <v>0.27</v>
      </c>
      <c r="G118" s="2391">
        <v>644</v>
      </c>
      <c r="H118" s="2395">
        <v>0.45</v>
      </c>
    </row>
    <row r="119" spans="1:8">
      <c r="A119" s="2391" t="s">
        <v>768</v>
      </c>
      <c r="B119" s="2391">
        <v>53</v>
      </c>
      <c r="C119" s="2395">
        <v>0.02</v>
      </c>
      <c r="D119" s="2391">
        <v>4</v>
      </c>
      <c r="E119" s="2395">
        <v>0.01</v>
      </c>
      <c r="F119" s="2395">
        <v>0.08</v>
      </c>
      <c r="G119" s="2391">
        <v>7</v>
      </c>
      <c r="H119" s="2395">
        <v>0</v>
      </c>
    </row>
    <row r="120" spans="1:8">
      <c r="A120" s="2391" t="s">
        <v>769</v>
      </c>
      <c r="B120" s="2391">
        <v>545</v>
      </c>
      <c r="C120" s="2395">
        <v>0.17</v>
      </c>
      <c r="D120" s="2391">
        <v>84</v>
      </c>
      <c r="E120" s="2395">
        <v>0.11</v>
      </c>
      <c r="F120" s="2395">
        <v>0.15</v>
      </c>
      <c r="G120" s="2391">
        <v>214</v>
      </c>
      <c r="H120" s="2395">
        <v>0.15</v>
      </c>
    </row>
    <row r="121" spans="1:8">
      <c r="A121" s="2391" t="s">
        <v>129</v>
      </c>
      <c r="B121" s="2396">
        <v>3142</v>
      </c>
      <c r="C121" s="2391"/>
      <c r="D121" s="2391">
        <v>767</v>
      </c>
      <c r="E121" s="2391"/>
      <c r="F121" s="2391"/>
      <c r="G121" s="2391">
        <v>1420</v>
      </c>
      <c r="H121" s="2391"/>
    </row>
    <row r="122" spans="1:8">
      <c r="A122" s="2397"/>
      <c r="B122" s="2397"/>
      <c r="C122" s="2397"/>
      <c r="D122" s="2397"/>
      <c r="E122" s="2397"/>
      <c r="F122" s="2397"/>
      <c r="G122" s="2397"/>
      <c r="H122" s="2397"/>
    </row>
    <row r="123" spans="1:8">
      <c r="A123" s="2388" t="s">
        <v>960</v>
      </c>
      <c r="B123" s="2388"/>
      <c r="C123" s="2388"/>
      <c r="D123" s="2388"/>
      <c r="E123" s="2388"/>
      <c r="F123" s="2388"/>
      <c r="G123" s="2388"/>
      <c r="H123" s="2388"/>
    </row>
    <row r="124" spans="1:8">
      <c r="A124" s="2385" t="s">
        <v>961</v>
      </c>
      <c r="B124" s="2385"/>
      <c r="C124" s="2385"/>
      <c r="D124" s="2385"/>
      <c r="E124" s="2385"/>
      <c r="F124" s="2385"/>
      <c r="G124" s="2385"/>
      <c r="H124" s="2385"/>
    </row>
    <row r="125" spans="1:8">
      <c r="A125" s="2385" t="s">
        <v>962</v>
      </c>
      <c r="B125" s="2385"/>
      <c r="C125" s="2385"/>
      <c r="D125" s="2385"/>
      <c r="E125" s="2385"/>
      <c r="F125" s="2385"/>
      <c r="G125" s="2385"/>
      <c r="H125" s="2385"/>
    </row>
    <row r="126" spans="1:8">
      <c r="A126" s="2385" t="s">
        <v>963</v>
      </c>
      <c r="B126" s="2385"/>
      <c r="C126" s="2385"/>
      <c r="D126" s="2385"/>
      <c r="E126" s="2385"/>
      <c r="F126" s="2385"/>
      <c r="G126" s="2385"/>
      <c r="H126" s="2385"/>
    </row>
    <row r="127" spans="1:8">
      <c r="A127" s="2384"/>
      <c r="B127" s="2384"/>
      <c r="C127" s="2384"/>
      <c r="D127" s="2384"/>
      <c r="E127" s="2384"/>
      <c r="F127" s="2384"/>
      <c r="G127" s="2384"/>
      <c r="H127" s="2384"/>
    </row>
    <row r="128" spans="1:8" ht="15.75">
      <c r="A128" s="2386" t="s">
        <v>770</v>
      </c>
      <c r="B128" s="2384"/>
      <c r="C128" s="2384"/>
      <c r="D128" s="2384"/>
      <c r="E128" s="2384"/>
      <c r="F128" s="2384"/>
      <c r="G128" s="2384"/>
      <c r="H128" s="2384"/>
    </row>
    <row r="129" spans="1:8">
      <c r="A129" s="2384"/>
      <c r="B129" s="2384"/>
      <c r="C129" s="2384"/>
      <c r="D129" s="2384"/>
      <c r="E129" s="2384"/>
      <c r="F129" s="2384"/>
      <c r="G129" s="2384"/>
      <c r="H129" s="2384"/>
    </row>
    <row r="130" spans="1:8">
      <c r="A130" s="2385" t="s">
        <v>958</v>
      </c>
      <c r="B130" s="2384"/>
      <c r="C130" s="2384"/>
      <c r="D130" s="2384"/>
      <c r="E130" s="2384"/>
      <c r="F130" s="2384"/>
      <c r="G130" s="2384"/>
      <c r="H130" s="2384"/>
    </row>
    <row r="131" spans="1:8">
      <c r="A131" s="2385" t="s">
        <v>959</v>
      </c>
      <c r="B131" s="2384"/>
      <c r="C131" s="2384"/>
      <c r="D131" s="2384"/>
      <c r="E131" s="2384"/>
      <c r="F131" s="2384"/>
      <c r="G131" s="2384"/>
      <c r="H131" s="2384"/>
    </row>
    <row r="132" spans="1:8">
      <c r="A132" s="2384"/>
      <c r="B132" s="2384"/>
      <c r="C132" s="2384"/>
      <c r="D132" s="2384"/>
      <c r="E132" s="2384"/>
      <c r="F132" s="2384"/>
      <c r="G132" s="2384"/>
      <c r="H132" s="2384"/>
    </row>
    <row r="133" spans="1:8">
      <c r="A133" s="2385" t="s">
        <v>955</v>
      </c>
      <c r="B133" s="2384"/>
      <c r="C133" s="2384"/>
      <c r="D133" s="2384"/>
      <c r="E133" s="2384"/>
      <c r="F133" s="2384"/>
      <c r="G133" s="2384"/>
      <c r="H133" s="2384"/>
    </row>
    <row r="134" spans="1:8">
      <c r="A134" s="2385" t="s">
        <v>956</v>
      </c>
      <c r="B134" s="2384"/>
      <c r="C134" s="2384"/>
      <c r="D134" s="2384"/>
      <c r="E134" s="2384"/>
      <c r="F134" s="2384"/>
      <c r="G134" s="2384"/>
      <c r="H134" s="2384"/>
    </row>
    <row r="135" spans="1:8">
      <c r="A135" s="2385" t="s">
        <v>957</v>
      </c>
      <c r="B135" s="2384"/>
      <c r="C135" s="2384"/>
      <c r="D135" s="2384"/>
      <c r="E135" s="2384"/>
      <c r="F135" s="2384"/>
      <c r="G135" s="2384"/>
      <c r="H135" s="2384"/>
    </row>
    <row r="136" spans="1:8">
      <c r="A136" s="2384"/>
      <c r="B136" s="2384"/>
      <c r="C136" s="2384"/>
      <c r="D136" s="2384"/>
      <c r="E136" s="2384"/>
      <c r="F136" s="2384"/>
      <c r="G136" s="2384"/>
      <c r="H136" s="2384"/>
    </row>
    <row r="137" spans="1:8">
      <c r="A137" s="2385" t="s">
        <v>952</v>
      </c>
      <c r="B137" s="2384"/>
      <c r="C137" s="2384"/>
      <c r="D137" s="2384"/>
      <c r="E137" s="2384"/>
      <c r="F137" s="2384"/>
      <c r="G137" s="2384"/>
      <c r="H137" s="2384"/>
    </row>
    <row r="138" spans="1:8">
      <c r="A138" s="2385" t="s">
        <v>953</v>
      </c>
      <c r="B138" s="2384"/>
      <c r="C138" s="2384"/>
      <c r="D138" s="2384"/>
      <c r="E138" s="2384"/>
      <c r="F138" s="2384"/>
      <c r="G138" s="2384"/>
      <c r="H138" s="2384"/>
    </row>
    <row r="139" spans="1:8">
      <c r="A139" s="2385" t="s">
        <v>954</v>
      </c>
      <c r="B139" s="2384"/>
      <c r="C139" s="2384"/>
      <c r="D139" s="2384"/>
      <c r="E139" s="2384"/>
      <c r="F139" s="2384"/>
      <c r="G139" s="2384"/>
      <c r="H139" s="2384"/>
    </row>
    <row r="140" spans="1:8">
      <c r="A140" s="2384"/>
      <c r="B140" s="2384"/>
      <c r="C140" s="2384"/>
      <c r="D140" s="2384"/>
      <c r="E140" s="2384"/>
      <c r="F140" s="2384"/>
      <c r="G140" s="2384"/>
      <c r="H140" s="2384"/>
    </row>
    <row r="141" spans="1:8">
      <c r="A141" s="2385" t="s">
        <v>949</v>
      </c>
      <c r="B141" s="2384"/>
      <c r="C141" s="2384"/>
      <c r="D141" s="2384"/>
      <c r="E141" s="2384"/>
      <c r="F141" s="2384"/>
      <c r="G141" s="2384"/>
      <c r="H141" s="2384"/>
    </row>
    <row r="142" spans="1:8">
      <c r="A142" s="2385" t="s">
        <v>950</v>
      </c>
      <c r="B142" s="2384"/>
      <c r="C142" s="2384"/>
      <c r="D142" s="2384"/>
      <c r="E142" s="2384"/>
      <c r="F142" s="2384"/>
      <c r="G142" s="2384"/>
      <c r="H142" s="2384"/>
    </row>
    <row r="143" spans="1:8">
      <c r="A143" s="2385" t="s">
        <v>951</v>
      </c>
      <c r="B143" s="2384"/>
      <c r="C143" s="2384"/>
      <c r="D143" s="2384"/>
      <c r="E143" s="2384"/>
      <c r="F143" s="2384"/>
      <c r="G143" s="2384"/>
      <c r="H143" s="2384"/>
    </row>
    <row r="144" spans="1:8">
      <c r="A144" s="2384"/>
      <c r="B144" s="2384"/>
      <c r="C144" s="2384"/>
      <c r="D144" s="2384"/>
      <c r="E144" s="2384"/>
      <c r="F144" s="2384"/>
      <c r="G144" s="2384"/>
      <c r="H144" s="2384"/>
    </row>
    <row r="145" spans="1:8">
      <c r="A145" s="2385" t="s">
        <v>947</v>
      </c>
      <c r="B145" s="2384"/>
      <c r="C145" s="2384"/>
      <c r="D145" s="2384"/>
      <c r="E145" s="2384"/>
      <c r="F145" s="2384"/>
      <c r="G145" s="2384"/>
      <c r="H145" s="2384"/>
    </row>
    <row r="146" spans="1:8">
      <c r="A146" s="2385" t="s">
        <v>948</v>
      </c>
      <c r="B146" s="2384"/>
      <c r="C146" s="2384"/>
      <c r="D146" s="2384"/>
      <c r="E146" s="2384"/>
      <c r="F146" s="2384"/>
      <c r="G146" s="2384"/>
      <c r="H146" s="2384"/>
    </row>
    <row r="147" spans="1:8">
      <c r="A147" s="2384"/>
      <c r="B147" s="2384"/>
      <c r="C147" s="2384"/>
      <c r="D147" s="2384"/>
      <c r="E147" s="2384"/>
      <c r="F147" s="2384"/>
      <c r="G147" s="2384"/>
      <c r="H147" s="2384"/>
    </row>
    <row r="148" spans="1:8" ht="15.75">
      <c r="A148" s="2386" t="s">
        <v>771</v>
      </c>
      <c r="B148" s="2384"/>
      <c r="C148" s="2384"/>
      <c r="D148" s="2384"/>
      <c r="E148" s="2384"/>
      <c r="F148" s="2384"/>
      <c r="G148" s="2384"/>
      <c r="H148" s="2384"/>
    </row>
    <row r="149" spans="1:8">
      <c r="A149" s="2384"/>
      <c r="B149" s="2384"/>
      <c r="C149" s="2384"/>
      <c r="D149" s="2384"/>
      <c r="E149" s="2384"/>
      <c r="F149" s="2384"/>
      <c r="G149" s="2384"/>
      <c r="H149" s="2384"/>
    </row>
    <row r="150" spans="1:8">
      <c r="A150" s="2385" t="s">
        <v>945</v>
      </c>
      <c r="B150" s="2384"/>
      <c r="C150" s="2384"/>
      <c r="D150" s="2384"/>
      <c r="E150" s="2384"/>
      <c r="F150" s="2384"/>
      <c r="G150" s="2384"/>
      <c r="H150" s="2384"/>
    </row>
    <row r="151" spans="1:8">
      <c r="A151" s="2385" t="s">
        <v>946</v>
      </c>
      <c r="B151" s="2384"/>
      <c r="C151" s="2384"/>
      <c r="D151" s="2384"/>
      <c r="E151" s="2384"/>
      <c r="F151" s="2384"/>
      <c r="G151" s="2384"/>
      <c r="H151" s="2384"/>
    </row>
    <row r="152" spans="1:8">
      <c r="A152" s="2384"/>
      <c r="B152" s="2384"/>
      <c r="C152" s="2384"/>
      <c r="D152" s="2384"/>
      <c r="E152" s="2384"/>
      <c r="F152" s="2384"/>
      <c r="G152" s="2384"/>
      <c r="H152" s="2384"/>
    </row>
    <row r="153" spans="1:8">
      <c r="A153" s="2385" t="s">
        <v>943</v>
      </c>
      <c r="B153" s="2384"/>
      <c r="C153" s="2384"/>
      <c r="D153" s="2384"/>
      <c r="E153" s="2384"/>
      <c r="F153" s="2384"/>
      <c r="G153" s="2384"/>
      <c r="H153" s="2384"/>
    </row>
    <row r="154" spans="1:8">
      <c r="A154" s="2385" t="s">
        <v>944</v>
      </c>
      <c r="B154" s="2384"/>
      <c r="C154" s="2384"/>
      <c r="D154" s="2384"/>
      <c r="E154" s="2384"/>
      <c r="F154" s="2384"/>
      <c r="G154" s="2384"/>
      <c r="H154" s="2384"/>
    </row>
    <row r="155" spans="1:8">
      <c r="A155" s="2384"/>
      <c r="B155" s="2384"/>
      <c r="C155" s="2384"/>
      <c r="D155" s="2384"/>
      <c r="E155" s="2384"/>
      <c r="F155" s="2384"/>
      <c r="G155" s="2384"/>
      <c r="H155" s="2384"/>
    </row>
    <row r="156" spans="1:8">
      <c r="A156" s="2385" t="s">
        <v>941</v>
      </c>
      <c r="B156" s="2384"/>
      <c r="C156" s="2384"/>
      <c r="D156" s="2384"/>
      <c r="E156" s="2384"/>
      <c r="F156" s="2384"/>
      <c r="G156" s="2384"/>
      <c r="H156" s="2384"/>
    </row>
    <row r="157" spans="1:8">
      <c r="A157" s="2385" t="s">
        <v>942</v>
      </c>
      <c r="B157" s="2384"/>
      <c r="C157" s="2384"/>
      <c r="D157" s="2384"/>
      <c r="E157" s="2384"/>
      <c r="F157" s="2384"/>
      <c r="G157" s="2384"/>
      <c r="H157" s="2384"/>
    </row>
    <row r="158" spans="1:8">
      <c r="A158" s="2384"/>
      <c r="B158" s="2384"/>
      <c r="C158" s="2384"/>
      <c r="D158" s="2384"/>
      <c r="E158" s="2384"/>
      <c r="F158" s="2384"/>
      <c r="G158" s="2384"/>
      <c r="H158" s="2384"/>
    </row>
    <row r="159" spans="1:8">
      <c r="A159" s="2385" t="s">
        <v>938</v>
      </c>
      <c r="B159" s="2384"/>
      <c r="C159" s="2384"/>
      <c r="D159" s="2384"/>
      <c r="E159" s="2384"/>
      <c r="F159" s="2384"/>
      <c r="G159" s="2384"/>
      <c r="H159" s="2384"/>
    </row>
    <row r="160" spans="1:8">
      <c r="A160" s="2385" t="s">
        <v>939</v>
      </c>
      <c r="B160" s="2384"/>
      <c r="C160" s="2384"/>
      <c r="D160" s="2384"/>
      <c r="E160" s="2384"/>
      <c r="F160" s="2384"/>
      <c r="G160" s="2384"/>
      <c r="H160" s="2384"/>
    </row>
    <row r="161" spans="1:8">
      <c r="A161" s="2385" t="s">
        <v>940</v>
      </c>
      <c r="B161" s="2384"/>
      <c r="C161" s="2384"/>
      <c r="D161" s="2384"/>
      <c r="E161" s="2384"/>
      <c r="F161" s="2384"/>
      <c r="G161" s="2384"/>
      <c r="H161" s="2384"/>
    </row>
    <row r="162" spans="1:8">
      <c r="A162" s="2384"/>
      <c r="B162" s="2384"/>
      <c r="C162" s="2384"/>
      <c r="D162" s="2384"/>
      <c r="E162" s="2384"/>
      <c r="F162" s="2384"/>
      <c r="G162" s="2384"/>
      <c r="H162" s="2384"/>
    </row>
    <row r="163" spans="1:8">
      <c r="A163" s="2384"/>
      <c r="B163" s="2384"/>
      <c r="C163" s="2384"/>
      <c r="D163" s="2384"/>
      <c r="E163" s="2384"/>
      <c r="F163" s="2384"/>
      <c r="G163" s="2384"/>
      <c r="H163" s="2384"/>
    </row>
    <row r="164" spans="1:8">
      <c r="A164" s="2385" t="s">
        <v>772</v>
      </c>
      <c r="B164" s="2384"/>
      <c r="C164" s="2384"/>
      <c r="D164" s="2384"/>
      <c r="E164" s="2384"/>
      <c r="F164" s="2384"/>
      <c r="G164" s="2384"/>
      <c r="H164" s="2384"/>
    </row>
    <row r="165" spans="1:8">
      <c r="A165" s="2384"/>
      <c r="B165" s="2384"/>
      <c r="C165" s="2384"/>
      <c r="D165" s="2384"/>
      <c r="E165" s="2384"/>
      <c r="F165" s="2384"/>
      <c r="G165" s="2384"/>
      <c r="H165" s="2384"/>
    </row>
    <row r="166" spans="1:8" ht="15.75">
      <c r="A166" s="2386" t="s">
        <v>773</v>
      </c>
      <c r="B166" s="2384"/>
      <c r="C166" s="2384"/>
      <c r="D166" s="2384"/>
      <c r="E166" s="2384"/>
      <c r="F166" s="2384"/>
      <c r="G166" s="2384"/>
      <c r="H166" s="2384"/>
    </row>
    <row r="167" spans="1:8">
      <c r="A167" s="2384"/>
      <c r="B167" s="2384"/>
      <c r="C167" s="2384"/>
      <c r="D167" s="2384"/>
      <c r="E167" s="2384"/>
      <c r="F167" s="2384"/>
      <c r="G167" s="2384"/>
      <c r="H167" s="2384"/>
    </row>
    <row r="168" spans="1:8">
      <c r="A168" s="2384"/>
      <c r="B168" s="2384"/>
      <c r="C168" s="2384"/>
      <c r="D168" s="2384"/>
      <c r="E168" s="2384"/>
      <c r="F168" s="2384"/>
      <c r="G168" s="2384"/>
      <c r="H168" s="2384"/>
    </row>
    <row r="169" spans="1:8">
      <c r="A169" s="2384"/>
      <c r="B169" s="2384"/>
      <c r="C169" s="2384"/>
      <c r="D169" s="2384"/>
      <c r="E169" s="2384"/>
      <c r="F169" s="2384"/>
      <c r="G169" s="2384"/>
      <c r="H169" s="2384"/>
    </row>
    <row r="170" spans="1:8">
      <c r="A170" s="2384"/>
      <c r="B170" s="2384"/>
      <c r="C170" s="2384"/>
      <c r="D170" s="2384"/>
      <c r="E170" s="2384"/>
      <c r="F170" s="2384"/>
      <c r="G170" s="2384"/>
      <c r="H170" s="2384"/>
    </row>
    <row r="171" spans="1:8">
      <c r="A171" s="2384"/>
      <c r="B171" s="2384"/>
      <c r="C171" s="2384"/>
      <c r="D171" s="2384"/>
      <c r="E171" s="2384"/>
      <c r="F171" s="2384"/>
      <c r="G171" s="2384"/>
      <c r="H171" s="2384"/>
    </row>
    <row r="172" spans="1:8">
      <c r="A172" s="2384"/>
      <c r="B172" s="2384"/>
      <c r="C172" s="2384"/>
      <c r="D172" s="2384"/>
      <c r="E172" s="2384"/>
      <c r="F172" s="2384"/>
      <c r="G172" s="2384"/>
      <c r="H172" s="2384"/>
    </row>
    <row r="173" spans="1:8">
      <c r="A173" s="2384"/>
      <c r="B173" s="2384"/>
      <c r="C173" s="2384"/>
      <c r="D173" s="2384"/>
      <c r="E173" s="2384"/>
      <c r="F173" s="2384"/>
      <c r="G173" s="2384"/>
      <c r="H173" s="2384"/>
    </row>
    <row r="174" spans="1:8">
      <c r="A174" s="2384"/>
      <c r="B174" s="2384"/>
      <c r="C174" s="2384"/>
      <c r="D174" s="2384"/>
      <c r="E174" s="2384"/>
      <c r="F174" s="2384"/>
      <c r="G174" s="2384"/>
      <c r="H174" s="2384"/>
    </row>
    <row r="175" spans="1:8">
      <c r="A175" s="2384"/>
      <c r="B175" s="2384"/>
      <c r="C175" s="2384"/>
      <c r="D175" s="2384"/>
      <c r="E175" s="2384"/>
      <c r="F175" s="2384"/>
      <c r="G175" s="2384"/>
      <c r="H175" s="2384"/>
    </row>
    <row r="176" spans="1:8">
      <c r="A176" s="2384"/>
      <c r="B176" s="2384"/>
      <c r="C176" s="2384"/>
      <c r="D176" s="2384"/>
      <c r="E176" s="2384"/>
      <c r="F176" s="2384"/>
      <c r="G176" s="2384"/>
      <c r="H176" s="2384"/>
    </row>
    <row r="177" spans="1:8">
      <c r="A177" s="2384"/>
      <c r="B177" s="2384"/>
      <c r="C177" s="2384"/>
      <c r="D177" s="2384"/>
      <c r="E177" s="2384"/>
      <c r="F177" s="2384"/>
      <c r="G177" s="2384"/>
      <c r="H177" s="2384"/>
    </row>
    <row r="178" spans="1:8">
      <c r="A178" s="2384"/>
      <c r="B178" s="2384"/>
      <c r="C178" s="2384"/>
      <c r="D178" s="2384"/>
      <c r="E178" s="2384"/>
      <c r="F178" s="2384"/>
      <c r="G178" s="2384"/>
      <c r="H178" s="2384"/>
    </row>
    <row r="179" spans="1:8">
      <c r="A179" s="2384"/>
      <c r="B179" s="2384"/>
      <c r="C179" s="2384"/>
      <c r="D179" s="2384"/>
      <c r="E179" s="2384"/>
      <c r="F179" s="2384"/>
      <c r="G179" s="2384"/>
      <c r="H179" s="2384"/>
    </row>
    <row r="180" spans="1:8">
      <c r="A180" s="2384"/>
      <c r="B180" s="2384"/>
      <c r="C180" s="2384"/>
      <c r="D180" s="2384"/>
      <c r="E180" s="2384"/>
      <c r="F180" s="2384"/>
      <c r="G180" s="2384"/>
      <c r="H180" s="2384"/>
    </row>
    <row r="181" spans="1:8">
      <c r="A181" s="2384"/>
      <c r="B181" s="2384"/>
      <c r="C181" s="2384"/>
      <c r="D181" s="2384"/>
      <c r="E181" s="2384"/>
      <c r="F181" s="2384"/>
      <c r="G181" s="2384"/>
      <c r="H181" s="2384"/>
    </row>
    <row r="182" spans="1:8">
      <c r="A182" s="2384"/>
      <c r="B182" s="2384"/>
      <c r="C182" s="2384"/>
      <c r="D182" s="2384"/>
      <c r="E182" s="2384"/>
      <c r="F182" s="2384"/>
      <c r="G182" s="2384"/>
      <c r="H182" s="2384"/>
    </row>
    <row r="183" spans="1:8">
      <c r="A183" s="2384"/>
      <c r="B183" s="2384"/>
      <c r="C183" s="2384"/>
      <c r="D183" s="2384"/>
      <c r="E183" s="2384"/>
      <c r="F183" s="2384"/>
      <c r="G183" s="2384"/>
      <c r="H183" s="2384"/>
    </row>
    <row r="184" spans="1:8">
      <c r="A184" s="2384"/>
      <c r="B184" s="2384"/>
      <c r="C184" s="2384"/>
      <c r="D184" s="2384"/>
      <c r="E184" s="2384"/>
      <c r="F184" s="2384"/>
      <c r="G184" s="2384"/>
      <c r="H184" s="2384"/>
    </row>
    <row r="185" spans="1:8">
      <c r="A185" s="2384"/>
      <c r="B185" s="2384"/>
      <c r="C185" s="2384"/>
      <c r="D185" s="2384"/>
      <c r="E185" s="2384"/>
      <c r="F185" s="2384"/>
      <c r="G185" s="2384"/>
      <c r="H185" s="2384"/>
    </row>
    <row r="186" spans="1:8">
      <c r="A186" s="2384"/>
      <c r="B186" s="2384"/>
      <c r="C186" s="2384"/>
      <c r="D186" s="2384"/>
      <c r="E186" s="2384"/>
      <c r="F186" s="2384"/>
      <c r="G186" s="2384"/>
      <c r="H186" s="2384"/>
    </row>
    <row r="187" spans="1:8">
      <c r="A187" s="2384"/>
      <c r="B187" s="2384"/>
      <c r="C187" s="2384"/>
      <c r="D187" s="2384"/>
      <c r="E187" s="2384"/>
      <c r="F187" s="2384"/>
      <c r="G187" s="2384"/>
      <c r="H187" s="2384"/>
    </row>
    <row r="188" spans="1:8">
      <c r="A188" s="2384"/>
      <c r="B188" s="2384"/>
      <c r="C188" s="2384"/>
      <c r="D188" s="2384"/>
      <c r="E188" s="2384"/>
      <c r="F188" s="2384"/>
      <c r="G188" s="2384"/>
      <c r="H188" s="2384"/>
    </row>
    <row r="189" spans="1:8">
      <c r="A189" s="2384"/>
      <c r="B189" s="2384"/>
      <c r="C189" s="2384"/>
      <c r="D189" s="2384"/>
      <c r="E189" s="2384"/>
      <c r="F189" s="2384"/>
      <c r="G189" s="2384"/>
      <c r="H189" s="2384"/>
    </row>
    <row r="190" spans="1:8">
      <c r="A190" s="2384"/>
      <c r="B190" s="2384"/>
      <c r="C190" s="2384"/>
      <c r="D190" s="2384"/>
      <c r="E190" s="2384"/>
      <c r="F190" s="2384"/>
      <c r="G190" s="2384"/>
      <c r="H190" s="2384"/>
    </row>
    <row r="191" spans="1:8">
      <c r="A191" s="2384"/>
      <c r="B191" s="2384"/>
      <c r="C191" s="2384"/>
      <c r="D191" s="2384"/>
      <c r="E191" s="2384"/>
      <c r="F191" s="2384"/>
      <c r="G191" s="2384"/>
      <c r="H191" s="2384"/>
    </row>
    <row r="192" spans="1:8">
      <c r="A192" s="2384"/>
      <c r="B192" s="2384"/>
      <c r="C192" s="2384"/>
      <c r="D192" s="2384"/>
      <c r="E192" s="2384"/>
      <c r="F192" s="2384"/>
      <c r="G192" s="2384"/>
      <c r="H192" s="2384"/>
    </row>
    <row r="193" spans="1:8" ht="15.75">
      <c r="A193" s="2386" t="s">
        <v>774</v>
      </c>
      <c r="B193" s="2384"/>
      <c r="C193" s="2384"/>
      <c r="D193" s="2384"/>
      <c r="E193" s="2384"/>
      <c r="F193" s="2384"/>
      <c r="G193" s="2384"/>
      <c r="H193" s="2384"/>
    </row>
    <row r="194" spans="1:8">
      <c r="A194" s="2384"/>
      <c r="B194" s="2384"/>
      <c r="C194" s="2384"/>
      <c r="D194" s="2384"/>
      <c r="E194" s="2384"/>
      <c r="F194" s="2384"/>
      <c r="G194" s="2384"/>
      <c r="H194" s="2384"/>
    </row>
    <row r="195" spans="1:8">
      <c r="A195" s="2385" t="s">
        <v>933</v>
      </c>
      <c r="B195" s="2384"/>
      <c r="C195" s="2384"/>
      <c r="D195" s="2384"/>
      <c r="E195" s="2384"/>
      <c r="F195" s="2384"/>
      <c r="G195" s="2384"/>
      <c r="H195" s="2384"/>
    </row>
    <row r="196" spans="1:8">
      <c r="A196" s="2385" t="s">
        <v>934</v>
      </c>
      <c r="B196" s="2384"/>
      <c r="C196" s="2384"/>
      <c r="D196" s="2384"/>
      <c r="E196" s="2384"/>
      <c r="F196" s="2384"/>
      <c r="G196" s="2384"/>
      <c r="H196" s="2384"/>
    </row>
    <row r="197" spans="1:8">
      <c r="A197" s="2385" t="s">
        <v>935</v>
      </c>
      <c r="B197" s="2384"/>
      <c r="C197" s="2384"/>
      <c r="D197" s="2384"/>
      <c r="E197" s="2384"/>
      <c r="F197" s="2384"/>
      <c r="G197" s="2384"/>
      <c r="H197" s="2384"/>
    </row>
    <row r="198" spans="1:8">
      <c r="A198" s="2385" t="s">
        <v>936</v>
      </c>
      <c r="B198" s="2384"/>
      <c r="C198" s="2384"/>
      <c r="D198" s="2384"/>
      <c r="E198" s="2384"/>
      <c r="F198" s="2384"/>
      <c r="G198" s="2384"/>
      <c r="H198" s="2384"/>
    </row>
    <row r="199" spans="1:8">
      <c r="A199" s="2385" t="s">
        <v>937</v>
      </c>
      <c r="B199" s="2384"/>
      <c r="C199" s="2384"/>
      <c r="D199" s="2384"/>
      <c r="E199" s="2384"/>
      <c r="F199" s="2384"/>
      <c r="G199" s="2384"/>
      <c r="H199" s="2384"/>
    </row>
    <row r="200" spans="1:8">
      <c r="A200" s="2384"/>
      <c r="B200" s="2384"/>
      <c r="C200" s="2384"/>
      <c r="D200" s="2384"/>
      <c r="E200" s="2384"/>
      <c r="F200" s="2384"/>
      <c r="G200" s="2384"/>
      <c r="H200" s="2384"/>
    </row>
    <row r="201" spans="1:8">
      <c r="A201" s="2385" t="s">
        <v>930</v>
      </c>
      <c r="B201" s="2384"/>
      <c r="C201" s="2384"/>
      <c r="D201" s="2384"/>
      <c r="E201" s="2384"/>
      <c r="F201" s="2384"/>
      <c r="G201" s="2384"/>
      <c r="H201" s="2384"/>
    </row>
    <row r="202" spans="1:8">
      <c r="A202" s="2385" t="s">
        <v>931</v>
      </c>
      <c r="B202" s="2384"/>
      <c r="C202" s="2384"/>
      <c r="D202" s="2384"/>
      <c r="E202" s="2384"/>
      <c r="F202" s="2384"/>
      <c r="G202" s="2384"/>
      <c r="H202" s="2384"/>
    </row>
    <row r="203" spans="1:8">
      <c r="A203" s="2385" t="s">
        <v>932</v>
      </c>
      <c r="B203" s="2384"/>
      <c r="C203" s="2384"/>
      <c r="D203" s="2384"/>
      <c r="E203" s="2384"/>
      <c r="F203" s="2384"/>
      <c r="G203" s="2384"/>
      <c r="H203" s="2384"/>
    </row>
    <row r="204" spans="1:8" ht="15.75">
      <c r="A204" s="2386" t="s">
        <v>775</v>
      </c>
      <c r="B204" s="2384"/>
      <c r="C204" s="2384"/>
      <c r="D204" s="2384"/>
      <c r="E204" s="2384"/>
      <c r="F204" s="2384"/>
      <c r="G204" s="2384"/>
      <c r="H204" s="2384"/>
    </row>
    <row r="205" spans="1:8">
      <c r="A205" s="2384"/>
      <c r="B205" s="2384"/>
      <c r="C205" s="2384"/>
      <c r="D205" s="2384"/>
      <c r="E205" s="2384"/>
      <c r="F205" s="2384"/>
      <c r="G205" s="2384"/>
      <c r="H205" s="2384"/>
    </row>
    <row r="206" spans="1:8">
      <c r="A206" s="2385" t="s">
        <v>923</v>
      </c>
      <c r="B206" s="2384"/>
      <c r="C206" s="2384"/>
      <c r="D206" s="2384"/>
      <c r="E206" s="2384"/>
      <c r="F206" s="2384"/>
      <c r="G206" s="2384"/>
      <c r="H206" s="2384"/>
    </row>
    <row r="207" spans="1:8">
      <c r="A207" s="2385" t="s">
        <v>924</v>
      </c>
      <c r="B207" s="2384"/>
      <c r="C207" s="2384"/>
      <c r="D207" s="2384"/>
      <c r="E207" s="2384"/>
      <c r="F207" s="2384"/>
      <c r="G207" s="2384"/>
      <c r="H207" s="2384"/>
    </row>
    <row r="208" spans="1:8">
      <c r="A208" s="2385" t="s">
        <v>925</v>
      </c>
      <c r="B208" s="2384"/>
      <c r="C208" s="2384"/>
      <c r="D208" s="2384"/>
      <c r="E208" s="2384"/>
      <c r="F208" s="2384"/>
      <c r="G208" s="2384"/>
      <c r="H208" s="2384"/>
    </row>
    <row r="209" spans="1:8">
      <c r="A209" s="2385" t="s">
        <v>926</v>
      </c>
      <c r="B209" s="2384"/>
      <c r="C209" s="2384"/>
      <c r="D209" s="2384"/>
      <c r="E209" s="2384"/>
      <c r="F209" s="2384"/>
      <c r="G209" s="2384"/>
      <c r="H209" s="2384"/>
    </row>
    <row r="210" spans="1:8">
      <c r="A210" s="2385" t="s">
        <v>927</v>
      </c>
      <c r="B210" s="2384"/>
      <c r="C210" s="2384"/>
      <c r="D210" s="2384"/>
      <c r="E210" s="2384"/>
      <c r="F210" s="2384"/>
      <c r="G210" s="2384"/>
      <c r="H210" s="2384"/>
    </row>
    <row r="211" spans="1:8">
      <c r="A211" s="2385" t="s">
        <v>928</v>
      </c>
      <c r="B211" s="2384"/>
      <c r="C211" s="2384"/>
      <c r="D211" s="2384"/>
      <c r="E211" s="2384"/>
      <c r="F211" s="2384"/>
      <c r="G211" s="2384"/>
      <c r="H211" s="2384"/>
    </row>
    <row r="212" spans="1:8">
      <c r="A212" s="2385" t="s">
        <v>929</v>
      </c>
      <c r="B212" s="2384"/>
      <c r="C212" s="2384"/>
      <c r="D212" s="2384"/>
      <c r="E212" s="2384"/>
      <c r="F212" s="2384"/>
      <c r="G212" s="2384"/>
      <c r="H212" s="2384"/>
    </row>
    <row r="213" spans="1:8">
      <c r="A213" s="2384"/>
      <c r="B213" s="2384"/>
      <c r="C213" s="2384"/>
      <c r="D213" s="2384"/>
      <c r="E213" s="2384"/>
      <c r="F213" s="2384"/>
      <c r="G213" s="2384"/>
      <c r="H213" s="2384"/>
    </row>
    <row r="214" spans="1:8">
      <c r="A214" s="2385" t="s">
        <v>920</v>
      </c>
      <c r="B214" s="2384"/>
      <c r="C214" s="2384"/>
      <c r="D214" s="2384"/>
      <c r="E214" s="2384"/>
      <c r="F214" s="2384"/>
      <c r="G214" s="2384"/>
      <c r="H214" s="2384"/>
    </row>
    <row r="215" spans="1:8">
      <c r="A215" s="2385" t="s">
        <v>921</v>
      </c>
      <c r="B215" s="2384"/>
      <c r="C215" s="2384"/>
      <c r="D215" s="2384"/>
      <c r="E215" s="2384"/>
      <c r="F215" s="2384"/>
      <c r="G215" s="2384"/>
      <c r="H215" s="2384"/>
    </row>
    <row r="216" spans="1:8">
      <c r="A216" s="2385" t="s">
        <v>922</v>
      </c>
      <c r="B216" s="2384"/>
      <c r="C216" s="2384"/>
      <c r="D216" s="2384"/>
      <c r="E216" s="2384"/>
      <c r="F216" s="2384"/>
      <c r="G216" s="2384"/>
      <c r="H216" s="2384"/>
    </row>
    <row r="217" spans="1:8">
      <c r="A217" s="2384"/>
      <c r="B217" s="2384"/>
      <c r="C217" s="2384"/>
      <c r="D217" s="2384"/>
      <c r="E217" s="2384"/>
      <c r="F217" s="2384"/>
      <c r="G217" s="2384"/>
      <c r="H217" s="2384"/>
    </row>
    <row r="218" spans="1:8">
      <c r="A218" s="2385" t="s">
        <v>915</v>
      </c>
      <c r="B218" s="2384"/>
      <c r="C218" s="2384"/>
      <c r="D218" s="2384"/>
      <c r="E218" s="2384"/>
      <c r="F218" s="2384"/>
      <c r="G218" s="2384"/>
      <c r="H218" s="2384"/>
    </row>
    <row r="219" spans="1:8">
      <c r="A219" s="2385" t="s">
        <v>916</v>
      </c>
      <c r="B219" s="2384"/>
      <c r="C219" s="2384"/>
      <c r="D219" s="2384"/>
      <c r="E219" s="2384"/>
      <c r="F219" s="2384"/>
      <c r="G219" s="2384"/>
      <c r="H219" s="2384"/>
    </row>
    <row r="220" spans="1:8">
      <c r="A220" s="2385" t="s">
        <v>917</v>
      </c>
      <c r="B220" s="2384"/>
      <c r="C220" s="2384"/>
      <c r="D220" s="2384"/>
      <c r="E220" s="2384"/>
      <c r="F220" s="2384"/>
      <c r="G220" s="2384"/>
      <c r="H220" s="2384"/>
    </row>
    <row r="221" spans="1:8">
      <c r="A221" s="2385" t="s">
        <v>918</v>
      </c>
      <c r="B221" s="2384"/>
      <c r="C221" s="2384"/>
      <c r="D221" s="2384"/>
      <c r="E221" s="2384"/>
      <c r="F221" s="2384"/>
      <c r="G221" s="2384"/>
      <c r="H221" s="2384"/>
    </row>
    <row r="222" spans="1:8">
      <c r="A222" s="2385" t="s">
        <v>919</v>
      </c>
      <c r="B222" s="2384"/>
      <c r="C222" s="2384"/>
      <c r="D222" s="2384"/>
      <c r="E222" s="2384"/>
      <c r="F222" s="2384"/>
      <c r="G222" s="2384"/>
      <c r="H222" s="2384"/>
    </row>
    <row r="223" spans="1:8">
      <c r="A223" s="2384"/>
      <c r="B223" s="2384"/>
      <c r="C223" s="2384"/>
      <c r="D223" s="2384"/>
      <c r="E223" s="2384"/>
      <c r="F223" s="2384"/>
      <c r="G223" s="2384"/>
      <c r="H223" s="2384"/>
    </row>
    <row r="224" spans="1:8">
      <c r="A224" s="2385" t="s">
        <v>909</v>
      </c>
      <c r="B224" s="2384"/>
      <c r="C224" s="2384"/>
      <c r="D224" s="2384"/>
      <c r="E224" s="2384"/>
      <c r="F224" s="2384"/>
      <c r="G224" s="2384"/>
      <c r="H224" s="2384"/>
    </row>
    <row r="225" spans="1:8">
      <c r="A225" s="2385" t="s">
        <v>910</v>
      </c>
      <c r="B225" s="2384"/>
      <c r="C225" s="2384"/>
      <c r="D225" s="2384"/>
      <c r="E225" s="2384"/>
      <c r="F225" s="2384"/>
      <c r="G225" s="2384"/>
      <c r="H225" s="2384"/>
    </row>
    <row r="226" spans="1:8">
      <c r="A226" s="2385" t="s">
        <v>911</v>
      </c>
      <c r="B226" s="2384"/>
      <c r="C226" s="2384"/>
      <c r="D226" s="2384"/>
      <c r="E226" s="2384"/>
      <c r="F226" s="2384"/>
      <c r="G226" s="2384"/>
      <c r="H226" s="2384"/>
    </row>
    <row r="227" spans="1:8">
      <c r="A227" s="2385" t="s">
        <v>912</v>
      </c>
      <c r="B227" s="2384"/>
      <c r="C227" s="2384"/>
      <c r="D227" s="2384"/>
      <c r="E227" s="2384"/>
      <c r="F227" s="2384"/>
      <c r="G227" s="2384"/>
      <c r="H227" s="2384"/>
    </row>
    <row r="228" spans="1:8">
      <c r="A228" s="2385" t="s">
        <v>913</v>
      </c>
      <c r="B228" s="2384"/>
      <c r="C228" s="2384"/>
      <c r="D228" s="2384"/>
      <c r="E228" s="2384"/>
      <c r="F228" s="2384"/>
      <c r="G228" s="2384"/>
      <c r="H228" s="2384"/>
    </row>
    <row r="229" spans="1:8">
      <c r="A229" s="2385" t="s">
        <v>914</v>
      </c>
      <c r="B229" s="2384"/>
      <c r="C229" s="2384"/>
      <c r="D229" s="2384"/>
      <c r="E229" s="2384"/>
      <c r="F229" s="2384"/>
      <c r="G229" s="2384"/>
      <c r="H229" s="2384"/>
    </row>
    <row r="230" spans="1:8">
      <c r="A230" s="2384"/>
      <c r="B230" s="2384"/>
      <c r="C230" s="2384"/>
      <c r="D230" s="2384"/>
      <c r="E230" s="2384"/>
      <c r="F230" s="2384"/>
      <c r="G230" s="2384"/>
      <c r="H230" s="2384"/>
    </row>
    <row r="231" spans="1:8">
      <c r="A231" s="2385" t="s">
        <v>899</v>
      </c>
      <c r="B231" s="2384"/>
      <c r="C231" s="2384"/>
      <c r="D231" s="2384"/>
      <c r="E231" s="2384"/>
      <c r="F231" s="2384"/>
      <c r="G231" s="2384"/>
      <c r="H231" s="2384"/>
    </row>
    <row r="232" spans="1:8">
      <c r="A232" s="2385" t="s">
        <v>900</v>
      </c>
      <c r="B232" s="2384"/>
      <c r="C232" s="2384"/>
      <c r="D232" s="2384"/>
      <c r="E232" s="2384"/>
      <c r="F232" s="2384"/>
      <c r="G232" s="2384"/>
      <c r="H232" s="2384"/>
    </row>
    <row r="233" spans="1:8">
      <c r="A233" s="2385" t="s">
        <v>901</v>
      </c>
      <c r="B233" s="2384"/>
      <c r="C233" s="2384"/>
      <c r="D233" s="2384"/>
      <c r="E233" s="2384"/>
      <c r="F233" s="2384"/>
      <c r="G233" s="2384"/>
      <c r="H233" s="2384"/>
    </row>
    <row r="234" spans="1:8">
      <c r="A234" s="2385" t="s">
        <v>902</v>
      </c>
      <c r="B234" s="2384"/>
      <c r="C234" s="2384"/>
      <c r="D234" s="2384"/>
      <c r="E234" s="2384"/>
      <c r="F234" s="2384"/>
      <c r="G234" s="2384"/>
      <c r="H234" s="2384"/>
    </row>
    <row r="235" spans="1:8">
      <c r="A235" s="2385" t="s">
        <v>903</v>
      </c>
      <c r="B235" s="2384"/>
      <c r="C235" s="2384"/>
      <c r="D235" s="2384"/>
      <c r="E235" s="2384"/>
      <c r="F235" s="2384"/>
      <c r="G235" s="2384"/>
      <c r="H235" s="2384"/>
    </row>
    <row r="236" spans="1:8">
      <c r="A236" s="2385" t="s">
        <v>904</v>
      </c>
      <c r="B236" s="2384"/>
      <c r="C236" s="2384"/>
      <c r="D236" s="2384"/>
      <c r="E236" s="2384"/>
      <c r="F236" s="2384"/>
      <c r="G236" s="2384"/>
      <c r="H236" s="2384"/>
    </row>
    <row r="237" spans="1:8">
      <c r="A237" s="2385" t="s">
        <v>905</v>
      </c>
      <c r="B237" s="2384"/>
      <c r="C237" s="2384"/>
      <c r="D237" s="2384"/>
      <c r="E237" s="2384"/>
      <c r="F237" s="2384"/>
      <c r="G237" s="2384"/>
      <c r="H237" s="2384"/>
    </row>
    <row r="238" spans="1:8">
      <c r="A238" s="2385" t="s">
        <v>906</v>
      </c>
      <c r="B238" s="2384"/>
      <c r="C238" s="2384"/>
      <c r="D238" s="2384"/>
      <c r="E238" s="2384"/>
      <c r="F238" s="2384"/>
      <c r="G238" s="2384"/>
      <c r="H238" s="2384"/>
    </row>
    <row r="239" spans="1:8">
      <c r="A239" s="2385" t="s">
        <v>907</v>
      </c>
      <c r="B239" s="2384"/>
      <c r="C239" s="2384"/>
      <c r="D239" s="2384"/>
      <c r="E239" s="2384"/>
      <c r="F239" s="2384"/>
      <c r="G239" s="2384"/>
      <c r="H239" s="2384"/>
    </row>
    <row r="240" spans="1:8">
      <c r="A240" s="2385" t="s">
        <v>908</v>
      </c>
      <c r="B240" s="2384"/>
      <c r="C240" s="2384"/>
      <c r="D240" s="2384"/>
      <c r="E240" s="2384"/>
      <c r="F240" s="2384"/>
      <c r="G240" s="2384"/>
      <c r="H240" s="2384"/>
    </row>
    <row r="241" spans="1:8">
      <c r="A241" s="2384"/>
      <c r="B241" s="2384"/>
      <c r="C241" s="2384"/>
      <c r="D241" s="2384"/>
      <c r="E241" s="2384"/>
      <c r="F241" s="2384"/>
      <c r="G241" s="2384"/>
      <c r="H241" s="2384"/>
    </row>
    <row r="242" spans="1:8">
      <c r="A242" s="2385" t="s">
        <v>897</v>
      </c>
      <c r="B242" s="2384"/>
      <c r="C242" s="2384"/>
      <c r="D242" s="2384"/>
      <c r="E242" s="2384"/>
      <c r="F242" s="2384"/>
      <c r="G242" s="2384"/>
      <c r="H242" s="2384"/>
    </row>
    <row r="243" spans="1:8">
      <c r="A243" s="2385" t="s">
        <v>898</v>
      </c>
      <c r="B243" s="2384"/>
      <c r="C243" s="2384"/>
      <c r="D243" s="2384"/>
      <c r="E243" s="2384"/>
      <c r="F243" s="2384"/>
      <c r="G243" s="2384"/>
      <c r="H243" s="2384"/>
    </row>
    <row r="244" spans="1:8">
      <c r="A244" s="2384"/>
      <c r="B244" s="2384"/>
      <c r="C244" s="2384"/>
      <c r="D244" s="2384"/>
      <c r="E244" s="2384"/>
      <c r="F244" s="2384"/>
      <c r="G244" s="2384"/>
      <c r="H244" s="2384"/>
    </row>
    <row r="245" spans="1:8">
      <c r="A245" s="2385" t="s">
        <v>881</v>
      </c>
      <c r="B245" s="2384"/>
      <c r="C245" s="2384"/>
      <c r="D245" s="2384"/>
      <c r="E245" s="2384"/>
      <c r="F245" s="2384"/>
      <c r="G245" s="2384"/>
      <c r="H245" s="2384"/>
    </row>
    <row r="246" spans="1:8">
      <c r="A246" s="2385" t="s">
        <v>882</v>
      </c>
      <c r="B246" s="2384"/>
      <c r="C246" s="2384"/>
      <c r="D246" s="2384"/>
      <c r="E246" s="2384"/>
      <c r="F246" s="2384"/>
      <c r="G246" s="2384"/>
      <c r="H246" s="2384"/>
    </row>
    <row r="247" spans="1:8">
      <c r="A247" s="2385" t="s">
        <v>883</v>
      </c>
      <c r="B247" s="2384"/>
      <c r="C247" s="2384"/>
      <c r="D247" s="2384"/>
      <c r="E247" s="2384"/>
      <c r="F247" s="2384"/>
      <c r="G247" s="2384"/>
      <c r="H247" s="2384"/>
    </row>
    <row r="248" spans="1:8">
      <c r="A248" s="2385" t="s">
        <v>884</v>
      </c>
      <c r="B248" s="2384"/>
      <c r="C248" s="2384"/>
      <c r="D248" s="2384"/>
      <c r="E248" s="2384"/>
      <c r="F248" s="2384"/>
      <c r="G248" s="2384"/>
      <c r="H248" s="2384"/>
    </row>
    <row r="249" spans="1:8">
      <c r="A249" s="2385" t="s">
        <v>885</v>
      </c>
      <c r="B249" s="2384"/>
      <c r="C249" s="2384"/>
      <c r="D249" s="2384"/>
      <c r="E249" s="2384"/>
      <c r="F249" s="2384"/>
      <c r="G249" s="2384"/>
      <c r="H249" s="2384"/>
    </row>
    <row r="250" spans="1:8">
      <c r="A250" s="2385" t="s">
        <v>886</v>
      </c>
      <c r="B250" s="2384"/>
      <c r="C250" s="2384"/>
      <c r="D250" s="2384"/>
      <c r="E250" s="2384"/>
      <c r="F250" s="2384"/>
      <c r="G250" s="2384"/>
      <c r="H250" s="2384"/>
    </row>
    <row r="251" spans="1:8">
      <c r="A251" s="2385" t="s">
        <v>887</v>
      </c>
      <c r="B251" s="2384"/>
      <c r="C251" s="2384"/>
      <c r="D251" s="2384"/>
      <c r="E251" s="2384"/>
      <c r="F251" s="2384"/>
      <c r="G251" s="2384"/>
      <c r="H251" s="2384"/>
    </row>
    <row r="252" spans="1:8">
      <c r="A252" s="2385" t="s">
        <v>888</v>
      </c>
      <c r="B252" s="2384"/>
      <c r="C252" s="2384"/>
      <c r="D252" s="2384"/>
      <c r="E252" s="2384"/>
      <c r="F252" s="2384"/>
      <c r="G252" s="2384"/>
      <c r="H252" s="2384"/>
    </row>
    <row r="253" spans="1:8">
      <c r="A253" s="2385" t="s">
        <v>889</v>
      </c>
      <c r="B253" s="2384"/>
      <c r="C253" s="2384"/>
      <c r="D253" s="2384"/>
      <c r="E253" s="2384"/>
      <c r="F253" s="2384"/>
      <c r="G253" s="2384"/>
      <c r="H253" s="2384"/>
    </row>
    <row r="254" spans="1:8">
      <c r="A254" s="2385" t="s">
        <v>890</v>
      </c>
      <c r="B254" s="2384"/>
      <c r="C254" s="2384"/>
      <c r="D254" s="2384"/>
      <c r="E254" s="2384"/>
      <c r="F254" s="2384"/>
      <c r="G254" s="2384"/>
      <c r="H254" s="2384"/>
    </row>
    <row r="255" spans="1:8">
      <c r="A255" s="2385" t="s">
        <v>891</v>
      </c>
      <c r="B255" s="2384"/>
      <c r="C255" s="2384"/>
      <c r="D255" s="2384"/>
      <c r="E255" s="2384"/>
      <c r="F255" s="2384"/>
      <c r="G255" s="2384"/>
      <c r="H255" s="2384"/>
    </row>
    <row r="256" spans="1:8">
      <c r="A256" s="2385" t="s">
        <v>892</v>
      </c>
      <c r="B256" s="2384"/>
      <c r="C256" s="2384"/>
      <c r="D256" s="2384"/>
      <c r="E256" s="2384"/>
      <c r="F256" s="2384"/>
      <c r="G256" s="2384"/>
      <c r="H256" s="2384"/>
    </row>
    <row r="257" spans="1:8">
      <c r="A257" s="2385" t="s">
        <v>893</v>
      </c>
      <c r="B257" s="2384"/>
      <c r="C257" s="2384"/>
      <c r="D257" s="2384"/>
      <c r="E257" s="2384"/>
      <c r="F257" s="2384"/>
      <c r="G257" s="2384"/>
      <c r="H257" s="2384"/>
    </row>
    <row r="258" spans="1:8">
      <c r="A258" s="2385" t="s">
        <v>894</v>
      </c>
      <c r="B258" s="2384"/>
      <c r="C258" s="2384"/>
      <c r="D258" s="2384"/>
      <c r="E258" s="2384"/>
      <c r="F258" s="2384"/>
      <c r="G258" s="2384"/>
      <c r="H258" s="2384"/>
    </row>
    <row r="259" spans="1:8">
      <c r="A259" s="2385" t="s">
        <v>895</v>
      </c>
      <c r="B259" s="2384"/>
      <c r="C259" s="2384"/>
      <c r="D259" s="2384"/>
      <c r="E259" s="2384"/>
      <c r="F259" s="2384"/>
      <c r="G259" s="2384"/>
      <c r="H259" s="2384"/>
    </row>
    <row r="260" spans="1:8">
      <c r="A260" s="2385" t="s">
        <v>896</v>
      </c>
      <c r="B260" s="2384"/>
      <c r="C260" s="2384"/>
      <c r="D260" s="2384"/>
      <c r="E260" s="2384"/>
      <c r="F260" s="2384"/>
      <c r="G260" s="2384"/>
      <c r="H260" s="2384"/>
    </row>
    <row r="261" spans="1:8">
      <c r="A261" s="2384"/>
      <c r="B261" s="2384"/>
      <c r="C261" s="2384"/>
      <c r="D261" s="2384"/>
      <c r="E261" s="2384"/>
      <c r="F261" s="2384"/>
      <c r="G261" s="2384"/>
      <c r="H261" s="2384"/>
    </row>
    <row r="262" spans="1:8">
      <c r="A262" s="2385" t="s">
        <v>874</v>
      </c>
      <c r="B262" s="2384"/>
      <c r="C262" s="2384"/>
      <c r="D262" s="2384"/>
      <c r="E262" s="2384"/>
      <c r="F262" s="2384"/>
      <c r="G262" s="2384"/>
      <c r="H262" s="2384"/>
    </row>
    <row r="263" spans="1:8">
      <c r="A263" s="2385" t="s">
        <v>875</v>
      </c>
      <c r="B263" s="2384"/>
      <c r="C263" s="2384"/>
      <c r="D263" s="2384"/>
      <c r="E263" s="2384"/>
      <c r="F263" s="2384"/>
      <c r="G263" s="2384"/>
      <c r="H263" s="2384"/>
    </row>
    <row r="264" spans="1:8">
      <c r="A264" s="2385" t="s">
        <v>876</v>
      </c>
      <c r="B264" s="2384"/>
      <c r="C264" s="2384"/>
      <c r="D264" s="2384"/>
      <c r="E264" s="2384"/>
      <c r="F264" s="2384"/>
      <c r="G264" s="2384"/>
      <c r="H264" s="2384"/>
    </row>
    <row r="265" spans="1:8">
      <c r="A265" s="2385" t="s">
        <v>877</v>
      </c>
      <c r="B265" s="2384"/>
      <c r="C265" s="2384"/>
      <c r="D265" s="2384"/>
      <c r="E265" s="2384"/>
      <c r="F265" s="2384"/>
      <c r="G265" s="2384"/>
      <c r="H265" s="2384"/>
    </row>
    <row r="266" spans="1:8">
      <c r="A266" s="2385" t="s">
        <v>878</v>
      </c>
      <c r="B266" s="2384"/>
      <c r="C266" s="2384"/>
      <c r="D266" s="2384"/>
      <c r="E266" s="2384"/>
      <c r="F266" s="2384"/>
      <c r="G266" s="2384"/>
      <c r="H266" s="2384"/>
    </row>
    <row r="267" spans="1:8">
      <c r="A267" s="2385" t="s">
        <v>879</v>
      </c>
      <c r="B267" s="2384"/>
      <c r="C267" s="2384"/>
      <c r="D267" s="2384"/>
      <c r="E267" s="2384"/>
      <c r="F267" s="2384"/>
      <c r="G267" s="2384"/>
      <c r="H267" s="2384"/>
    </row>
    <row r="268" spans="1:8">
      <c r="A268" s="2385" t="s">
        <v>880</v>
      </c>
      <c r="B268" s="2384"/>
      <c r="C268" s="2384"/>
      <c r="D268" s="2384"/>
      <c r="E268" s="2384"/>
      <c r="F268" s="2384"/>
      <c r="G268" s="2384"/>
      <c r="H268" s="2384"/>
    </row>
    <row r="269" spans="1:8">
      <c r="A269" s="2384"/>
      <c r="B269" s="2384"/>
      <c r="C269" s="2384"/>
      <c r="D269" s="2384"/>
      <c r="E269" s="2384"/>
      <c r="F269" s="2384"/>
      <c r="G269" s="2384"/>
      <c r="H269" s="2384"/>
    </row>
    <row r="270" spans="1:8">
      <c r="A270" s="2385" t="s">
        <v>865</v>
      </c>
      <c r="B270" s="2384"/>
      <c r="C270" s="2384"/>
      <c r="D270" s="2384"/>
      <c r="E270" s="2384"/>
      <c r="F270" s="2384"/>
      <c r="G270" s="2384"/>
      <c r="H270" s="2384"/>
    </row>
    <row r="271" spans="1:8">
      <c r="A271" s="2385" t="s">
        <v>866</v>
      </c>
      <c r="B271" s="2384"/>
      <c r="C271" s="2384"/>
      <c r="D271" s="2384"/>
      <c r="E271" s="2384"/>
      <c r="F271" s="2384"/>
      <c r="G271" s="2384"/>
      <c r="H271" s="2384"/>
    </row>
    <row r="272" spans="1:8">
      <c r="A272" s="2385" t="s">
        <v>867</v>
      </c>
      <c r="B272" s="2384"/>
      <c r="C272" s="2384"/>
      <c r="D272" s="2384"/>
      <c r="E272" s="2384"/>
      <c r="F272" s="2384"/>
      <c r="G272" s="2384"/>
      <c r="H272" s="2384"/>
    </row>
    <row r="273" spans="1:8">
      <c r="A273" s="2385" t="s">
        <v>868</v>
      </c>
      <c r="B273" s="2384"/>
      <c r="C273" s="2384"/>
      <c r="D273" s="2384"/>
      <c r="E273" s="2384"/>
      <c r="F273" s="2384"/>
      <c r="G273" s="2384"/>
      <c r="H273" s="2384"/>
    </row>
    <row r="274" spans="1:8">
      <c r="A274" s="2385" t="s">
        <v>869</v>
      </c>
      <c r="B274" s="2384"/>
      <c r="C274" s="2384"/>
      <c r="D274" s="2384"/>
      <c r="E274" s="2384"/>
      <c r="F274" s="2384"/>
      <c r="G274" s="2384"/>
      <c r="H274" s="2384"/>
    </row>
    <row r="275" spans="1:8">
      <c r="A275" s="2385" t="s">
        <v>870</v>
      </c>
      <c r="B275" s="2384"/>
      <c r="C275" s="2384"/>
      <c r="D275" s="2384"/>
      <c r="E275" s="2384"/>
      <c r="F275" s="2384"/>
      <c r="G275" s="2384"/>
      <c r="H275" s="2384"/>
    </row>
    <row r="276" spans="1:8">
      <c r="A276" s="2385" t="s">
        <v>871</v>
      </c>
      <c r="B276" s="2384"/>
      <c r="C276" s="2384"/>
      <c r="D276" s="2384"/>
      <c r="E276" s="2384"/>
      <c r="F276" s="2384"/>
      <c r="G276" s="2384"/>
      <c r="H276" s="2384"/>
    </row>
    <row r="277" spans="1:8">
      <c r="A277" s="2385" t="s">
        <v>872</v>
      </c>
      <c r="B277" s="2384"/>
      <c r="C277" s="2384"/>
      <c r="D277" s="2384"/>
      <c r="E277" s="2384"/>
      <c r="F277" s="2384"/>
      <c r="G277" s="2384"/>
      <c r="H277" s="2384"/>
    </row>
    <row r="278" spans="1:8">
      <c r="A278" s="2385" t="s">
        <v>873</v>
      </c>
      <c r="B278" s="2384"/>
      <c r="C278" s="2384"/>
      <c r="D278" s="2384"/>
      <c r="E278" s="2384"/>
      <c r="F278" s="2384"/>
      <c r="G278" s="2384"/>
      <c r="H278" s="2384"/>
    </row>
    <row r="279" spans="1:8">
      <c r="A279" s="2384"/>
      <c r="B279" s="2384"/>
      <c r="C279" s="2384"/>
      <c r="D279" s="2384"/>
      <c r="E279" s="2384"/>
      <c r="F279" s="2384"/>
      <c r="G279" s="2384"/>
      <c r="H279" s="2384"/>
    </row>
    <row r="280" spans="1:8">
      <c r="A280" s="2385" t="s">
        <v>858</v>
      </c>
      <c r="B280" s="2384"/>
      <c r="C280" s="2384"/>
      <c r="D280" s="2384"/>
      <c r="E280" s="2384"/>
      <c r="F280" s="2384"/>
      <c r="G280" s="2384"/>
      <c r="H280" s="2384"/>
    </row>
    <row r="281" spans="1:8">
      <c r="A281" s="2385" t="s">
        <v>859</v>
      </c>
      <c r="B281" s="2384"/>
      <c r="C281" s="2384"/>
      <c r="D281" s="2384"/>
      <c r="E281" s="2384"/>
      <c r="F281" s="2384"/>
      <c r="G281" s="2384"/>
      <c r="H281" s="2384"/>
    </row>
    <row r="282" spans="1:8">
      <c r="A282" s="2385" t="s">
        <v>860</v>
      </c>
      <c r="B282" s="2384"/>
      <c r="C282" s="2384"/>
      <c r="D282" s="2384"/>
      <c r="E282" s="2384"/>
      <c r="F282" s="2384"/>
      <c r="G282" s="2384"/>
      <c r="H282" s="2384"/>
    </row>
    <row r="283" spans="1:8">
      <c r="A283" s="2385" t="s">
        <v>861</v>
      </c>
      <c r="B283" s="2384"/>
      <c r="C283" s="2384"/>
      <c r="D283" s="2384"/>
      <c r="E283" s="2384"/>
      <c r="F283" s="2384"/>
      <c r="G283" s="2384"/>
      <c r="H283" s="2384"/>
    </row>
    <row r="284" spans="1:8">
      <c r="A284" s="2385" t="s">
        <v>862</v>
      </c>
      <c r="B284" s="2384"/>
      <c r="C284" s="2384"/>
      <c r="D284" s="2384"/>
      <c r="E284" s="2384"/>
      <c r="F284" s="2384"/>
      <c r="G284" s="2384"/>
      <c r="H284" s="2384"/>
    </row>
    <row r="285" spans="1:8">
      <c r="A285" s="2385" t="s">
        <v>863</v>
      </c>
      <c r="B285" s="2384"/>
      <c r="C285" s="2384"/>
      <c r="D285" s="2384"/>
      <c r="E285" s="2384"/>
      <c r="F285" s="2384"/>
      <c r="G285" s="2384"/>
      <c r="H285" s="2384"/>
    </row>
    <row r="286" spans="1:8">
      <c r="A286" s="2385" t="s">
        <v>864</v>
      </c>
      <c r="B286" s="2384"/>
      <c r="C286" s="2384"/>
      <c r="D286" s="2384"/>
      <c r="E286" s="2384"/>
      <c r="F286" s="2384"/>
      <c r="G286" s="2384"/>
      <c r="H286" s="2384"/>
    </row>
    <row r="287" spans="1:8">
      <c r="A287" s="2384"/>
      <c r="B287" s="2384"/>
      <c r="C287" s="2384"/>
      <c r="D287" s="2384"/>
      <c r="E287" s="2384"/>
      <c r="F287" s="2384"/>
      <c r="G287" s="2384"/>
      <c r="H287" s="2384"/>
    </row>
    <row r="288" spans="1:8">
      <c r="A288" s="2385" t="s">
        <v>855</v>
      </c>
      <c r="B288" s="2384"/>
      <c r="C288" s="2384"/>
      <c r="D288" s="2384"/>
      <c r="E288" s="2384"/>
      <c r="F288" s="2384"/>
      <c r="G288" s="2384"/>
      <c r="H288" s="2384"/>
    </row>
    <row r="289" spans="1:8">
      <c r="A289" s="2385" t="s">
        <v>856</v>
      </c>
      <c r="B289" s="2384"/>
      <c r="C289" s="2384"/>
      <c r="D289" s="2384"/>
      <c r="E289" s="2384"/>
      <c r="F289" s="2384"/>
      <c r="G289" s="2384"/>
      <c r="H289" s="2384"/>
    </row>
    <row r="290" spans="1:8">
      <c r="A290" s="2385" t="s">
        <v>857</v>
      </c>
      <c r="B290" s="2384"/>
      <c r="C290" s="2384"/>
      <c r="D290" s="2384"/>
      <c r="E290" s="2384"/>
      <c r="F290" s="2384"/>
      <c r="G290" s="2384"/>
      <c r="H290" s="2384"/>
    </row>
    <row r="291" spans="1:8">
      <c r="A291" s="2384"/>
      <c r="B291" s="2384"/>
      <c r="C291" s="2384"/>
      <c r="D291" s="2384"/>
      <c r="E291" s="2384"/>
      <c r="F291" s="2384"/>
      <c r="G291" s="2384"/>
      <c r="H291" s="2384"/>
    </row>
    <row r="292" spans="1:8">
      <c r="A292" s="2385" t="s">
        <v>853</v>
      </c>
      <c r="B292" s="2384"/>
      <c r="C292" s="2384"/>
      <c r="D292" s="2384"/>
      <c r="E292" s="2384"/>
      <c r="F292" s="2384"/>
      <c r="G292" s="2384"/>
      <c r="H292" s="2384"/>
    </row>
    <row r="293" spans="1:8">
      <c r="A293" s="2385" t="s">
        <v>854</v>
      </c>
      <c r="B293" s="2384"/>
      <c r="C293" s="2384"/>
      <c r="D293" s="2384"/>
      <c r="E293" s="2384"/>
      <c r="F293" s="2384"/>
      <c r="G293" s="2384"/>
      <c r="H293" s="2384"/>
    </row>
    <row r="294" spans="1:8">
      <c r="A294" s="2384"/>
      <c r="B294" s="2384"/>
      <c r="C294" s="2384"/>
      <c r="D294" s="2384"/>
      <c r="E294" s="2384"/>
      <c r="F294" s="2384"/>
      <c r="G294" s="2384"/>
      <c r="H294" s="2384"/>
    </row>
    <row r="295" spans="1:8">
      <c r="A295" s="2385" t="s">
        <v>840</v>
      </c>
      <c r="B295" s="2384"/>
      <c r="C295" s="2384"/>
      <c r="D295" s="2384"/>
      <c r="E295" s="2384"/>
      <c r="F295" s="2384"/>
      <c r="G295" s="2384"/>
      <c r="H295" s="2384"/>
    </row>
    <row r="296" spans="1:8">
      <c r="A296" s="2385" t="s">
        <v>841</v>
      </c>
      <c r="B296" s="2384"/>
      <c r="C296" s="2384"/>
      <c r="D296" s="2384"/>
      <c r="E296" s="2384"/>
      <c r="F296" s="2384"/>
      <c r="G296" s="2384"/>
      <c r="H296" s="2384"/>
    </row>
    <row r="297" spans="1:8">
      <c r="A297" s="2385" t="s">
        <v>842</v>
      </c>
      <c r="B297" s="2384"/>
      <c r="C297" s="2384"/>
      <c r="D297" s="2384"/>
      <c r="E297" s="2384"/>
      <c r="F297" s="2384"/>
      <c r="G297" s="2384"/>
      <c r="H297" s="2384"/>
    </row>
    <row r="298" spans="1:8">
      <c r="A298" s="2385" t="s">
        <v>843</v>
      </c>
      <c r="B298" s="2384"/>
      <c r="C298" s="2384"/>
      <c r="D298" s="2384"/>
      <c r="E298" s="2384"/>
      <c r="F298" s="2384"/>
      <c r="G298" s="2384"/>
      <c r="H298" s="2384"/>
    </row>
    <row r="299" spans="1:8">
      <c r="A299" s="2385" t="s">
        <v>844</v>
      </c>
      <c r="B299" s="2384"/>
      <c r="C299" s="2384"/>
      <c r="D299" s="2384"/>
      <c r="E299" s="2384"/>
      <c r="F299" s="2384"/>
      <c r="G299" s="2384"/>
      <c r="H299" s="2384"/>
    </row>
    <row r="300" spans="1:8">
      <c r="A300" s="2385" t="s">
        <v>845</v>
      </c>
      <c r="B300" s="2384"/>
      <c r="C300" s="2384"/>
      <c r="D300" s="2384"/>
      <c r="E300" s="2384"/>
      <c r="F300" s="2384"/>
      <c r="G300" s="2384"/>
      <c r="H300" s="2384"/>
    </row>
    <row r="301" spans="1:8">
      <c r="A301" s="2385" t="s">
        <v>846</v>
      </c>
      <c r="B301" s="2384"/>
      <c r="C301" s="2384"/>
      <c r="D301" s="2384"/>
      <c r="E301" s="2384"/>
      <c r="F301" s="2384"/>
      <c r="G301" s="2384"/>
      <c r="H301" s="2384"/>
    </row>
    <row r="302" spans="1:8">
      <c r="A302" s="2385" t="s">
        <v>847</v>
      </c>
      <c r="B302" s="2384"/>
      <c r="C302" s="2384"/>
      <c r="D302" s="2384"/>
      <c r="E302" s="2384"/>
      <c r="F302" s="2384"/>
      <c r="G302" s="2384"/>
      <c r="H302" s="2384"/>
    </row>
    <row r="303" spans="1:8">
      <c r="A303" s="2385" t="s">
        <v>848</v>
      </c>
      <c r="B303" s="2384"/>
      <c r="C303" s="2384"/>
      <c r="D303" s="2384"/>
      <c r="E303" s="2384"/>
      <c r="F303" s="2384"/>
      <c r="G303" s="2384"/>
      <c r="H303" s="2384"/>
    </row>
    <row r="304" spans="1:8">
      <c r="A304" s="2385" t="s">
        <v>849</v>
      </c>
      <c r="B304" s="2384"/>
      <c r="C304" s="2384"/>
      <c r="D304" s="2384"/>
      <c r="E304" s="2384"/>
      <c r="F304" s="2384"/>
      <c r="G304" s="2384"/>
      <c r="H304" s="2384"/>
    </row>
    <row r="305" spans="1:8">
      <c r="A305" s="2385" t="s">
        <v>850</v>
      </c>
      <c r="B305" s="2384"/>
      <c r="C305" s="2384"/>
      <c r="D305" s="2384"/>
      <c r="E305" s="2384"/>
      <c r="F305" s="2384"/>
      <c r="G305" s="2384"/>
      <c r="H305" s="2384"/>
    </row>
    <row r="306" spans="1:8">
      <c r="A306" s="2385" t="s">
        <v>851</v>
      </c>
      <c r="B306" s="2384"/>
      <c r="C306" s="2384"/>
      <c r="D306" s="2384"/>
      <c r="E306" s="2384"/>
      <c r="F306" s="2384"/>
      <c r="G306" s="2384"/>
      <c r="H306" s="2384"/>
    </row>
    <row r="307" spans="1:8">
      <c r="A307" s="2385" t="s">
        <v>852</v>
      </c>
      <c r="B307" s="2384"/>
      <c r="C307" s="2384"/>
      <c r="D307" s="2384"/>
      <c r="E307" s="2384"/>
      <c r="F307" s="2384"/>
      <c r="G307" s="2384"/>
      <c r="H307" s="2384"/>
    </row>
    <row r="308" spans="1:8">
      <c r="A308" s="2384"/>
      <c r="B308" s="2384"/>
      <c r="C308" s="2384"/>
      <c r="D308" s="2384"/>
      <c r="E308" s="2384"/>
      <c r="F308" s="2384"/>
      <c r="G308" s="2384"/>
      <c r="H308" s="2384"/>
    </row>
    <row r="309" spans="1:8">
      <c r="A309" s="2385" t="s">
        <v>832</v>
      </c>
      <c r="B309" s="2384"/>
      <c r="C309" s="2384"/>
      <c r="D309" s="2384"/>
      <c r="E309" s="2384"/>
      <c r="F309" s="2384"/>
      <c r="G309" s="2384"/>
      <c r="H309" s="2384"/>
    </row>
    <row r="310" spans="1:8">
      <c r="A310" s="2385" t="s">
        <v>833</v>
      </c>
      <c r="B310" s="2384"/>
      <c r="C310" s="2384"/>
      <c r="D310" s="2384"/>
      <c r="E310" s="2384"/>
      <c r="F310" s="2384"/>
      <c r="G310" s="2384"/>
      <c r="H310" s="2384"/>
    </row>
    <row r="311" spans="1:8">
      <c r="A311" s="2385" t="s">
        <v>834</v>
      </c>
      <c r="B311" s="2384"/>
      <c r="C311" s="2384"/>
      <c r="D311" s="2384"/>
      <c r="E311" s="2384"/>
      <c r="F311" s="2384"/>
      <c r="G311" s="2384"/>
      <c r="H311" s="2384"/>
    </row>
    <row r="312" spans="1:8">
      <c r="A312" s="2385" t="s">
        <v>835</v>
      </c>
      <c r="B312" s="2384"/>
      <c r="C312" s="2384"/>
      <c r="D312" s="2384"/>
      <c r="E312" s="2384"/>
      <c r="F312" s="2384"/>
      <c r="G312" s="2384"/>
      <c r="H312" s="2384"/>
    </row>
    <row r="313" spans="1:8">
      <c r="A313" s="2385" t="s">
        <v>836</v>
      </c>
      <c r="B313" s="2384"/>
      <c r="C313" s="2384"/>
      <c r="D313" s="2384"/>
      <c r="E313" s="2384"/>
      <c r="F313" s="2384"/>
      <c r="G313" s="2384"/>
      <c r="H313" s="2384"/>
    </row>
    <row r="314" spans="1:8">
      <c r="A314" s="2385" t="s">
        <v>837</v>
      </c>
      <c r="B314" s="2384"/>
      <c r="C314" s="2384"/>
      <c r="D314" s="2384"/>
      <c r="E314" s="2384"/>
      <c r="F314" s="2384"/>
      <c r="G314" s="2384"/>
      <c r="H314" s="2384"/>
    </row>
    <row r="315" spans="1:8">
      <c r="A315" s="2385" t="s">
        <v>838</v>
      </c>
      <c r="B315" s="2384"/>
      <c r="C315" s="2384"/>
      <c r="D315" s="2384"/>
      <c r="E315" s="2384"/>
      <c r="F315" s="2384"/>
      <c r="G315" s="2384"/>
      <c r="H315" s="2384"/>
    </row>
    <row r="316" spans="1:8">
      <c r="A316" s="2385" t="s">
        <v>839</v>
      </c>
      <c r="B316" s="2384"/>
      <c r="C316" s="2384"/>
      <c r="D316" s="2384"/>
      <c r="E316" s="2384"/>
      <c r="F316" s="2384"/>
      <c r="G316" s="2384"/>
      <c r="H316" s="2384"/>
    </row>
    <row r="317" spans="1:8">
      <c r="A317" s="2384"/>
      <c r="B317" s="2384"/>
      <c r="C317" s="2384"/>
      <c r="D317" s="2384"/>
      <c r="E317" s="2384"/>
      <c r="F317" s="2384"/>
      <c r="G317" s="2384"/>
      <c r="H317" s="2384"/>
    </row>
    <row r="318" spans="1:8">
      <c r="A318" s="2385" t="s">
        <v>797</v>
      </c>
      <c r="B318" s="2384"/>
      <c r="C318" s="2384"/>
      <c r="D318" s="2384"/>
      <c r="E318" s="2384"/>
      <c r="F318" s="2384"/>
      <c r="G318" s="2384"/>
      <c r="H318" s="2384"/>
    </row>
    <row r="319" spans="1:8">
      <c r="A319" s="2385" t="s">
        <v>798</v>
      </c>
      <c r="B319" s="2384"/>
      <c r="C319" s="2384"/>
      <c r="D319" s="2384"/>
      <c r="E319" s="2384"/>
      <c r="F319" s="2384"/>
      <c r="G319" s="2384"/>
      <c r="H319" s="2384"/>
    </row>
    <row r="320" spans="1:8">
      <c r="A320" s="2385" t="s">
        <v>799</v>
      </c>
      <c r="B320" s="2384"/>
      <c r="C320" s="2384"/>
      <c r="D320" s="2384"/>
      <c r="E320" s="2384"/>
      <c r="F320" s="2384"/>
      <c r="G320" s="2384"/>
      <c r="H320" s="2384"/>
    </row>
    <row r="321" spans="1:8">
      <c r="A321" s="2385" t="s">
        <v>800</v>
      </c>
      <c r="B321" s="2384"/>
      <c r="C321" s="2384"/>
      <c r="D321" s="2384"/>
      <c r="E321" s="2384"/>
      <c r="F321" s="2384"/>
      <c r="G321" s="2384"/>
      <c r="H321" s="2384"/>
    </row>
    <row r="322" spans="1:8">
      <c r="A322" s="2385" t="s">
        <v>801</v>
      </c>
      <c r="B322" s="2384"/>
      <c r="C322" s="2384"/>
      <c r="D322" s="2384"/>
      <c r="E322" s="2384"/>
      <c r="F322" s="2384"/>
      <c r="G322" s="2384"/>
      <c r="H322" s="2384"/>
    </row>
    <row r="323" spans="1:8">
      <c r="A323" s="2385" t="s">
        <v>802</v>
      </c>
      <c r="B323" s="2384"/>
      <c r="C323" s="2384"/>
      <c r="D323" s="2384"/>
      <c r="E323" s="2384"/>
      <c r="F323" s="2384"/>
      <c r="G323" s="2384"/>
      <c r="H323" s="2384"/>
    </row>
    <row r="324" spans="1:8">
      <c r="A324" s="2385" t="s">
        <v>803</v>
      </c>
      <c r="B324" s="2384"/>
      <c r="C324" s="2384"/>
      <c r="D324" s="2384"/>
      <c r="E324" s="2384"/>
      <c r="F324" s="2384"/>
      <c r="G324" s="2384"/>
      <c r="H324" s="2384"/>
    </row>
    <row r="325" spans="1:8">
      <c r="A325" s="2385" t="s">
        <v>804</v>
      </c>
      <c r="B325" s="2384"/>
      <c r="C325" s="2384"/>
      <c r="D325" s="2384"/>
      <c r="E325" s="2384"/>
      <c r="F325" s="2384"/>
      <c r="G325" s="2384"/>
      <c r="H325" s="2384"/>
    </row>
    <row r="326" spans="1:8">
      <c r="A326" s="2385" t="s">
        <v>805</v>
      </c>
      <c r="B326" s="2384"/>
      <c r="C326" s="2384"/>
      <c r="D326" s="2384"/>
      <c r="E326" s="2384"/>
      <c r="F326" s="2384"/>
      <c r="G326" s="2384"/>
      <c r="H326" s="2384"/>
    </row>
    <row r="327" spans="1:8">
      <c r="A327" s="2385" t="s">
        <v>806</v>
      </c>
      <c r="B327" s="2384"/>
      <c r="C327" s="2384"/>
      <c r="D327" s="2384"/>
      <c r="E327" s="2384"/>
      <c r="F327" s="2384"/>
      <c r="G327" s="2384"/>
      <c r="H327" s="2384"/>
    </row>
    <row r="328" spans="1:8">
      <c r="A328" s="2385" t="s">
        <v>807</v>
      </c>
      <c r="B328" s="2384"/>
      <c r="C328" s="2384"/>
      <c r="D328" s="2384"/>
      <c r="E328" s="2384"/>
      <c r="F328" s="2384"/>
      <c r="G328" s="2384"/>
      <c r="H328" s="2384"/>
    </row>
    <row r="329" spans="1:8">
      <c r="A329" s="2385" t="s">
        <v>808</v>
      </c>
      <c r="B329" s="2384"/>
      <c r="C329" s="2384"/>
      <c r="D329" s="2384"/>
      <c r="E329" s="2384"/>
      <c r="F329" s="2384"/>
      <c r="G329" s="2384"/>
      <c r="H329" s="2384"/>
    </row>
    <row r="330" spans="1:8">
      <c r="A330" s="2385" t="s">
        <v>809</v>
      </c>
      <c r="B330" s="2384"/>
      <c r="C330" s="2384"/>
      <c r="D330" s="2384"/>
      <c r="E330" s="2384"/>
      <c r="F330" s="2384"/>
      <c r="G330" s="2384"/>
      <c r="H330" s="2384"/>
    </row>
    <row r="331" spans="1:8">
      <c r="A331" s="2385" t="s">
        <v>810</v>
      </c>
      <c r="B331" s="2384"/>
      <c r="C331" s="2384"/>
      <c r="D331" s="2384"/>
      <c r="E331" s="2384"/>
      <c r="F331" s="2384"/>
      <c r="G331" s="2384"/>
      <c r="H331" s="2384"/>
    </row>
    <row r="332" spans="1:8">
      <c r="A332" s="2385" t="s">
        <v>811</v>
      </c>
      <c r="B332" s="2384"/>
      <c r="C332" s="2384"/>
      <c r="D332" s="2384"/>
      <c r="E332" s="2384"/>
      <c r="F332" s="2384"/>
      <c r="G332" s="2384"/>
      <c r="H332" s="2384"/>
    </row>
    <row r="333" spans="1:8">
      <c r="A333" s="2385" t="s">
        <v>812</v>
      </c>
      <c r="B333" s="2384"/>
      <c r="C333" s="2384"/>
      <c r="D333" s="2384"/>
      <c r="E333" s="2384"/>
      <c r="F333" s="2384"/>
      <c r="G333" s="2384"/>
      <c r="H333" s="2384"/>
    </row>
    <row r="334" spans="1:8">
      <c r="A334" s="2385" t="s">
        <v>813</v>
      </c>
      <c r="B334" s="2384"/>
      <c r="C334" s="2384"/>
      <c r="D334" s="2384"/>
      <c r="E334" s="2384"/>
      <c r="F334" s="2384"/>
      <c r="G334" s="2384"/>
      <c r="H334" s="2384"/>
    </row>
    <row r="335" spans="1:8">
      <c r="A335" s="2385" t="s">
        <v>814</v>
      </c>
      <c r="B335" s="2384"/>
      <c r="C335" s="2384"/>
      <c r="D335" s="2384"/>
      <c r="E335" s="2384"/>
      <c r="F335" s="2384"/>
      <c r="G335" s="2384"/>
      <c r="H335" s="2384"/>
    </row>
    <row r="336" spans="1:8">
      <c r="A336" s="2385" t="s">
        <v>815</v>
      </c>
      <c r="B336" s="2384"/>
      <c r="C336" s="2384"/>
      <c r="D336" s="2384"/>
      <c r="E336" s="2384"/>
      <c r="F336" s="2384"/>
      <c r="G336" s="2384"/>
      <c r="H336" s="2384"/>
    </row>
    <row r="337" spans="1:8">
      <c r="A337" s="2385" t="s">
        <v>816</v>
      </c>
      <c r="B337" s="2384"/>
      <c r="C337" s="2384"/>
      <c r="D337" s="2384"/>
      <c r="E337" s="2384"/>
      <c r="F337" s="2384"/>
      <c r="G337" s="2384"/>
      <c r="H337" s="2384"/>
    </row>
    <row r="338" spans="1:8">
      <c r="A338" s="2385" t="s">
        <v>817</v>
      </c>
      <c r="B338" s="2384"/>
      <c r="C338" s="2384"/>
      <c r="D338" s="2384"/>
      <c r="E338" s="2384"/>
      <c r="F338" s="2384"/>
      <c r="G338" s="2384"/>
      <c r="H338" s="2384"/>
    </row>
    <row r="339" spans="1:8">
      <c r="A339" s="2385" t="s">
        <v>818</v>
      </c>
      <c r="B339" s="2384"/>
      <c r="C339" s="2384"/>
      <c r="D339" s="2384"/>
      <c r="E339" s="2384"/>
      <c r="F339" s="2384"/>
      <c r="G339" s="2384"/>
      <c r="H339" s="2384"/>
    </row>
    <row r="340" spans="1:8">
      <c r="A340" s="2385" t="s">
        <v>819</v>
      </c>
      <c r="B340" s="2384"/>
      <c r="C340" s="2384"/>
      <c r="D340" s="2384"/>
      <c r="E340" s="2384"/>
      <c r="F340" s="2384"/>
      <c r="G340" s="2384"/>
      <c r="H340" s="2384"/>
    </row>
    <row r="341" spans="1:8">
      <c r="A341" s="2385" t="s">
        <v>820</v>
      </c>
      <c r="B341" s="2384"/>
      <c r="C341" s="2384"/>
      <c r="D341" s="2384"/>
      <c r="E341" s="2384"/>
      <c r="F341" s="2384"/>
      <c r="G341" s="2384"/>
      <c r="H341" s="2384"/>
    </row>
    <row r="342" spans="1:8">
      <c r="A342" s="2385" t="s">
        <v>821</v>
      </c>
      <c r="B342" s="2384"/>
      <c r="C342" s="2384"/>
      <c r="D342" s="2384"/>
      <c r="E342" s="2384"/>
      <c r="F342" s="2384"/>
      <c r="G342" s="2384"/>
      <c r="H342" s="2384"/>
    </row>
    <row r="343" spans="1:8">
      <c r="A343" s="2385" t="s">
        <v>822</v>
      </c>
      <c r="B343" s="2384"/>
      <c r="C343" s="2384"/>
      <c r="D343" s="2384"/>
      <c r="E343" s="2384"/>
      <c r="F343" s="2384"/>
      <c r="G343" s="2384"/>
      <c r="H343" s="2384"/>
    </row>
    <row r="344" spans="1:8">
      <c r="A344" s="2385" t="s">
        <v>823</v>
      </c>
      <c r="B344" s="2384"/>
      <c r="C344" s="2384"/>
      <c r="D344" s="2384"/>
      <c r="E344" s="2384"/>
      <c r="F344" s="2384"/>
      <c r="G344" s="2384"/>
      <c r="H344" s="2384"/>
    </row>
    <row r="345" spans="1:8">
      <c r="A345" s="2385" t="s">
        <v>824</v>
      </c>
      <c r="B345" s="2384"/>
      <c r="C345" s="2384"/>
      <c r="D345" s="2384"/>
      <c r="E345" s="2384"/>
      <c r="F345" s="2384"/>
      <c r="G345" s="2384"/>
      <c r="H345" s="2384"/>
    </row>
    <row r="346" spans="1:8">
      <c r="A346" s="2385" t="s">
        <v>825</v>
      </c>
      <c r="B346" s="2384"/>
      <c r="C346" s="2384"/>
      <c r="D346" s="2384"/>
      <c r="E346" s="2384"/>
      <c r="F346" s="2384"/>
      <c r="G346" s="2384"/>
      <c r="H346" s="2384"/>
    </row>
    <row r="347" spans="1:8">
      <c r="A347" s="2385" t="s">
        <v>826</v>
      </c>
      <c r="B347" s="2384"/>
      <c r="C347" s="2384"/>
      <c r="D347" s="2384"/>
      <c r="E347" s="2384"/>
      <c r="F347" s="2384"/>
      <c r="G347" s="2384"/>
      <c r="H347" s="2384"/>
    </row>
    <row r="348" spans="1:8">
      <c r="A348" s="2385" t="s">
        <v>827</v>
      </c>
      <c r="B348" s="2384"/>
      <c r="C348" s="2384"/>
      <c r="D348" s="2384"/>
      <c r="E348" s="2384"/>
      <c r="F348" s="2384"/>
      <c r="G348" s="2384"/>
      <c r="H348" s="2384"/>
    </row>
    <row r="349" spans="1:8">
      <c r="A349" s="2385" t="s">
        <v>828</v>
      </c>
      <c r="B349" s="2384"/>
      <c r="C349" s="2384"/>
      <c r="D349" s="2384"/>
      <c r="E349" s="2384"/>
      <c r="F349" s="2384"/>
      <c r="G349" s="2384"/>
      <c r="H349" s="2384"/>
    </row>
    <row r="350" spans="1:8">
      <c r="A350" s="2385" t="s">
        <v>829</v>
      </c>
      <c r="B350" s="2384"/>
      <c r="C350" s="2384"/>
      <c r="D350" s="2384"/>
      <c r="E350" s="2384"/>
      <c r="F350" s="2384"/>
      <c r="G350" s="2384"/>
      <c r="H350" s="2384"/>
    </row>
    <row r="351" spans="1:8">
      <c r="A351" s="2385" t="s">
        <v>830</v>
      </c>
      <c r="B351" s="2384"/>
      <c r="C351" s="2384"/>
      <c r="D351" s="2384"/>
      <c r="E351" s="2384"/>
      <c r="F351" s="2384"/>
      <c r="G351" s="2384"/>
      <c r="H351" s="2384"/>
    </row>
    <row r="352" spans="1:8">
      <c r="A352" s="2385" t="s">
        <v>831</v>
      </c>
      <c r="B352" s="2384"/>
      <c r="C352" s="2384"/>
      <c r="D352" s="2384"/>
      <c r="E352" s="2384"/>
      <c r="F352" s="2384"/>
      <c r="G352" s="2384"/>
      <c r="H352" s="2384"/>
    </row>
    <row r="353" spans="1:8">
      <c r="A353" s="2384"/>
      <c r="B353" s="2384"/>
      <c r="C353" s="2384"/>
      <c r="D353" s="2384"/>
      <c r="E353" s="2384"/>
      <c r="F353" s="2384"/>
      <c r="G353" s="2384"/>
      <c r="H353" s="2384"/>
    </row>
    <row r="354" spans="1:8">
      <c r="A354" s="2385" t="s">
        <v>789</v>
      </c>
      <c r="B354" s="2384"/>
      <c r="C354" s="2384"/>
      <c r="D354" s="2384"/>
      <c r="E354" s="2384"/>
      <c r="F354" s="2384"/>
      <c r="G354" s="2384"/>
      <c r="H354" s="2384"/>
    </row>
    <row r="355" spans="1:8">
      <c r="A355" s="2385" t="s">
        <v>793</v>
      </c>
      <c r="B355" s="2384"/>
      <c r="C355" s="2384"/>
      <c r="D355" s="2384"/>
      <c r="E355" s="2384"/>
      <c r="F355" s="2384"/>
      <c r="G355" s="2384"/>
      <c r="H355" s="2384"/>
    </row>
    <row r="356" spans="1:8">
      <c r="A356" s="2385" t="s">
        <v>794</v>
      </c>
      <c r="B356" s="2384"/>
      <c r="C356" s="2384"/>
      <c r="D356" s="2384"/>
      <c r="E356" s="2384"/>
      <c r="F356" s="2384"/>
      <c r="G356" s="2384"/>
      <c r="H356" s="2384"/>
    </row>
    <row r="357" spans="1:8">
      <c r="A357" s="2385" t="s">
        <v>795</v>
      </c>
      <c r="B357" s="2384"/>
      <c r="C357" s="2384"/>
      <c r="D357" s="2384"/>
      <c r="E357" s="2384"/>
      <c r="F357" s="2384"/>
      <c r="G357" s="2384"/>
      <c r="H357" s="2384"/>
    </row>
    <row r="358" spans="1:8">
      <c r="A358" s="2385" t="s">
        <v>796</v>
      </c>
      <c r="B358" s="2384"/>
      <c r="C358" s="2384"/>
      <c r="D358" s="2384"/>
      <c r="E358" s="2384"/>
      <c r="F358" s="2384"/>
      <c r="G358" s="2384"/>
      <c r="H358" s="2384"/>
    </row>
    <row r="359" spans="1:8">
      <c r="A359" s="2384"/>
      <c r="B359" s="2384"/>
      <c r="C359" s="2384"/>
      <c r="D359" s="2384"/>
      <c r="E359" s="2384"/>
      <c r="F359" s="2384"/>
      <c r="G359" s="2384"/>
      <c r="H359" s="2384"/>
    </row>
    <row r="360" spans="1:8">
      <c r="A360" s="2385" t="s">
        <v>789</v>
      </c>
      <c r="B360" s="2384"/>
      <c r="C360" s="2384"/>
      <c r="D360" s="2384"/>
      <c r="E360" s="2384"/>
      <c r="F360" s="2384"/>
      <c r="G360" s="2384"/>
      <c r="H360" s="2384"/>
    </row>
    <row r="361" spans="1:8">
      <c r="A361" s="2385" t="s">
        <v>790</v>
      </c>
      <c r="B361" s="2384"/>
      <c r="C361" s="2384"/>
      <c r="D361" s="2384"/>
      <c r="E361" s="2384"/>
      <c r="F361" s="2384"/>
      <c r="G361" s="2384"/>
      <c r="H361" s="2384"/>
    </row>
    <row r="362" spans="1:8">
      <c r="A362" s="2385" t="s">
        <v>791</v>
      </c>
      <c r="B362" s="2384"/>
      <c r="C362" s="2384"/>
      <c r="D362" s="2384"/>
      <c r="E362" s="2384"/>
      <c r="F362" s="2384"/>
      <c r="G362" s="2384"/>
      <c r="H362" s="2384"/>
    </row>
    <row r="363" spans="1:8">
      <c r="A363" s="2385" t="s">
        <v>792</v>
      </c>
      <c r="B363" s="2384"/>
      <c r="C363" s="2384"/>
      <c r="D363" s="2384"/>
      <c r="E363" s="2384"/>
      <c r="F363" s="2384"/>
      <c r="G363" s="2384"/>
      <c r="H363" s="2384"/>
    </row>
    <row r="364" spans="1:8">
      <c r="A364" s="2384"/>
      <c r="B364" s="2384"/>
      <c r="C364" s="2384"/>
      <c r="D364" s="2384"/>
      <c r="E364" s="2384"/>
      <c r="F364" s="2384"/>
      <c r="G364" s="2384"/>
      <c r="H364" s="2384"/>
    </row>
    <row r="365" spans="1:8">
      <c r="A365" s="2385" t="s">
        <v>783</v>
      </c>
      <c r="B365" s="2384"/>
      <c r="C365" s="2384"/>
      <c r="D365" s="2384"/>
      <c r="E365" s="2384"/>
      <c r="F365" s="2384"/>
      <c r="G365" s="2384"/>
      <c r="H365" s="2384"/>
    </row>
    <row r="366" spans="1:8">
      <c r="A366" s="2385" t="s">
        <v>784</v>
      </c>
      <c r="B366" s="2384"/>
      <c r="C366" s="2384"/>
      <c r="D366" s="2384"/>
      <c r="E366" s="2384"/>
      <c r="F366" s="2384"/>
      <c r="G366" s="2384"/>
      <c r="H366" s="2384"/>
    </row>
    <row r="367" spans="1:8">
      <c r="A367" s="2385" t="s">
        <v>785</v>
      </c>
      <c r="B367" s="2384"/>
      <c r="C367" s="2384"/>
      <c r="D367" s="2384"/>
      <c r="E367" s="2384"/>
      <c r="F367" s="2384"/>
      <c r="G367" s="2384"/>
      <c r="H367" s="2384"/>
    </row>
    <row r="368" spans="1:8">
      <c r="A368" s="2385" t="s">
        <v>786</v>
      </c>
      <c r="B368" s="2384"/>
      <c r="C368" s="2384"/>
      <c r="D368" s="2384"/>
      <c r="E368" s="2384"/>
      <c r="F368" s="2384"/>
      <c r="G368" s="2384"/>
      <c r="H368" s="2384"/>
    </row>
    <row r="369" spans="1:8">
      <c r="A369" s="2385" t="s">
        <v>787</v>
      </c>
      <c r="B369" s="2384"/>
      <c r="C369" s="2384"/>
      <c r="D369" s="2384"/>
      <c r="E369" s="2384"/>
      <c r="F369" s="2384"/>
      <c r="G369" s="2384"/>
      <c r="H369" s="2384"/>
    </row>
    <row r="370" spans="1:8">
      <c r="A370" s="2385" t="s">
        <v>788</v>
      </c>
      <c r="B370" s="2384"/>
      <c r="C370" s="2384"/>
      <c r="D370" s="2384"/>
      <c r="E370" s="2384"/>
      <c r="F370" s="2384"/>
      <c r="G370" s="2384"/>
      <c r="H370" s="2384"/>
    </row>
    <row r="371" spans="1:8">
      <c r="A371" s="2384"/>
      <c r="B371" s="2384"/>
      <c r="C371" s="2384"/>
      <c r="D371" s="2384"/>
      <c r="E371" s="2384"/>
      <c r="F371" s="2384"/>
      <c r="G371" s="2384"/>
      <c r="H371" s="2384"/>
    </row>
    <row r="372" spans="1:8">
      <c r="A372" s="2385" t="s">
        <v>778</v>
      </c>
      <c r="B372" s="2384"/>
      <c r="C372" s="2384"/>
      <c r="D372" s="2384"/>
      <c r="E372" s="2384"/>
      <c r="F372" s="2384"/>
      <c r="G372" s="2384"/>
      <c r="H372" s="2384"/>
    </row>
    <row r="373" spans="1:8">
      <c r="A373" s="2385" t="s">
        <v>779</v>
      </c>
      <c r="B373" s="2384"/>
      <c r="C373" s="2384"/>
      <c r="D373" s="2384"/>
      <c r="E373" s="2384"/>
      <c r="F373" s="2384"/>
      <c r="G373" s="2384"/>
      <c r="H373" s="2384"/>
    </row>
    <row r="374" spans="1:8">
      <c r="A374" s="2385" t="s">
        <v>780</v>
      </c>
      <c r="B374" s="2384"/>
      <c r="C374" s="2384"/>
      <c r="D374" s="2384"/>
      <c r="E374" s="2384"/>
      <c r="F374" s="2384"/>
      <c r="G374" s="2384"/>
      <c r="H374" s="2384"/>
    </row>
    <row r="375" spans="1:8">
      <c r="A375" s="2385" t="s">
        <v>781</v>
      </c>
      <c r="B375" s="2384"/>
      <c r="C375" s="2384"/>
      <c r="D375" s="2384"/>
      <c r="E375" s="2384"/>
      <c r="F375" s="2384"/>
      <c r="G375" s="2384"/>
      <c r="H375" s="2384"/>
    </row>
    <row r="376" spans="1:8">
      <c r="A376" s="2385" t="s">
        <v>782</v>
      </c>
      <c r="B376" s="2384"/>
      <c r="C376" s="2384"/>
      <c r="D376" s="2384"/>
      <c r="E376" s="2384"/>
      <c r="F376" s="2384"/>
      <c r="G376" s="2384"/>
      <c r="H376" s="2384"/>
    </row>
    <row r="377" spans="1:8">
      <c r="A377" s="2384"/>
      <c r="B377" s="2384"/>
      <c r="C377" s="2384"/>
      <c r="D377" s="2384"/>
      <c r="E377" s="2384"/>
      <c r="F377" s="2384"/>
      <c r="G377" s="2384"/>
      <c r="H377" s="2384"/>
    </row>
    <row r="378" spans="1:8">
      <c r="A378" s="2385" t="s">
        <v>776</v>
      </c>
      <c r="B378" s="2384"/>
      <c r="C378" s="2384"/>
      <c r="D378" s="2384"/>
      <c r="E378" s="2384"/>
      <c r="F378" s="2384"/>
      <c r="G378" s="2384"/>
      <c r="H378" s="2384"/>
    </row>
    <row r="379" spans="1:8">
      <c r="A379" s="2385" t="s">
        <v>777</v>
      </c>
      <c r="B379" s="2384"/>
      <c r="C379" s="2384"/>
      <c r="D379" s="2384"/>
      <c r="E379" s="2384"/>
      <c r="F379" s="2384"/>
      <c r="G379" s="2384"/>
      <c r="H379" s="2384"/>
    </row>
    <row r="381" spans="1:8">
      <c r="A381" s="2380" t="s">
        <v>1025</v>
      </c>
    </row>
  </sheetData>
  <mergeCells count="12">
    <mergeCell ref="A122:H122"/>
    <mergeCell ref="A123:H123"/>
    <mergeCell ref="B115:C115"/>
    <mergeCell ref="D115:F115"/>
    <mergeCell ref="G115:H115"/>
    <mergeCell ref="A101:H101"/>
    <mergeCell ref="A102:H102"/>
    <mergeCell ref="A103:H103"/>
    <mergeCell ref="A104:H104"/>
    <mergeCell ref="A106:H106"/>
    <mergeCell ref="A107:H107"/>
    <mergeCell ref="A114:H114"/>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DK167"/>
  <sheetViews>
    <sheetView zoomScaleNormal="100" workbookViewId="0">
      <pane xSplit="1" ySplit="8" topLeftCell="B9" activePane="bottomRight" state="frozen"/>
      <selection activeCell="A53" sqref="A53"/>
      <selection pane="topRight" activeCell="A53" sqref="A53"/>
      <selection pane="bottomLeft" activeCell="A53" sqref="A53"/>
      <selection pane="bottomRight"/>
    </sheetView>
  </sheetViews>
  <sheetFormatPr defaultColWidth="8.85546875" defaultRowHeight="12.75" outlineLevelRow="1" outlineLevelCol="1"/>
  <cols>
    <col min="1" max="1" width="26.85546875" style="130" customWidth="1"/>
    <col min="2" max="2" width="0.85546875" style="130" customWidth="1"/>
    <col min="3" max="6" width="7.42578125" style="130" hidden="1" customWidth="1" outlineLevel="1"/>
    <col min="7" max="7" width="7.42578125" style="130" hidden="1" customWidth="1" outlineLevel="1" collapsed="1"/>
    <col min="8" max="8" width="0.85546875" style="130" hidden="1" customWidth="1" outlineLevel="1"/>
    <col min="9" max="12" width="7.42578125" style="130" hidden="1" customWidth="1" outlineLevel="1"/>
    <col min="13" max="13" width="7.42578125" style="130" hidden="1" customWidth="1" outlineLevel="1" collapsed="1"/>
    <col min="14" max="14" width="0.85546875" style="130" hidden="1" customWidth="1" outlineLevel="1"/>
    <col min="15" max="19" width="7.42578125" style="130" hidden="1" customWidth="1" outlineLevel="1"/>
    <col min="20" max="20" width="0.85546875" style="130" hidden="1" customWidth="1" outlineLevel="1"/>
    <col min="21" max="25" width="7.42578125" style="130" hidden="1" customWidth="1" outlineLevel="1"/>
    <col min="26" max="26" width="0.85546875" style="130" hidden="1" customWidth="1" outlineLevel="1"/>
    <col min="27" max="31" width="7.42578125" style="130" hidden="1" customWidth="1" outlineLevel="1"/>
    <col min="32" max="32" width="0.85546875" style="130" hidden="1" customWidth="1" outlineLevel="1"/>
    <col min="33" max="36" width="7.42578125" style="130" hidden="1" customWidth="1" outlineLevel="1"/>
    <col min="37" max="37" width="7.42578125" style="130" customWidth="1" collapsed="1"/>
    <col min="38" max="38" width="0.85546875" style="130" customWidth="1"/>
    <col min="39" max="42" width="7.42578125" style="130" hidden="1" customWidth="1" outlineLevel="1"/>
    <col min="43" max="43" width="7.42578125" style="130" customWidth="1" collapsed="1"/>
    <col min="44" max="44" width="0.85546875" style="130" customWidth="1"/>
    <col min="45" max="48" width="7.42578125" style="130" hidden="1" customWidth="1" outlineLevel="1"/>
    <col min="49" max="49" width="7.42578125" style="130" customWidth="1" collapsed="1"/>
    <col min="50" max="50" width="0.85546875" style="130" customWidth="1"/>
    <col min="51" max="54" width="7.42578125" style="130" hidden="1" customWidth="1" outlineLevel="1"/>
    <col min="55" max="55" width="7.42578125" style="130" customWidth="1" collapsed="1"/>
    <col min="56" max="56" width="0.85546875" style="130" customWidth="1"/>
    <col min="57" max="57" width="7.42578125" style="130" hidden="1" customWidth="1" outlineLevel="1"/>
    <col min="58" max="58" width="8" style="130" hidden="1" customWidth="1" outlineLevel="1"/>
    <col min="59" max="60" width="7.42578125" style="130" hidden="1" customWidth="1" outlineLevel="1"/>
    <col min="61" max="61" width="7.42578125" style="130" customWidth="1" collapsed="1"/>
    <col min="62" max="62" width="0.85546875" style="130" customWidth="1"/>
    <col min="63" max="66" width="7.42578125" style="130" hidden="1" customWidth="1" outlineLevel="1"/>
    <col min="67" max="67" width="7.42578125" style="130" customWidth="1" collapsed="1"/>
    <col min="68" max="68" width="0.85546875" style="130" customWidth="1"/>
    <col min="69" max="72" width="7.42578125" style="130" customWidth="1" outlineLevel="1"/>
    <col min="73" max="73" width="7.42578125" style="130" customWidth="1"/>
    <col min="74" max="74" width="0.85546875" style="130" customWidth="1"/>
    <col min="75" max="78" width="7.42578125" style="130" customWidth="1" outlineLevel="1"/>
    <col min="79" max="79" width="7.42578125" style="130" customWidth="1"/>
    <col min="80" max="80" width="0.85546875" style="130" customWidth="1"/>
    <col min="81" max="84" width="7.42578125" style="130" hidden="1" customWidth="1" outlineLevel="1"/>
    <col min="85" max="85" width="7.42578125" style="130" customWidth="1" collapsed="1"/>
    <col min="86" max="86" width="0.85546875" style="130" customWidth="1"/>
    <col min="87" max="90" width="7.42578125" style="130" hidden="1" customWidth="1" outlineLevel="1"/>
    <col min="91" max="91" width="7.42578125" style="130" customWidth="1" collapsed="1"/>
    <col min="92" max="93" width="8.85546875" style="130"/>
    <col min="94" max="94" width="10.42578125" style="130" bestFit="1" customWidth="1"/>
    <col min="95" max="96" width="8.85546875" style="130"/>
    <col min="97" max="97" width="34.140625" hidden="1" customWidth="1" outlineLevel="1"/>
    <col min="98" max="98" width="10.85546875" hidden="1" customWidth="1" outlineLevel="1"/>
    <col min="99" max="99" width="18.85546875" hidden="1" customWidth="1" outlineLevel="1"/>
    <col min="100" max="100" width="9.85546875" hidden="1" customWidth="1" outlineLevel="1"/>
    <col min="101" max="101" width="15.140625" hidden="1" customWidth="1" outlineLevel="1"/>
    <col min="102" max="102" width="8.28515625" hidden="1" customWidth="1" outlineLevel="1"/>
    <col min="103" max="103" width="28.5703125" style="130" bestFit="1" customWidth="1" collapsed="1"/>
    <col min="104" max="104" width="6.5703125" style="130" bestFit="1" customWidth="1"/>
    <col min="105" max="16384" width="8.85546875" style="130"/>
  </cols>
  <sheetData>
    <row r="1" spans="1:96" ht="6" customHeight="1">
      <c r="A1" s="33"/>
      <c r="B1" s="202"/>
      <c r="C1" s="874"/>
      <c r="D1" s="874"/>
      <c r="E1" s="874"/>
      <c r="F1" s="874"/>
      <c r="G1" s="202"/>
      <c r="H1" s="202"/>
      <c r="I1" s="875"/>
      <c r="J1" s="875"/>
      <c r="K1" s="874"/>
      <c r="L1" s="874"/>
      <c r="M1" s="202"/>
      <c r="N1" s="202"/>
      <c r="O1" s="874"/>
      <c r="P1" s="874"/>
      <c r="Q1" s="874"/>
      <c r="R1" s="874"/>
      <c r="S1" s="202"/>
      <c r="T1" s="202"/>
      <c r="U1" s="874"/>
      <c r="V1" s="874"/>
      <c r="W1" s="874"/>
      <c r="X1" s="874"/>
      <c r="Y1" s="202"/>
      <c r="Z1" s="202"/>
      <c r="AA1" s="874"/>
      <c r="AB1" s="874"/>
      <c r="AC1" s="874"/>
      <c r="AD1" s="874"/>
      <c r="AE1" s="202"/>
      <c r="AF1" s="202"/>
      <c r="AG1" s="874"/>
      <c r="AH1" s="874"/>
      <c r="AI1" s="874"/>
      <c r="AJ1" s="874"/>
      <c r="AK1" s="202"/>
      <c r="AL1" s="202"/>
      <c r="AM1" s="1377"/>
      <c r="AN1" s="874"/>
      <c r="AO1" s="874"/>
      <c r="AP1" s="212"/>
      <c r="AQ1" s="202"/>
      <c r="AR1" s="202"/>
      <c r="AS1" s="874"/>
      <c r="AT1" s="874"/>
      <c r="AU1" s="874"/>
      <c r="AV1" s="874"/>
      <c r="AW1" s="202"/>
      <c r="AX1" s="202"/>
      <c r="AY1" s="874"/>
      <c r="AZ1" s="874"/>
      <c r="BA1" s="874"/>
      <c r="BB1" s="874"/>
      <c r="BC1" s="202"/>
      <c r="BD1" s="202"/>
      <c r="BE1" s="874"/>
      <c r="BF1" s="874"/>
      <c r="BG1" s="874"/>
      <c r="BH1" s="874"/>
      <c r="BI1" s="202"/>
      <c r="BJ1" s="202"/>
      <c r="BK1" s="874"/>
      <c r="BL1" s="874"/>
      <c r="BM1" s="874"/>
      <c r="BN1" s="874"/>
      <c r="BO1" s="202"/>
      <c r="BP1" s="202"/>
      <c r="BQ1" s="874"/>
      <c r="BR1" s="874"/>
      <c r="BS1" s="874"/>
      <c r="BT1" s="874"/>
      <c r="BU1" s="202"/>
      <c r="BV1" s="202"/>
      <c r="BW1" s="874"/>
      <c r="BX1" s="874"/>
      <c r="BY1" s="874"/>
      <c r="BZ1" s="874"/>
      <c r="CA1" s="202"/>
      <c r="CB1" s="202"/>
      <c r="CC1" s="874"/>
      <c r="CD1" s="874"/>
      <c r="CE1" s="874"/>
      <c r="CF1" s="874"/>
      <c r="CG1" s="202"/>
      <c r="CH1" s="202"/>
      <c r="CI1" s="874"/>
      <c r="CJ1" s="874"/>
      <c r="CK1" s="874"/>
      <c r="CL1" s="874"/>
      <c r="CM1" s="202"/>
      <c r="CN1" s="32"/>
      <c r="CO1" s="32"/>
      <c r="CP1" s="32"/>
      <c r="CQ1" s="32"/>
      <c r="CR1" s="32"/>
    </row>
    <row r="2" spans="1:96">
      <c r="A2" s="37" t="s">
        <v>217</v>
      </c>
      <c r="B2" s="38"/>
      <c r="C2" s="55"/>
      <c r="D2" s="55"/>
      <c r="E2" s="55"/>
      <c r="F2" s="55"/>
      <c r="G2" s="1719"/>
      <c r="H2" s="55"/>
      <c r="I2" s="55"/>
      <c r="J2" s="55"/>
      <c r="K2" s="55"/>
      <c r="L2" s="55"/>
      <c r="M2" s="1719"/>
      <c r="N2" s="55"/>
      <c r="O2" s="55"/>
      <c r="P2" s="55"/>
      <c r="Q2" s="55"/>
      <c r="R2" s="55"/>
      <c r="S2" s="55"/>
      <c r="T2" s="55"/>
      <c r="U2" s="55"/>
      <c r="V2" s="55"/>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2203"/>
      <c r="BV2" s="55"/>
      <c r="BW2" s="55"/>
      <c r="BX2" s="55"/>
      <c r="BY2" s="55"/>
      <c r="BZ2" s="55"/>
      <c r="CA2" s="2203"/>
      <c r="CB2" s="55"/>
      <c r="CC2" s="55"/>
      <c r="CD2" s="55"/>
      <c r="CE2" s="55"/>
      <c r="CF2" s="55"/>
      <c r="CG2" s="2203"/>
      <c r="CH2" s="55"/>
      <c r="CI2" s="55"/>
      <c r="CJ2" s="55"/>
      <c r="CK2" s="55"/>
      <c r="CL2" s="55"/>
      <c r="CM2" s="2203"/>
      <c r="CN2" s="32"/>
      <c r="CO2" s="32"/>
      <c r="CP2" s="32"/>
      <c r="CQ2" s="32"/>
      <c r="CR2" s="32"/>
    </row>
    <row r="3" spans="1:96">
      <c r="A3" s="40" t="s">
        <v>13</v>
      </c>
      <c r="B3" s="41"/>
      <c r="C3" s="1830"/>
      <c r="D3" s="1830"/>
      <c r="E3" s="1830"/>
      <c r="F3" s="1830"/>
      <c r="G3" s="1831"/>
      <c r="H3" s="1830"/>
      <c r="I3" s="1830"/>
      <c r="J3" s="1830"/>
      <c r="K3" s="1830"/>
      <c r="L3" s="1830"/>
      <c r="M3" s="1831"/>
      <c r="N3" s="1830"/>
      <c r="O3" s="1830"/>
      <c r="P3" s="1830"/>
      <c r="Q3" s="1830"/>
      <c r="R3" s="1830"/>
      <c r="S3" s="1830"/>
      <c r="T3" s="1830"/>
      <c r="U3" s="1830"/>
      <c r="V3" s="1830"/>
      <c r="W3" s="1830"/>
      <c r="X3" s="1830"/>
      <c r="Y3" s="1830"/>
      <c r="Z3" s="1830"/>
      <c r="AA3" s="1830"/>
      <c r="AB3" s="1830"/>
      <c r="AC3" s="1830"/>
      <c r="AD3" s="1830"/>
      <c r="AE3" s="1830"/>
      <c r="AF3" s="1830"/>
      <c r="AG3" s="1830"/>
      <c r="AH3" s="1830"/>
      <c r="AI3" s="1830"/>
      <c r="AJ3" s="1830"/>
      <c r="AK3" s="1830"/>
      <c r="AL3" s="1830"/>
      <c r="AM3" s="1830"/>
      <c r="AN3" s="1830"/>
      <c r="AO3" s="1830"/>
      <c r="AP3" s="1830"/>
      <c r="AQ3" s="1830"/>
      <c r="AR3" s="1830"/>
      <c r="AS3" s="1830"/>
      <c r="AT3" s="1830"/>
      <c r="AU3" s="1830"/>
      <c r="AV3" s="1830"/>
      <c r="AW3" s="1830"/>
      <c r="AX3" s="1830"/>
      <c r="AY3" s="1940"/>
      <c r="AZ3" s="1940"/>
      <c r="BA3" s="1940"/>
      <c r="BB3" s="1940"/>
      <c r="BC3" s="1830"/>
      <c r="BD3" s="1830"/>
      <c r="BE3" s="1830"/>
      <c r="BF3" s="1830"/>
      <c r="BG3" s="1830"/>
      <c r="BH3" s="1830"/>
      <c r="BI3" s="1830"/>
      <c r="BJ3" s="1830"/>
      <c r="BK3" s="1830"/>
      <c r="BL3" s="1830"/>
      <c r="BM3" s="120"/>
      <c r="BN3" s="1830"/>
      <c r="BO3" s="1830"/>
      <c r="BP3" s="1830"/>
      <c r="BQ3" s="1830"/>
      <c r="BR3" s="1830"/>
      <c r="BS3" s="1830"/>
      <c r="BT3" s="1830"/>
      <c r="BU3" s="1830"/>
      <c r="BV3" s="1830"/>
      <c r="BW3" s="1830"/>
      <c r="BX3" s="1830"/>
      <c r="BY3" s="1830"/>
      <c r="BZ3" s="1830"/>
      <c r="CA3" s="1830"/>
      <c r="CB3" s="1830"/>
      <c r="CC3" s="1830"/>
      <c r="CD3" s="1830"/>
      <c r="CE3" s="1830"/>
      <c r="CF3" s="1830"/>
      <c r="CG3" s="1830"/>
      <c r="CH3" s="1830"/>
      <c r="CI3" s="1830"/>
      <c r="CJ3" s="1830"/>
      <c r="CK3" s="1830"/>
      <c r="CL3" s="1830"/>
      <c r="CM3" s="1830"/>
      <c r="CN3" s="39"/>
      <c r="CO3" s="39"/>
      <c r="CP3" s="39"/>
      <c r="CQ3" s="39"/>
      <c r="CR3" s="39"/>
    </row>
    <row r="4" spans="1:96">
      <c r="A4" s="486" t="s">
        <v>458</v>
      </c>
      <c r="B4" s="44"/>
      <c r="C4" s="44"/>
      <c r="D4" s="44"/>
      <c r="E4" s="44"/>
      <c r="F4" s="44"/>
      <c r="G4" s="807"/>
      <c r="H4" s="44"/>
      <c r="I4" s="44"/>
      <c r="J4" s="44"/>
      <c r="K4" s="44"/>
      <c r="L4" s="44"/>
      <c r="M4" s="807"/>
      <c r="N4" s="44"/>
      <c r="O4" s="32"/>
      <c r="P4" s="45"/>
      <c r="Q4" s="46"/>
      <c r="R4" s="47"/>
      <c r="S4" s="45"/>
      <c r="T4" s="44"/>
      <c r="U4" s="34"/>
      <c r="V4" s="45"/>
      <c r="W4" s="46"/>
      <c r="X4" s="47"/>
      <c r="Y4" s="45"/>
      <c r="Z4" s="44"/>
      <c r="AA4" s="45"/>
      <c r="AB4" s="45"/>
      <c r="AC4" s="34"/>
      <c r="AD4" s="34"/>
      <c r="AE4" s="32"/>
      <c r="AF4" s="44"/>
      <c r="AG4" s="32"/>
      <c r="AH4" s="257"/>
      <c r="AI4" s="32"/>
      <c r="AJ4" s="32"/>
      <c r="AK4" s="32"/>
      <c r="AL4" s="44"/>
      <c r="AM4" s="32"/>
      <c r="AN4" s="32"/>
      <c r="AO4" s="32"/>
      <c r="AP4" s="32"/>
      <c r="AQ4" s="46"/>
      <c r="AR4" s="1935"/>
      <c r="AS4" s="1935"/>
      <c r="AT4" s="1935"/>
      <c r="AU4" s="1935"/>
      <c r="AV4" s="1935"/>
      <c r="AW4" s="1935"/>
      <c r="AX4" s="1935"/>
      <c r="AY4" s="1935"/>
      <c r="AZ4" s="1935"/>
      <c r="BA4" s="1935"/>
      <c r="BB4" s="1935"/>
      <c r="BC4" s="1935"/>
      <c r="BD4" s="1935"/>
      <c r="BE4" s="1763"/>
      <c r="BF4" s="1763"/>
      <c r="BG4" s="1763"/>
      <c r="BH4" s="1763"/>
      <c r="BI4" s="1763"/>
      <c r="BJ4" s="1763"/>
      <c r="BK4" s="1763"/>
      <c r="BL4" s="1763"/>
      <c r="BM4" s="1763"/>
      <c r="BN4" s="1763"/>
      <c r="BO4" s="1763"/>
      <c r="BP4" s="1763"/>
      <c r="BQ4" s="1763"/>
      <c r="BR4" s="1763"/>
      <c r="BS4" s="1763"/>
      <c r="BT4" s="1763"/>
      <c r="BU4" s="2235"/>
      <c r="BV4" s="1763"/>
      <c r="BW4" s="1763"/>
      <c r="BX4" s="1763"/>
      <c r="BY4" s="1763"/>
      <c r="BZ4" s="1763"/>
      <c r="CA4" s="1763"/>
      <c r="CB4" s="1763"/>
      <c r="CC4" s="1763"/>
      <c r="CD4" s="1763"/>
      <c r="CE4" s="1763"/>
      <c r="CF4" s="1763"/>
      <c r="CG4" s="1763"/>
      <c r="CH4" s="1763"/>
      <c r="CI4" s="1763"/>
      <c r="CJ4" s="1763"/>
      <c r="CK4" s="1763"/>
      <c r="CL4" s="1763"/>
      <c r="CM4" s="1763"/>
      <c r="CN4" s="2208"/>
      <c r="CO4" s="2208"/>
      <c r="CP4" s="2208"/>
      <c r="CQ4" s="2208"/>
      <c r="CR4" s="2208"/>
    </row>
    <row r="5" spans="1:96" collapsed="1">
      <c r="A5" s="487" t="s">
        <v>83</v>
      </c>
      <c r="B5" s="49"/>
      <c r="C5" s="49"/>
      <c r="D5" s="49"/>
      <c r="E5" s="49"/>
      <c r="F5" s="49"/>
      <c r="G5" s="48"/>
      <c r="H5" s="49"/>
      <c r="I5" s="49"/>
      <c r="J5" s="49"/>
      <c r="K5" s="49"/>
      <c r="L5" s="49"/>
      <c r="M5" s="48"/>
      <c r="N5" s="49"/>
      <c r="O5" s="32"/>
      <c r="P5" s="50"/>
      <c r="Q5" s="34"/>
      <c r="R5" s="34"/>
      <c r="S5" s="34"/>
      <c r="T5" s="49"/>
      <c r="U5" s="32"/>
      <c r="V5" s="50"/>
      <c r="W5" s="34"/>
      <c r="X5" s="34"/>
      <c r="Y5" s="34"/>
      <c r="Z5" s="49"/>
      <c r="AA5" s="32"/>
      <c r="AB5" s="34"/>
      <c r="AC5" s="51"/>
      <c r="AD5" s="51"/>
      <c r="AE5" s="34"/>
      <c r="AF5" s="49"/>
      <c r="AG5" s="32"/>
      <c r="AH5" s="32"/>
      <c r="AI5" s="32"/>
      <c r="AJ5" s="32"/>
      <c r="AK5" s="32"/>
      <c r="AL5" s="49"/>
      <c r="AM5" s="32"/>
      <c r="AN5" s="32"/>
      <c r="AO5" s="32"/>
      <c r="AP5" s="32"/>
      <c r="AQ5" s="46"/>
      <c r="AR5" s="38"/>
      <c r="AS5" s="32"/>
      <c r="AT5" s="32"/>
      <c r="AU5" s="32"/>
      <c r="AV5" s="32"/>
      <c r="AW5" s="32"/>
      <c r="AX5" s="38"/>
      <c r="AY5" s="32"/>
      <c r="AZ5" s="32"/>
      <c r="BA5" s="32"/>
      <c r="BB5" s="32"/>
      <c r="BC5" s="32"/>
      <c r="BD5" s="38"/>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32"/>
      <c r="CO5" s="32"/>
      <c r="CP5" s="32"/>
      <c r="CQ5" s="32"/>
      <c r="CR5" s="32"/>
    </row>
    <row r="6" spans="1:96" customFormat="1" ht="12.75" hidden="1" customHeight="1" outlineLevel="1"/>
    <row r="7" spans="1:96" ht="13.5" customHeight="1" collapsed="1">
      <c r="A7" s="52"/>
      <c r="B7" s="170"/>
      <c r="C7" s="876">
        <v>2007</v>
      </c>
      <c r="D7" s="877"/>
      <c r="E7" s="877"/>
      <c r="F7" s="877"/>
      <c r="G7" s="878">
        <v>2007</v>
      </c>
      <c r="H7" s="263"/>
      <c r="I7" s="876">
        <f>C7+1</f>
        <v>2008</v>
      </c>
      <c r="J7" s="877"/>
      <c r="K7" s="877"/>
      <c r="L7" s="877"/>
      <c r="M7" s="878">
        <f>G7+1</f>
        <v>2008</v>
      </c>
      <c r="N7" s="879"/>
      <c r="O7" s="876">
        <f>I7+1</f>
        <v>2009</v>
      </c>
      <c r="P7" s="877"/>
      <c r="Q7" s="877"/>
      <c r="R7" s="877"/>
      <c r="S7" s="878">
        <f>M7+1</f>
        <v>2009</v>
      </c>
      <c r="T7" s="879"/>
      <c r="U7" s="876">
        <f>O7+1</f>
        <v>2010</v>
      </c>
      <c r="V7" s="877"/>
      <c r="W7" s="877"/>
      <c r="X7" s="877"/>
      <c r="Y7" s="878">
        <f>S7+1</f>
        <v>2010</v>
      </c>
      <c r="Z7" s="879"/>
      <c r="AA7" s="876">
        <f>U7+1</f>
        <v>2011</v>
      </c>
      <c r="AB7" s="877"/>
      <c r="AC7" s="877"/>
      <c r="AD7" s="877"/>
      <c r="AE7" s="878">
        <f>Y7+1</f>
        <v>2011</v>
      </c>
      <c r="AF7" s="879"/>
      <c r="AG7" s="876">
        <f>AA7+1</f>
        <v>2012</v>
      </c>
      <c r="AH7" s="877"/>
      <c r="AI7" s="877"/>
      <c r="AJ7" s="877"/>
      <c r="AK7" s="878">
        <f>AE7+1</f>
        <v>2012</v>
      </c>
      <c r="AL7" s="879"/>
      <c r="AM7" s="876">
        <f>AG7+1</f>
        <v>2013</v>
      </c>
      <c r="AN7" s="877"/>
      <c r="AO7" s="877"/>
      <c r="AP7" s="877"/>
      <c r="AQ7" s="878">
        <f>AK7+1</f>
        <v>2013</v>
      </c>
      <c r="AR7" s="879"/>
      <c r="AS7" s="876">
        <f>AM7+1</f>
        <v>2014</v>
      </c>
      <c r="AT7" s="877"/>
      <c r="AU7" s="877"/>
      <c r="AV7" s="877"/>
      <c r="AW7" s="878">
        <f>AQ7+1</f>
        <v>2014</v>
      </c>
      <c r="AX7" s="879"/>
      <c r="AY7" s="876">
        <f>AS7+1</f>
        <v>2015</v>
      </c>
      <c r="AZ7" s="877"/>
      <c r="BA7" s="877"/>
      <c r="BB7" s="877"/>
      <c r="BC7" s="878">
        <f>AW7+1</f>
        <v>2015</v>
      </c>
      <c r="BD7" s="879"/>
      <c r="BE7" s="876">
        <f>AY7+1</f>
        <v>2016</v>
      </c>
      <c r="BF7" s="877"/>
      <c r="BG7" s="877"/>
      <c r="BH7" s="877"/>
      <c r="BI7" s="878">
        <f>BC7+1</f>
        <v>2016</v>
      </c>
      <c r="BJ7" s="879"/>
      <c r="BK7" s="876">
        <f>BE7+1</f>
        <v>2017</v>
      </c>
      <c r="BL7" s="877"/>
      <c r="BM7" s="877"/>
      <c r="BN7" s="877"/>
      <c r="BO7" s="878">
        <f>BI7+1</f>
        <v>2017</v>
      </c>
      <c r="BP7" s="879"/>
      <c r="BQ7" s="881">
        <f>BK7+1</f>
        <v>2018</v>
      </c>
      <c r="BR7" s="877"/>
      <c r="BS7" s="877"/>
      <c r="BT7" s="877"/>
      <c r="BU7" s="880">
        <f>BO7+1</f>
        <v>2018</v>
      </c>
      <c r="BV7" s="879"/>
      <c r="BW7" s="881">
        <f>BQ7+1</f>
        <v>2019</v>
      </c>
      <c r="BX7" s="877"/>
      <c r="BY7" s="877"/>
      <c r="BZ7" s="877"/>
      <c r="CA7" s="880">
        <f>BU7+1</f>
        <v>2019</v>
      </c>
      <c r="CB7" s="879"/>
      <c r="CC7" s="881">
        <f>BW7+1</f>
        <v>2020</v>
      </c>
      <c r="CD7" s="877"/>
      <c r="CE7" s="877"/>
      <c r="CF7" s="877"/>
      <c r="CG7" s="880">
        <f>CA7+1</f>
        <v>2020</v>
      </c>
      <c r="CH7" s="879"/>
      <c r="CI7" s="881">
        <f>CC7+1</f>
        <v>2021</v>
      </c>
      <c r="CJ7" s="877"/>
      <c r="CK7" s="877"/>
      <c r="CL7" s="877"/>
      <c r="CM7" s="880">
        <f>CG7+1</f>
        <v>2021</v>
      </c>
      <c r="CN7" s="2208"/>
      <c r="CO7" s="2208"/>
      <c r="CP7" s="2208"/>
      <c r="CQ7" s="2208"/>
      <c r="CR7" s="2208"/>
    </row>
    <row r="8" spans="1:96" ht="13.5" thickBot="1">
      <c r="A8" s="36"/>
      <c r="B8" s="170"/>
      <c r="C8" s="882">
        <v>39172</v>
      </c>
      <c r="D8" s="883">
        <f>C8+FLOOR(365/4,1)</f>
        <v>39263</v>
      </c>
      <c r="E8" s="883">
        <f>D8+FLOOR(365/4,1)+1</f>
        <v>39355</v>
      </c>
      <c r="F8" s="883">
        <f>E8+FLOOR(365/4,1)+1</f>
        <v>39447</v>
      </c>
      <c r="G8" s="884"/>
      <c r="H8" s="270"/>
      <c r="I8" s="882">
        <f>C8+366</f>
        <v>39538</v>
      </c>
      <c r="J8" s="883">
        <f>I8+FLOOR(365/4,1)</f>
        <v>39629</v>
      </c>
      <c r="K8" s="883">
        <f>J8+FLOOR(365/4,1)+1</f>
        <v>39721</v>
      </c>
      <c r="L8" s="883">
        <f>K8+FLOOR(365/4,1)+1</f>
        <v>39813</v>
      </c>
      <c r="M8" s="884"/>
      <c r="N8" s="885"/>
      <c r="O8" s="882">
        <f>I8+365</f>
        <v>39903</v>
      </c>
      <c r="P8" s="883">
        <f>O8+FLOOR(365/4,1)</f>
        <v>39994</v>
      </c>
      <c r="Q8" s="883">
        <f>P8+FLOOR(365/4,1)+1</f>
        <v>40086</v>
      </c>
      <c r="R8" s="883">
        <f>Q8+FLOOR(365/4,1)+1</f>
        <v>40178</v>
      </c>
      <c r="S8" s="884"/>
      <c r="T8" s="885"/>
      <c r="U8" s="882">
        <f>O8+365</f>
        <v>40268</v>
      </c>
      <c r="V8" s="883">
        <f>U8+FLOOR(365/4,1)</f>
        <v>40359</v>
      </c>
      <c r="W8" s="883">
        <f>V8+FLOOR(365/4,1)+1</f>
        <v>40451</v>
      </c>
      <c r="X8" s="883">
        <f>W8+FLOOR(365/4,1)+1</f>
        <v>40543</v>
      </c>
      <c r="Y8" s="884"/>
      <c r="Z8" s="885"/>
      <c r="AA8" s="882">
        <f>U8+365</f>
        <v>40633</v>
      </c>
      <c r="AB8" s="883">
        <f>AA8+FLOOR(365/4,1)</f>
        <v>40724</v>
      </c>
      <c r="AC8" s="883">
        <f>AB8+FLOOR(365/4,1)+1</f>
        <v>40816</v>
      </c>
      <c r="AD8" s="883">
        <f>AC8+FLOOR(365/4,1)+1</f>
        <v>40908</v>
      </c>
      <c r="AE8" s="1622"/>
      <c r="AF8" s="1623"/>
      <c r="AG8" s="1624">
        <f>AA8+366</f>
        <v>40999</v>
      </c>
      <c r="AH8" s="1625">
        <f>AG8+FLOOR(365/4,1)</f>
        <v>41090</v>
      </c>
      <c r="AI8" s="1625">
        <f>AH8+FLOOR(365/4,1)+1</f>
        <v>41182</v>
      </c>
      <c r="AJ8" s="1625">
        <f>AI8+FLOOR(365/4,1)+1</f>
        <v>41274</v>
      </c>
      <c r="AK8" s="1622"/>
      <c r="AL8" s="1623"/>
      <c r="AM8" s="1624">
        <f>AG8+365</f>
        <v>41364</v>
      </c>
      <c r="AN8" s="1625">
        <f>AM8+FLOOR(365/4,1)</f>
        <v>41455</v>
      </c>
      <c r="AO8" s="1625">
        <f>AN8+FLOOR(365/4,1)+1</f>
        <v>41547</v>
      </c>
      <c r="AP8" s="1625">
        <f>AO8+FLOOR(365/4,1)+1</f>
        <v>41639</v>
      </c>
      <c r="AQ8" s="1622"/>
      <c r="AR8" s="1623"/>
      <c r="AS8" s="1624">
        <f>AM8+365</f>
        <v>41729</v>
      </c>
      <c r="AT8" s="1626">
        <f>AS8+FLOOR(365/4,1)</f>
        <v>41820</v>
      </c>
      <c r="AU8" s="1626">
        <f>AT8+FLOOR(365/4,1)+1</f>
        <v>41912</v>
      </c>
      <c r="AV8" s="1626">
        <f>AU8+FLOOR(365/4,1)+1</f>
        <v>42004</v>
      </c>
      <c r="AW8" s="1622"/>
      <c r="AX8" s="1623"/>
      <c r="AY8" s="1624">
        <f>AS8+365</f>
        <v>42094</v>
      </c>
      <c r="AZ8" s="1626">
        <f>AY8+FLOOR(365/4,1)</f>
        <v>42185</v>
      </c>
      <c r="BA8" s="1626">
        <f>AZ8+FLOOR(365/4,1)+1</f>
        <v>42277</v>
      </c>
      <c r="BB8" s="1626">
        <f>BA8+FLOOR(365/4,1)+1</f>
        <v>42369</v>
      </c>
      <c r="BC8" s="1622"/>
      <c r="BD8" s="1623"/>
      <c r="BE8" s="1624">
        <f>AY8+365+1</f>
        <v>42460</v>
      </c>
      <c r="BF8" s="1626">
        <f>BE8+FLOOR(365/4,1)</f>
        <v>42551</v>
      </c>
      <c r="BG8" s="1626">
        <f>BF8+FLOOR(365/4,1)+1</f>
        <v>42643</v>
      </c>
      <c r="BH8" s="1626">
        <f>BG8+FLOOR(365/4,1)+1</f>
        <v>42735</v>
      </c>
      <c r="BI8" s="1622"/>
      <c r="BJ8" s="1623"/>
      <c r="BK8" s="1624">
        <f>BE8+365</f>
        <v>42825</v>
      </c>
      <c r="BL8" s="1626">
        <f>BK8+FLOOR(365/4,1)</f>
        <v>42916</v>
      </c>
      <c r="BM8" s="1626">
        <f>BL8+FLOOR(365/4,1)+1</f>
        <v>43008</v>
      </c>
      <c r="BN8" s="1626">
        <f>BM8+FLOOR(365/4,1)+1</f>
        <v>43100</v>
      </c>
      <c r="BO8" s="1622"/>
      <c r="BP8" s="1623"/>
      <c r="BQ8" s="1627">
        <f>BK8+365</f>
        <v>43190</v>
      </c>
      <c r="BR8" s="1628">
        <f>BQ8+FLOOR(365/4,1)</f>
        <v>43281</v>
      </c>
      <c r="BS8" s="1628">
        <f>BR8+FLOOR(365/4,1)+1</f>
        <v>43373</v>
      </c>
      <c r="BT8" s="1629">
        <f>BS8+FLOOR(365/4,1)+1</f>
        <v>43465</v>
      </c>
      <c r="BU8" s="1622"/>
      <c r="BV8" s="1623"/>
      <c r="BW8" s="1627">
        <f>BQ8+365</f>
        <v>43555</v>
      </c>
      <c r="BX8" s="1628">
        <f>BW8+FLOOR(365/4,1)</f>
        <v>43646</v>
      </c>
      <c r="BY8" s="1628">
        <f>BX8+FLOOR(365/4,1)+1</f>
        <v>43738</v>
      </c>
      <c r="BZ8" s="1629">
        <f>BY8+FLOOR(365/4,1)+1</f>
        <v>43830</v>
      </c>
      <c r="CA8" s="1622"/>
      <c r="CB8" s="1623"/>
      <c r="CC8" s="1627">
        <f>BW8+365</f>
        <v>43920</v>
      </c>
      <c r="CD8" s="1628">
        <f>CC8+FLOOR(365/4,1)</f>
        <v>44011</v>
      </c>
      <c r="CE8" s="1628">
        <f>CD8+FLOOR(365/4,1)+1</f>
        <v>44103</v>
      </c>
      <c r="CF8" s="1629">
        <f>CE8+FLOOR(365/4,1)+1</f>
        <v>44195</v>
      </c>
      <c r="CG8" s="1622"/>
      <c r="CH8" s="1623"/>
      <c r="CI8" s="1627">
        <f>CC8+365</f>
        <v>44285</v>
      </c>
      <c r="CJ8" s="1628">
        <f>CI8+FLOOR(365/4,1)</f>
        <v>44376</v>
      </c>
      <c r="CK8" s="1628">
        <f>CJ8+FLOOR(365/4,1)+1</f>
        <v>44468</v>
      </c>
      <c r="CL8" s="1629">
        <f>CK8+FLOOR(365/4,1)+1</f>
        <v>44560</v>
      </c>
      <c r="CM8" s="1622"/>
      <c r="CN8" s="36"/>
      <c r="CO8" s="36"/>
      <c r="CP8" s="36"/>
      <c r="CQ8" s="36"/>
      <c r="CR8" s="36"/>
    </row>
    <row r="9" spans="1:96" ht="12.75" hidden="1" customHeight="1" outlineLevel="1">
      <c r="A9" s="1799" t="s">
        <v>208</v>
      </c>
      <c r="B9" s="489"/>
      <c r="C9" s="585">
        <v>299.53800000000001</v>
      </c>
      <c r="D9" s="586">
        <v>326.28399999999999</v>
      </c>
      <c r="E9" s="586">
        <v>319.34100000000001</v>
      </c>
      <c r="F9" s="587">
        <v>379.32100000000003</v>
      </c>
      <c r="G9" s="588">
        <f>SUM(C9:F9)</f>
        <v>1324.4839999999999</v>
      </c>
      <c r="H9" s="588"/>
      <c r="I9" s="585">
        <v>180.089</v>
      </c>
      <c r="J9" s="586">
        <v>203.91300000000001</v>
      </c>
      <c r="K9" s="586">
        <v>196.697</v>
      </c>
      <c r="L9" s="587">
        <v>193.90299999999999</v>
      </c>
      <c r="M9" s="588">
        <f>SUM(I9:L9)</f>
        <v>774.60200000000009</v>
      </c>
      <c r="N9" s="588"/>
      <c r="O9" s="585">
        <v>177.26400000000001</v>
      </c>
      <c r="P9" s="586">
        <v>184.85</v>
      </c>
      <c r="Q9" s="586">
        <v>179.13200000000001</v>
      </c>
      <c r="R9" s="589">
        <f>731.649-O9-P9-Q9</f>
        <v>190.40299999999996</v>
      </c>
      <c r="S9" s="588">
        <f>SUM(O9:R9)</f>
        <v>731.64900000000011</v>
      </c>
      <c r="T9" s="588"/>
      <c r="U9" s="586">
        <v>188.572</v>
      </c>
      <c r="V9" s="586">
        <v>197.66800000000001</v>
      </c>
      <c r="W9" s="586">
        <v>194.69200000000001</v>
      </c>
      <c r="X9" s="589">
        <f>797.044-U9-V9-W9</f>
        <v>216.11199999999997</v>
      </c>
      <c r="Y9" s="588">
        <f>SUM(U9:X9)</f>
        <v>797.04399999999998</v>
      </c>
      <c r="Z9" s="588"/>
      <c r="AA9" s="585">
        <v>156.62663240000001</v>
      </c>
      <c r="AB9" s="586">
        <v>174.21023160000004</v>
      </c>
      <c r="AC9" s="586">
        <v>167.52309000000002</v>
      </c>
      <c r="AD9" s="586">
        <v>171.98674499999993</v>
      </c>
      <c r="AE9" s="588">
        <f>SUM(AA9:AD9)</f>
        <v>670.34669899999994</v>
      </c>
      <c r="AF9" s="590"/>
      <c r="AG9" s="585">
        <v>177.77851000000007</v>
      </c>
      <c r="AH9" s="586">
        <v>183.69569179999996</v>
      </c>
      <c r="AI9" s="586">
        <v>181.4075144</v>
      </c>
      <c r="AJ9" s="586">
        <v>189.57829999999998</v>
      </c>
      <c r="AK9" s="588">
        <f>SUM(AG9:AJ9)</f>
        <v>732.46001620000004</v>
      </c>
      <c r="AL9" s="588"/>
      <c r="AM9" s="585">
        <v>182.55897164151222</v>
      </c>
      <c r="AN9" s="586">
        <v>186.2576918</v>
      </c>
      <c r="AO9" s="586">
        <v>181.17471382400004</v>
      </c>
      <c r="AP9" s="586">
        <v>203.41747199999998</v>
      </c>
      <c r="AQ9" s="588">
        <f>SUM(AM9:AP9)</f>
        <v>753.40884926551223</v>
      </c>
      <c r="AR9" s="590"/>
      <c r="AS9" s="585">
        <v>195.47339050717264</v>
      </c>
      <c r="AT9" s="586">
        <v>201.56558431509995</v>
      </c>
      <c r="AU9" s="586">
        <v>194.89122234016003</v>
      </c>
      <c r="AV9" s="586">
        <v>202.49564258000001</v>
      </c>
      <c r="AW9" s="588">
        <f>SUM(AS9:AV9)</f>
        <v>794.42583974243269</v>
      </c>
      <c r="AX9" s="590"/>
      <c r="AY9" s="585">
        <v>135.81399999999999</v>
      </c>
      <c r="AZ9" s="586">
        <v>143.934</v>
      </c>
      <c r="BA9" s="586">
        <v>145.536</v>
      </c>
      <c r="BB9" s="586">
        <v>151.88999999999999</v>
      </c>
      <c r="BC9" s="588">
        <f>SUM(AY9:BB9)</f>
        <v>577.17399999999998</v>
      </c>
      <c r="BD9" s="590"/>
      <c r="BE9" s="585">
        <v>141.744</v>
      </c>
      <c r="BF9" s="586">
        <v>154.91399999999999</v>
      </c>
      <c r="BG9" s="586">
        <v>149.57599999999999</v>
      </c>
      <c r="BH9" s="586">
        <v>157.01</v>
      </c>
      <c r="BI9" s="588">
        <f>SUM(BE9:BH9)</f>
        <v>603.24400000000003</v>
      </c>
      <c r="BJ9" s="590"/>
      <c r="BK9" s="585">
        <f>152.355+0.185</f>
        <v>152.54</v>
      </c>
      <c r="BL9" s="586">
        <v>164.02</v>
      </c>
      <c r="BM9" s="586">
        <v>169.078</v>
      </c>
      <c r="BN9" s="2278">
        <v>193.63</v>
      </c>
      <c r="BO9" s="584">
        <f>SUM(BK9:BN9)</f>
        <v>679.26800000000003</v>
      </c>
      <c r="BP9" s="590"/>
      <c r="BQ9" s="1620">
        <f>ProFormaRevBuild!BQ9</f>
        <v>233.81214734266246</v>
      </c>
      <c r="BR9" s="1621">
        <f>ProFormaRevBuild!BR9</f>
        <v>274.63204098563881</v>
      </c>
      <c r="BS9" s="1621">
        <f>ProFormaRevBuild!BS9</f>
        <v>279.37163169312595</v>
      </c>
      <c r="BT9" s="1621">
        <f>ProFormaRevBuild!BT9</f>
        <v>301.42331967164495</v>
      </c>
      <c r="BU9" s="584">
        <f>SUM(BQ9:BT9)</f>
        <v>1089.2391396930723</v>
      </c>
      <c r="BV9" s="590"/>
      <c r="BW9" s="1620">
        <f>ProFormaRevBuild!BW9</f>
        <v>256.47520551494404</v>
      </c>
      <c r="BX9" s="1621">
        <f>ProFormaRevBuild!BX9</f>
        <v>304.91206062875068</v>
      </c>
      <c r="BY9" s="1621">
        <f>ProFormaRevBuild!BY9</f>
        <v>314.05292272654668</v>
      </c>
      <c r="BZ9" s="1621">
        <f>ProFormaRevBuild!BZ9</f>
        <v>340.51442321551372</v>
      </c>
      <c r="CA9" s="584">
        <f>SUM(BW9:BZ9)</f>
        <v>1215.9546120857551</v>
      </c>
      <c r="CB9" s="590"/>
      <c r="CC9" s="1620">
        <f>ProFormaRevBuild!CC9</f>
        <v>293.01234387375291</v>
      </c>
      <c r="CD9" s="1621">
        <f>ProFormaRevBuild!CD9</f>
        <v>347.44292209417841</v>
      </c>
      <c r="CE9" s="1621">
        <f>ProFormaRevBuild!CE9</f>
        <v>355.47135982659745</v>
      </c>
      <c r="CF9" s="1621">
        <f>ProFormaRevBuild!CF9</f>
        <v>382.43077831310427</v>
      </c>
      <c r="CG9" s="584">
        <f>SUM(CC9:CF9)</f>
        <v>1378.3574041076331</v>
      </c>
      <c r="CH9" s="590"/>
      <c r="CI9" s="1620">
        <f>ProFormaRevBuild!CI9</f>
        <v>319.55432344321804</v>
      </c>
      <c r="CJ9" s="1621">
        <f>ProFormaRevBuild!CJ9</f>
        <v>377.59336878787127</v>
      </c>
      <c r="CK9" s="1621">
        <f>ProFormaRevBuild!CK9</f>
        <v>389.22396041412537</v>
      </c>
      <c r="CL9" s="1621">
        <f>ProFormaRevBuild!CL9</f>
        <v>418.95444919743346</v>
      </c>
      <c r="CM9" s="584">
        <f>SUM(CI9:CL9)</f>
        <v>1505.3261018426481</v>
      </c>
      <c r="CN9" s="490"/>
      <c r="CO9" s="490"/>
      <c r="CP9" s="490"/>
      <c r="CQ9" s="490"/>
      <c r="CR9" s="490"/>
    </row>
    <row r="10" spans="1:96" ht="12.75" hidden="1" customHeight="1" outlineLevel="1">
      <c r="A10" s="1546" t="s">
        <v>527</v>
      </c>
      <c r="B10" s="517"/>
      <c r="C10" s="591">
        <v>103.36199999999999</v>
      </c>
      <c r="D10" s="583">
        <v>111.006</v>
      </c>
      <c r="E10" s="583">
        <v>116.327</v>
      </c>
      <c r="F10" s="583">
        <v>101.374</v>
      </c>
      <c r="G10" s="584">
        <f>SUM(C10:F10)</f>
        <v>432.06899999999996</v>
      </c>
      <c r="H10" s="584"/>
      <c r="I10" s="591">
        <v>278.63099999999997</v>
      </c>
      <c r="J10" s="583">
        <v>301.05200000000002</v>
      </c>
      <c r="K10" s="583">
        <v>282.05</v>
      </c>
      <c r="L10" s="583">
        <v>305.96699999999998</v>
      </c>
      <c r="M10" s="584">
        <f>SUM(I10:L10)</f>
        <v>1167.6999999999998</v>
      </c>
      <c r="N10" s="584"/>
      <c r="O10" s="591">
        <v>257.89299999999997</v>
      </c>
      <c r="P10" s="583">
        <v>253.42</v>
      </c>
      <c r="Q10" s="583">
        <v>197.904</v>
      </c>
      <c r="R10" s="582">
        <f>819.117-O10-P10-Q10</f>
        <v>109.89999999999998</v>
      </c>
      <c r="S10" s="584">
        <f>SUM(O10:R10)</f>
        <v>819.11699999999996</v>
      </c>
      <c r="T10" s="584"/>
      <c r="U10" s="591">
        <v>205.048</v>
      </c>
      <c r="V10" s="587">
        <v>224.12700000000001</v>
      </c>
      <c r="W10" s="587">
        <v>224.63300000000001</v>
      </c>
      <c r="X10" s="582">
        <f>908.036-U10-V10-W10</f>
        <v>254.22799999999992</v>
      </c>
      <c r="Y10" s="584">
        <f>SUM(U10:X10)</f>
        <v>908.03599999999994</v>
      </c>
      <c r="Z10" s="584"/>
      <c r="AA10" s="591">
        <v>326.56236760000002</v>
      </c>
      <c r="AB10" s="583">
        <v>349.38276839999997</v>
      </c>
      <c r="AC10" s="587">
        <v>332.27891</v>
      </c>
      <c r="AD10" s="583">
        <v>381.87025499999999</v>
      </c>
      <c r="AE10" s="584">
        <f>SUM(AA10:AD10)</f>
        <v>1390.0943010000001</v>
      </c>
      <c r="AF10" s="592"/>
      <c r="AG10" s="591">
        <v>339.58448999999996</v>
      </c>
      <c r="AH10" s="583">
        <v>348.55730820000008</v>
      </c>
      <c r="AI10" s="587">
        <v>333.43348560000004</v>
      </c>
      <c r="AJ10" s="583">
        <v>387.41870000000006</v>
      </c>
      <c r="AK10" s="584">
        <f>SUM(AG10:AJ10)</f>
        <v>1408.9939838</v>
      </c>
      <c r="AL10" s="584"/>
      <c r="AM10" s="591">
        <v>324.75102835848787</v>
      </c>
      <c r="AN10" s="583">
        <v>358.21430820000006</v>
      </c>
      <c r="AO10" s="587">
        <v>341.82015683600002</v>
      </c>
      <c r="AP10" s="583">
        <v>390.60152800000014</v>
      </c>
      <c r="AQ10" s="584">
        <f>SUM(AM10:AP10)</f>
        <v>1415.3870213944881</v>
      </c>
      <c r="AR10" s="592"/>
      <c r="AS10" s="591">
        <v>336.60965749282764</v>
      </c>
      <c r="AT10" s="583">
        <v>355.02902268490004</v>
      </c>
      <c r="AU10" s="587">
        <v>348.00612385984005</v>
      </c>
      <c r="AV10" s="583">
        <v>406.12764353680018</v>
      </c>
      <c r="AW10" s="584">
        <f>SUM(AS10:AV10)</f>
        <v>1445.7724475743678</v>
      </c>
      <c r="AX10" s="592"/>
      <c r="AY10" s="591">
        <v>348.59800000000001</v>
      </c>
      <c r="AZ10" s="583">
        <v>381.529</v>
      </c>
      <c r="BA10" s="587">
        <v>380.137</v>
      </c>
      <c r="BB10" s="583">
        <v>418.18200000000002</v>
      </c>
      <c r="BC10" s="584">
        <f>SUM(AY10:BB10)</f>
        <v>1528.4459999999999</v>
      </c>
      <c r="BD10" s="592"/>
      <c r="BE10" s="591">
        <v>356.447</v>
      </c>
      <c r="BF10" s="583">
        <v>381.50400000000002</v>
      </c>
      <c r="BG10" s="587">
        <v>365.089</v>
      </c>
      <c r="BH10" s="583">
        <v>409.94400000000002</v>
      </c>
      <c r="BI10" s="584">
        <f>SUM(BE10:BH10)</f>
        <v>1512.9839999999999</v>
      </c>
      <c r="BJ10" s="592"/>
      <c r="BK10" s="591">
        <v>361.76</v>
      </c>
      <c r="BL10" s="583">
        <v>383.12799999999999</v>
      </c>
      <c r="BM10" s="583">
        <v>385.38200000000001</v>
      </c>
      <c r="BN10" s="2279">
        <v>448.18900000000002</v>
      </c>
      <c r="BO10" s="584">
        <f>SUM(BK10:BN10)</f>
        <v>1578.4590000000001</v>
      </c>
      <c r="BP10" s="592"/>
      <c r="BQ10" s="695">
        <f>ProFormaRevBuild!BQ12</f>
        <v>389.84753804948974</v>
      </c>
      <c r="BR10" s="696">
        <f>ProFormaRevBuild!BR12</f>
        <v>411.24060931034228</v>
      </c>
      <c r="BS10" s="696">
        <f>ProFormaRevBuild!BS12</f>
        <v>403.49603023448327</v>
      </c>
      <c r="BT10" s="694">
        <f>ProFormaRevBuild!BT12</f>
        <v>464.57940922962655</v>
      </c>
      <c r="BU10" s="584">
        <f>SUM(BQ10:BT10)</f>
        <v>1669.1635868239418</v>
      </c>
      <c r="BV10" s="592"/>
      <c r="BW10" s="695">
        <f>ProFormaRevBuild!BW12</f>
        <v>406.92209889612514</v>
      </c>
      <c r="BX10" s="696">
        <f>ProFormaRevBuild!BX12</f>
        <v>429.12463140155029</v>
      </c>
      <c r="BY10" s="696">
        <f>ProFormaRevBuild!BY12</f>
        <v>420.51223585751461</v>
      </c>
      <c r="BZ10" s="694">
        <f>ProFormaRevBuild!BZ12</f>
        <v>484.25957825931431</v>
      </c>
      <c r="CA10" s="584">
        <f>SUM(BW10:BZ10)</f>
        <v>1740.8185444145042</v>
      </c>
      <c r="CB10" s="592"/>
      <c r="CC10" s="695">
        <f>ProFormaRevBuild!CC12</f>
        <v>418.21466146316425</v>
      </c>
      <c r="CD10" s="696">
        <f>ProFormaRevBuild!CD12</f>
        <v>441.0193016578994</v>
      </c>
      <c r="CE10" s="696">
        <f>ProFormaRevBuild!CE12</f>
        <v>431.79113020352827</v>
      </c>
      <c r="CF10" s="694">
        <f>ProFormaRevBuild!CF12</f>
        <v>497.32147804807096</v>
      </c>
      <c r="CG10" s="584">
        <f>SUM(CC10:CF10)</f>
        <v>1788.346571372663</v>
      </c>
      <c r="CH10" s="592"/>
      <c r="CI10" s="695">
        <f>ProFormaRevBuild!CI12</f>
        <v>429.84798832443937</v>
      </c>
      <c r="CJ10" s="696">
        <f>ProFormaRevBuild!CJ12</f>
        <v>453.27101847723122</v>
      </c>
      <c r="CK10" s="696">
        <f>ProFormaRevBuild!CK12</f>
        <v>443.40395851569014</v>
      </c>
      <c r="CL10" s="694">
        <f>ProFormaRevBuild!CL12</f>
        <v>510.77495413519381</v>
      </c>
      <c r="CM10" s="584">
        <f>SUM(CI10:CL10)</f>
        <v>1837.2979194525547</v>
      </c>
      <c r="CN10" s="2"/>
      <c r="CO10" s="2"/>
      <c r="CP10" s="2"/>
      <c r="CQ10" s="2"/>
      <c r="CR10" s="2"/>
    </row>
    <row r="11" spans="1:96" collapsed="1">
      <c r="A11" s="1547" t="s">
        <v>116</v>
      </c>
      <c r="B11" s="492"/>
      <c r="C11" s="611">
        <f>+C9+C10</f>
        <v>402.9</v>
      </c>
      <c r="D11" s="607">
        <f>+D9+D10</f>
        <v>437.28999999999996</v>
      </c>
      <c r="E11" s="607">
        <f>+E9+E10</f>
        <v>435.66800000000001</v>
      </c>
      <c r="F11" s="607">
        <f>+F9+F10</f>
        <v>480.69500000000005</v>
      </c>
      <c r="G11" s="1526">
        <f>+G9+G10</f>
        <v>1756.5529999999999</v>
      </c>
      <c r="H11" s="610"/>
      <c r="I11" s="611">
        <f>+I9+I10</f>
        <v>458.71999999999997</v>
      </c>
      <c r="J11" s="607">
        <f>+J9+J10</f>
        <v>504.96500000000003</v>
      </c>
      <c r="K11" s="607">
        <f>+K9+K10</f>
        <v>478.74700000000001</v>
      </c>
      <c r="L11" s="607">
        <f>+L9+L10</f>
        <v>499.87</v>
      </c>
      <c r="M11" s="1526">
        <f>+M9+M10</f>
        <v>1942.3019999999999</v>
      </c>
      <c r="N11" s="610"/>
      <c r="O11" s="611">
        <f>+O9+O10</f>
        <v>435.15699999999998</v>
      </c>
      <c r="P11" s="607">
        <f>+P9+P10</f>
        <v>438.27</v>
      </c>
      <c r="Q11" s="607">
        <f>+Q9+Q10</f>
        <v>377.036</v>
      </c>
      <c r="R11" s="607">
        <f>+R9+R10</f>
        <v>300.30299999999994</v>
      </c>
      <c r="S11" s="1526">
        <f>+S9+S10</f>
        <v>1550.7660000000001</v>
      </c>
      <c r="T11" s="610"/>
      <c r="U11" s="1527">
        <f>+U9+U10</f>
        <v>393.62</v>
      </c>
      <c r="V11" s="1527">
        <f>+V9+V10</f>
        <v>421.79500000000002</v>
      </c>
      <c r="W11" s="1527">
        <f>+W9+W10</f>
        <v>419.32500000000005</v>
      </c>
      <c r="X11" s="1528">
        <f>+X9+X10</f>
        <v>470.33999999999992</v>
      </c>
      <c r="Y11" s="1526">
        <f>+Y9+Y10</f>
        <v>1705.08</v>
      </c>
      <c r="Z11" s="610"/>
      <c r="AA11" s="1529">
        <f>+AA9+AA10</f>
        <v>483.18900000000002</v>
      </c>
      <c r="AB11" s="1527">
        <f>+AB9+AB10</f>
        <v>523.59300000000007</v>
      </c>
      <c r="AC11" s="1527">
        <f>+AC9+AC10</f>
        <v>499.80200000000002</v>
      </c>
      <c r="AD11" s="607">
        <f>+AD9+AD10</f>
        <v>553.85699999999997</v>
      </c>
      <c r="AE11" s="1526">
        <f>+AE9+AE10</f>
        <v>2060.4409999999998</v>
      </c>
      <c r="AF11" s="620"/>
      <c r="AG11" s="1529">
        <f>+AG9+AG10</f>
        <v>517.36300000000006</v>
      </c>
      <c r="AH11" s="1527">
        <f>+AH9+AH10</f>
        <v>532.25300000000004</v>
      </c>
      <c r="AI11" s="1527">
        <f>AI10+AI9</f>
        <v>514.84100000000001</v>
      </c>
      <c r="AJ11" s="1528">
        <f>AJ9+AJ10</f>
        <v>576.99700000000007</v>
      </c>
      <c r="AK11" s="1526">
        <f>SUM(AG11:AJ11)</f>
        <v>2141.4539999999997</v>
      </c>
      <c r="AL11" s="610"/>
      <c r="AM11" s="1529">
        <f>AM9+AM10</f>
        <v>507.31000000000006</v>
      </c>
      <c r="AN11" s="1527">
        <f>AN9+AN10</f>
        <v>544.47200000000009</v>
      </c>
      <c r="AO11" s="1527">
        <f>AO9+AO10</f>
        <v>522.99487066000006</v>
      </c>
      <c r="AP11" s="1528">
        <f>AP9+AP10</f>
        <v>594.01900000000012</v>
      </c>
      <c r="AQ11" s="1526">
        <f>SUM(AM11:AP11)</f>
        <v>2168.7958706600002</v>
      </c>
      <c r="AR11" s="612"/>
      <c r="AS11" s="1529">
        <f>AS9+AS10</f>
        <v>532.0830480000003</v>
      </c>
      <c r="AT11" s="1527">
        <f>AT9+AT10</f>
        <v>556.594607</v>
      </c>
      <c r="AU11" s="1527">
        <f>AU9+AU10</f>
        <v>542.89734620000013</v>
      </c>
      <c r="AV11" s="1528">
        <f>AV9+AV10</f>
        <v>608.62328611680016</v>
      </c>
      <c r="AW11" s="1526">
        <f>SUM(AS11:AV11)</f>
        <v>2240.1982873168008</v>
      </c>
      <c r="AX11" s="612"/>
      <c r="AY11" s="1529">
        <f>AY9+AY10</f>
        <v>484.41200000000003</v>
      </c>
      <c r="AZ11" s="1527">
        <f>AZ9+AZ10</f>
        <v>525.46299999999997</v>
      </c>
      <c r="BA11" s="1527">
        <f>BA9+BA10</f>
        <v>525.673</v>
      </c>
      <c r="BB11" s="1528">
        <f>BB9+BB10</f>
        <v>570.072</v>
      </c>
      <c r="BC11" s="1526">
        <f>SUM(AY11:BB11)</f>
        <v>2105.62</v>
      </c>
      <c r="BD11" s="612"/>
      <c r="BE11" s="1529">
        <f>BE9+BE10</f>
        <v>498.19100000000003</v>
      </c>
      <c r="BF11" s="1527">
        <f>BF9+BF10</f>
        <v>536.41800000000001</v>
      </c>
      <c r="BG11" s="1527">
        <f>BG9+BG10</f>
        <v>514.66499999999996</v>
      </c>
      <c r="BH11" s="1528">
        <f>BH9+BH10</f>
        <v>566.95399999999995</v>
      </c>
      <c r="BI11" s="1526">
        <f>SUM(BE11:BH11)</f>
        <v>2116.2280000000001</v>
      </c>
      <c r="BJ11" s="612"/>
      <c r="BK11" s="1529">
        <f>BK9+BK10</f>
        <v>514.29999999999995</v>
      </c>
      <c r="BL11" s="1527">
        <f>BL9+BL10</f>
        <v>547.14800000000002</v>
      </c>
      <c r="BM11" s="1527">
        <f>BM9+BM10</f>
        <v>554.46</v>
      </c>
      <c r="BN11" s="1528">
        <f>BN9+BN10</f>
        <v>641.81899999999996</v>
      </c>
      <c r="BO11" s="1526">
        <f>SUM(BK11:BN11)</f>
        <v>2257.7269999999999</v>
      </c>
      <c r="BP11" s="612"/>
      <c r="BQ11" s="1529">
        <f>BQ9+BQ10</f>
        <v>623.65968539215214</v>
      </c>
      <c r="BR11" s="1527">
        <f>BR9+BR10</f>
        <v>685.87265029598109</v>
      </c>
      <c r="BS11" s="1527">
        <f>BS9+BS10</f>
        <v>682.86766192760922</v>
      </c>
      <c r="BT11" s="1528">
        <f>BT9+BT10</f>
        <v>766.00272890127144</v>
      </c>
      <c r="BU11" s="1526">
        <f>SUM(BQ11:BT11)</f>
        <v>2758.4027265170139</v>
      </c>
      <c r="BV11" s="612"/>
      <c r="BW11" s="1529">
        <f>BW9+BW10</f>
        <v>663.39730441106917</v>
      </c>
      <c r="BX11" s="1527">
        <f>BX9+BX10</f>
        <v>734.03669203030097</v>
      </c>
      <c r="BY11" s="1527">
        <f>BY9+BY10</f>
        <v>734.56515858406124</v>
      </c>
      <c r="BZ11" s="1528">
        <f>BZ9+BZ10</f>
        <v>824.77400147482808</v>
      </c>
      <c r="CA11" s="1526">
        <f>SUM(BW11:BZ11)</f>
        <v>2956.7731565002596</v>
      </c>
      <c r="CB11" s="612"/>
      <c r="CC11" s="1529">
        <f>CC9+CC10</f>
        <v>711.22700533691716</v>
      </c>
      <c r="CD11" s="1527">
        <f>CD9+CD10</f>
        <v>788.46222375207776</v>
      </c>
      <c r="CE11" s="1527">
        <f>CE9+CE10</f>
        <v>787.26249003012572</v>
      </c>
      <c r="CF11" s="1528">
        <f>CF9+CF10</f>
        <v>879.75225636117523</v>
      </c>
      <c r="CG11" s="1526">
        <f>SUM(CC11:CF11)</f>
        <v>3166.7039754802959</v>
      </c>
      <c r="CH11" s="612"/>
      <c r="CI11" s="1529">
        <f>CI9+CI10</f>
        <v>749.40231176765747</v>
      </c>
      <c r="CJ11" s="1527">
        <f>CJ9+CJ10</f>
        <v>830.86438726510255</v>
      </c>
      <c r="CK11" s="1527">
        <f>CK9+CK10</f>
        <v>832.62791892981545</v>
      </c>
      <c r="CL11" s="1528">
        <f>CL9+CL10</f>
        <v>929.72940333262727</v>
      </c>
      <c r="CM11" s="1526">
        <f>SUM(CI11:CL11)</f>
        <v>3342.6240212952025</v>
      </c>
      <c r="CN11" s="491"/>
      <c r="CO11" s="491"/>
      <c r="CP11" s="491"/>
      <c r="CQ11" s="491"/>
      <c r="CR11" s="491"/>
    </row>
    <row r="12" spans="1:96">
      <c r="A12" s="1608" t="s">
        <v>117</v>
      </c>
      <c r="B12" s="1531"/>
      <c r="C12" s="1532">
        <f>242.833-8.5-0.2</f>
        <v>234.13300000000001</v>
      </c>
      <c r="D12" s="1533">
        <f>262.642-8.6-0.3</f>
        <v>253.74199999999999</v>
      </c>
      <c r="E12" s="1533">
        <f>256.722-8.5-0.4</f>
        <v>247.82199999999997</v>
      </c>
      <c r="F12" s="1534">
        <f>273.969-8.9-0.3-0.962</f>
        <v>263.80700000000002</v>
      </c>
      <c r="G12" s="1535">
        <f>G11-G13</f>
        <v>999.50399999999991</v>
      </c>
      <c r="H12" s="1536"/>
      <c r="I12" s="1532">
        <f>266.606-9.2-1.353</f>
        <v>256.053</v>
      </c>
      <c r="J12" s="1533">
        <f>289.935-9.6-0.936</f>
        <v>279.399</v>
      </c>
      <c r="K12" s="1533">
        <f>273.124-9.5-0.482</f>
        <v>263.142</v>
      </c>
      <c r="L12" s="1534">
        <f>281.524-9.2-0.17</f>
        <v>272.154</v>
      </c>
      <c r="M12" s="1535">
        <f>M11-M13</f>
        <v>1070.748</v>
      </c>
      <c r="N12" s="1536"/>
      <c r="O12" s="1532">
        <f>246.619-8.8-0.4</f>
        <v>237.41899999999998</v>
      </c>
      <c r="P12" s="1533">
        <f>250.199-9.2-0.2</f>
        <v>240.79900000000004</v>
      </c>
      <c r="Q12" s="1533">
        <f>208.281-9.2-0.5</f>
        <v>198.58100000000002</v>
      </c>
      <c r="R12" s="1534">
        <f>851.784-36.3-1.8-O12-P12-Q12</f>
        <v>136.88500000000005</v>
      </c>
      <c r="S12" s="1535">
        <f>S11-S13</f>
        <v>813.6840000000002</v>
      </c>
      <c r="T12" s="1536"/>
      <c r="U12" s="1532">
        <f>218.354-9.8-0.2</f>
        <v>208.35400000000001</v>
      </c>
      <c r="V12" s="1533">
        <f>232.36-10.5-(0.2-0.182)</f>
        <v>221.84200000000001</v>
      </c>
      <c r="W12" s="1533">
        <f>233.36-11.1-(0.2-0.182)</f>
        <v>222.24200000000002</v>
      </c>
      <c r="X12" s="1534">
        <f>943.112-(0.7-0.734-0)-42.5-0.1-U12-V12-W12</f>
        <v>248.10799999999989</v>
      </c>
      <c r="Y12" s="1535">
        <f>Y11-Y13</f>
        <v>900.54599999999982</v>
      </c>
      <c r="Z12" s="1536"/>
      <c r="AA12" s="1532">
        <f>246.867-11.4-(0.3-0.191)+0.163</f>
        <v>235.52099999999999</v>
      </c>
      <c r="AB12" s="1533">
        <f>269.871-13.4-(6.5-0.37-5.817)</f>
        <v>256.15800000000002</v>
      </c>
      <c r="AC12" s="1533">
        <f>253.579-(10-0.332-9.587)-13.9</f>
        <v>239.59800000000001</v>
      </c>
      <c r="AD12" s="1533">
        <f>1070.708-(34.9-3.304-27.52)-53.4-4.2-AA12-AB12-AC12</f>
        <v>277.75500000000005</v>
      </c>
      <c r="AE12" s="1537">
        <f>AE11-AE13</f>
        <v>1009.0319999999999</v>
      </c>
      <c r="AF12" s="717"/>
      <c r="AG12" s="1532">
        <f>278.876-1.219-(11-2.411-4.062)-13</f>
        <v>260.13</v>
      </c>
      <c r="AH12" s="1533">
        <f>282.996-13-(10.7-10.5)</f>
        <v>269.79599999999999</v>
      </c>
      <c r="AI12" s="1533">
        <f>278.864-12.7</f>
        <v>266.16399999999999</v>
      </c>
      <c r="AJ12" s="1534">
        <f>311.263-13.1-2.5-(4.5-0.609-3.467)</f>
        <v>295.23899999999998</v>
      </c>
      <c r="AK12" s="1537">
        <f>SUM(AG12:AJ12)</f>
        <v>1091.329</v>
      </c>
      <c r="AL12" s="1536"/>
      <c r="AM12" s="1532">
        <f>280.493-12.9-2.1+0.047+1.932</f>
        <v>267.47200000000004</v>
      </c>
      <c r="AN12" s="1538">
        <f>299.011-12.5-3.9+3.799</f>
        <v>286.41000000000003</v>
      </c>
      <c r="AO12" s="1538">
        <f>288.832-14-0.2</f>
        <v>274.63200000000001</v>
      </c>
      <c r="AP12" s="1539">
        <f>317.002-(13.3+0.9)</f>
        <v>302.80200000000002</v>
      </c>
      <c r="AQ12" s="1540">
        <f>SUM(AM12:AP12)</f>
        <v>1131.3160000000003</v>
      </c>
      <c r="AR12" s="1541"/>
      <c r="AS12" s="1532">
        <f>294.897-12.7-1.5+0.054+1.452</f>
        <v>282.20299999999997</v>
      </c>
      <c r="AT12" s="1542">
        <f>308.186+0.426-0.4-12.3</f>
        <v>295.91199999999998</v>
      </c>
      <c r="AU12" s="1542">
        <f>298.74-12.4</f>
        <v>286.34000000000003</v>
      </c>
      <c r="AV12" s="1539">
        <f>330.788-12.3-(2.7-0.227)-8.5</f>
        <v>307.51499999999999</v>
      </c>
      <c r="AW12" s="1540">
        <f>SUM(AS12:AV12)</f>
        <v>1171.97</v>
      </c>
      <c r="AX12" s="1541"/>
      <c r="AY12" s="1670">
        <v>249.11200000000002</v>
      </c>
      <c r="AZ12" s="1542">
        <v>275.46299999999997</v>
      </c>
      <c r="BA12" s="1542">
        <v>274.87299999999999</v>
      </c>
      <c r="BB12" s="1539">
        <v>290.17200000000003</v>
      </c>
      <c r="BC12" s="1540">
        <f>SUM(AY12:BB12)</f>
        <v>1089.6200000000001</v>
      </c>
      <c r="BD12" s="1541"/>
      <c r="BE12" s="1670">
        <v>254.59100000000004</v>
      </c>
      <c r="BF12" s="1542">
        <v>274.31799999999998</v>
      </c>
      <c r="BG12" s="1542">
        <v>258.96499999999997</v>
      </c>
      <c r="BH12" s="1542">
        <v>283.15399999999994</v>
      </c>
      <c r="BI12" s="1540">
        <f>SUM(BE12:BH12)</f>
        <v>1071.028</v>
      </c>
      <c r="BJ12" s="1541"/>
      <c r="BK12" s="1670">
        <f>274.504-7-2.25</f>
        <v>265.25400000000002</v>
      </c>
      <c r="BL12" s="1542">
        <f>289.459-7.1-1.98</f>
        <v>280.37899999999996</v>
      </c>
      <c r="BM12" s="1542">
        <f>285.453-7.1</f>
        <v>278.35299999999995</v>
      </c>
      <c r="BN12" s="1542">
        <v>324.41899999999998</v>
      </c>
      <c r="BO12" s="1540">
        <f>SUM(BK12:BN12)</f>
        <v>1148.405</v>
      </c>
      <c r="BP12" s="1541"/>
      <c r="BQ12" s="1544">
        <f>BQ11-BQ13</f>
        <v>316.04412328064416</v>
      </c>
      <c r="BR12" s="1543">
        <f>BR11-BR13</f>
        <v>338.43509377520905</v>
      </c>
      <c r="BS12" s="1543">
        <f>BS11-BS13</f>
        <v>329.84242150510499</v>
      </c>
      <c r="BT12" s="1543">
        <f>BT11-BT13</f>
        <v>372.63585575320855</v>
      </c>
      <c r="BU12" s="1540">
        <f>SUM(BQ12:BT12)</f>
        <v>1356.9574943141668</v>
      </c>
      <c r="BV12" s="1541"/>
      <c r="BW12" s="1544">
        <f>BW11-BW13</f>
        <v>332.20106956907364</v>
      </c>
      <c r="BX12" s="1543">
        <f>BX11-BX13</f>
        <v>357.7968044760994</v>
      </c>
      <c r="BY12" s="1543">
        <f>BY11-BY13</f>
        <v>350.40623424888395</v>
      </c>
      <c r="BZ12" s="1543">
        <f>BZ11-BZ13</f>
        <v>396.27755825730918</v>
      </c>
      <c r="CA12" s="1540">
        <f>SUM(BW12:BZ12)</f>
        <v>1436.6816665513663</v>
      </c>
      <c r="CB12" s="1541"/>
      <c r="CC12" s="1544">
        <f>CC11-CC13</f>
        <v>352.59600835454626</v>
      </c>
      <c r="CD12" s="1543">
        <f>CD11-CD13</f>
        <v>380.38352323199337</v>
      </c>
      <c r="CE12" s="1543">
        <f>CE11-CE13</f>
        <v>371.60788709860481</v>
      </c>
      <c r="CF12" s="1543">
        <f>CF11-CF13</f>
        <v>418.29409203166608</v>
      </c>
      <c r="CG12" s="1540">
        <f>SUM(CC12:CF12)</f>
        <v>1522.8815107168107</v>
      </c>
      <c r="CH12" s="1541"/>
      <c r="CI12" s="1544">
        <f>CI11-CI13</f>
        <v>367.77468516831732</v>
      </c>
      <c r="CJ12" s="1543">
        <f>CJ11-CJ13</f>
        <v>396.68558317911373</v>
      </c>
      <c r="CK12" s="1543">
        <f>CK11-CK13</f>
        <v>388.85838195780934</v>
      </c>
      <c r="CL12" s="1543">
        <f>CL11-CL13</f>
        <v>437.40798175599906</v>
      </c>
      <c r="CM12" s="1540">
        <f>SUM(CI12:CL12)</f>
        <v>1590.7266320612396</v>
      </c>
      <c r="CN12" s="54"/>
      <c r="CO12" s="54"/>
      <c r="CP12" s="54"/>
      <c r="CQ12" s="54"/>
      <c r="CR12" s="54"/>
    </row>
    <row r="13" spans="1:96">
      <c r="A13" s="1547" t="s">
        <v>118</v>
      </c>
      <c r="B13" s="492"/>
      <c r="C13" s="611">
        <f>C11-C12</f>
        <v>168.76699999999997</v>
      </c>
      <c r="D13" s="607">
        <f>D11-D12</f>
        <v>183.54799999999997</v>
      </c>
      <c r="E13" s="607">
        <f>E11-E12</f>
        <v>187.84600000000003</v>
      </c>
      <c r="F13" s="607">
        <f>F11-F12</f>
        <v>216.88800000000003</v>
      </c>
      <c r="G13" s="609">
        <f>SUM(C13:F13)</f>
        <v>757.04899999999998</v>
      </c>
      <c r="H13" s="610"/>
      <c r="I13" s="611">
        <f>I11-I12</f>
        <v>202.66699999999997</v>
      </c>
      <c r="J13" s="607">
        <f>J11-J12</f>
        <v>225.56600000000003</v>
      </c>
      <c r="K13" s="607">
        <f>K11-K12</f>
        <v>215.60500000000002</v>
      </c>
      <c r="L13" s="607">
        <f>L11-L12</f>
        <v>227.71600000000001</v>
      </c>
      <c r="M13" s="609">
        <f>SUM(I13:L13)</f>
        <v>871.55399999999997</v>
      </c>
      <c r="N13" s="610"/>
      <c r="O13" s="611">
        <f>O11-O12</f>
        <v>197.738</v>
      </c>
      <c r="P13" s="607">
        <f>P11-P12</f>
        <v>197.47099999999995</v>
      </c>
      <c r="Q13" s="607">
        <f>Q11-Q12</f>
        <v>178.45499999999998</v>
      </c>
      <c r="R13" s="607">
        <f>R11-R12</f>
        <v>163.41799999999989</v>
      </c>
      <c r="S13" s="609">
        <f>SUM(O13:R13)</f>
        <v>737.08199999999988</v>
      </c>
      <c r="T13" s="610"/>
      <c r="U13" s="611">
        <f>U11-U12</f>
        <v>185.26599999999999</v>
      </c>
      <c r="V13" s="607">
        <f>V11-V12</f>
        <v>199.953</v>
      </c>
      <c r="W13" s="607">
        <f>W11-W12</f>
        <v>197.08300000000003</v>
      </c>
      <c r="X13" s="607">
        <f>X11-X12</f>
        <v>222.23200000000003</v>
      </c>
      <c r="Y13" s="609">
        <f>SUM(U13:X13)</f>
        <v>804.53400000000011</v>
      </c>
      <c r="Z13" s="610"/>
      <c r="AA13" s="611">
        <f>AA11-AA12</f>
        <v>247.66800000000003</v>
      </c>
      <c r="AB13" s="607">
        <f>AB11-AB12</f>
        <v>267.43500000000006</v>
      </c>
      <c r="AC13" s="607">
        <f>AC11-AC12</f>
        <v>260.20400000000001</v>
      </c>
      <c r="AD13" s="607">
        <f>AD11-AD12</f>
        <v>276.10199999999992</v>
      </c>
      <c r="AE13" s="609">
        <f>SUM(AA13:AD13)</f>
        <v>1051.4089999999999</v>
      </c>
      <c r="AF13" s="620"/>
      <c r="AG13" s="611">
        <f>AG11-AG12</f>
        <v>257.23300000000006</v>
      </c>
      <c r="AH13" s="607">
        <f>AH11-AH12</f>
        <v>262.45700000000005</v>
      </c>
      <c r="AI13" s="607">
        <f>AI11-AI12</f>
        <v>248.67700000000002</v>
      </c>
      <c r="AJ13" s="607">
        <f>AJ11-AJ12</f>
        <v>281.7580000000001</v>
      </c>
      <c r="AK13" s="609">
        <f>AK11-AK12</f>
        <v>1050.1249999999998</v>
      </c>
      <c r="AL13" s="610"/>
      <c r="AM13" s="611">
        <f>AM11-AM12</f>
        <v>239.83800000000002</v>
      </c>
      <c r="AN13" s="607">
        <f>AN11-AN12</f>
        <v>258.06200000000007</v>
      </c>
      <c r="AO13" s="607">
        <f>AO11-AO12</f>
        <v>248.36287066000006</v>
      </c>
      <c r="AP13" s="607">
        <f>AP11-AP12</f>
        <v>291.2170000000001</v>
      </c>
      <c r="AQ13" s="609">
        <f>AQ11-AQ12</f>
        <v>1037.47987066</v>
      </c>
      <c r="AR13" s="633"/>
      <c r="AS13" s="611">
        <f>AS11-AS12</f>
        <v>249.88004800000033</v>
      </c>
      <c r="AT13" s="607">
        <f>AT11-AT12</f>
        <v>260.68260700000002</v>
      </c>
      <c r="AU13" s="607">
        <f>AU11-AU12</f>
        <v>256.5573462000001</v>
      </c>
      <c r="AV13" s="607">
        <f>AV11-AV12</f>
        <v>301.10828611680017</v>
      </c>
      <c r="AW13" s="609">
        <f>AW11-AW12</f>
        <v>1068.2282873168008</v>
      </c>
      <c r="AX13" s="633"/>
      <c r="AY13" s="1939">
        <f>AY11-AY12</f>
        <v>235.3</v>
      </c>
      <c r="AZ13" s="607">
        <f>AZ11-AZ12</f>
        <v>250</v>
      </c>
      <c r="BA13" s="607">
        <f>BA11-BA12</f>
        <v>250.8</v>
      </c>
      <c r="BB13" s="607">
        <f>BB11-BB12</f>
        <v>279.89999999999998</v>
      </c>
      <c r="BC13" s="609">
        <f>BC11-BC12</f>
        <v>1015.9999999999998</v>
      </c>
      <c r="BD13" s="633"/>
      <c r="BE13" s="611">
        <f>BE11-BE12</f>
        <v>243.6</v>
      </c>
      <c r="BF13" s="607">
        <f>BF11-BF12</f>
        <v>262.10000000000002</v>
      </c>
      <c r="BG13" s="607">
        <f>BG11-BG12</f>
        <v>255.7</v>
      </c>
      <c r="BH13" s="607">
        <f>BH11-BH12</f>
        <v>283.8</v>
      </c>
      <c r="BI13" s="609">
        <f>BI11-BI12</f>
        <v>1045.2</v>
      </c>
      <c r="BJ13" s="633"/>
      <c r="BK13" s="611">
        <f>BK11-BK12</f>
        <v>249.04599999999994</v>
      </c>
      <c r="BL13" s="607">
        <f>BL11-BL12</f>
        <v>266.76900000000006</v>
      </c>
      <c r="BM13" s="607">
        <f>BM11-BM12</f>
        <v>276.10700000000008</v>
      </c>
      <c r="BN13" s="607">
        <f>BN11-BN12</f>
        <v>317.39999999999998</v>
      </c>
      <c r="BO13" s="609">
        <f>BO11-BO12</f>
        <v>1109.3219999999999</v>
      </c>
      <c r="BP13" s="633"/>
      <c r="BQ13" s="611">
        <f>BQ56*BQ11</f>
        <v>307.61556211150798</v>
      </c>
      <c r="BR13" s="607">
        <f>BR56*BR11</f>
        <v>347.43755652077203</v>
      </c>
      <c r="BS13" s="607">
        <f>BS56*BS11</f>
        <v>353.02524042250423</v>
      </c>
      <c r="BT13" s="607">
        <f>BT56*BT11</f>
        <v>393.36687314806289</v>
      </c>
      <c r="BU13" s="609">
        <f>BU11-BU12</f>
        <v>1401.4452322028471</v>
      </c>
      <c r="BV13" s="633"/>
      <c r="BW13" s="611">
        <f>BW56*BW11</f>
        <v>331.19623484199553</v>
      </c>
      <c r="BX13" s="607">
        <f>BX56*BX11</f>
        <v>376.23988755420157</v>
      </c>
      <c r="BY13" s="607">
        <f>BY56*BY11</f>
        <v>384.15892433517729</v>
      </c>
      <c r="BZ13" s="607">
        <f>BZ56*BZ11</f>
        <v>428.4964432175189</v>
      </c>
      <c r="CA13" s="609">
        <f>CA11-CA12</f>
        <v>1520.0914899488932</v>
      </c>
      <c r="CB13" s="633"/>
      <c r="CC13" s="611">
        <f>CC56*CC11</f>
        <v>358.6309969823709</v>
      </c>
      <c r="CD13" s="607">
        <f>CD56*CD11</f>
        <v>408.0787005200844</v>
      </c>
      <c r="CE13" s="607">
        <f>CE56*CE11</f>
        <v>415.65460293152091</v>
      </c>
      <c r="CF13" s="607">
        <f>CF56*CF11</f>
        <v>461.45816432950915</v>
      </c>
      <c r="CG13" s="609">
        <f>CG11-CG12</f>
        <v>1643.8224647634852</v>
      </c>
      <c r="CH13" s="633"/>
      <c r="CI13" s="611">
        <f>CI56*CI11</f>
        <v>381.62762659934015</v>
      </c>
      <c r="CJ13" s="607">
        <f>CJ56*CJ11</f>
        <v>434.17880408598882</v>
      </c>
      <c r="CK13" s="607">
        <f>CK56*CK11</f>
        <v>443.76953697200611</v>
      </c>
      <c r="CL13" s="607">
        <f>CL56*CL11</f>
        <v>492.32142157662821</v>
      </c>
      <c r="CM13" s="609">
        <f>CM11-CM12</f>
        <v>1751.8973892339629</v>
      </c>
      <c r="CN13" s="491"/>
      <c r="CO13" s="491"/>
      <c r="CP13" s="491"/>
      <c r="CQ13" s="491"/>
      <c r="CR13" s="491"/>
    </row>
    <row r="14" spans="1:96">
      <c r="A14" s="528" t="s">
        <v>119</v>
      </c>
      <c r="B14" s="134"/>
      <c r="C14" s="591">
        <f>27.841-0.4-0.2</f>
        <v>27.241000000000003</v>
      </c>
      <c r="D14" s="583">
        <f>27.316-0.4-0.1</f>
        <v>26.815999999999999</v>
      </c>
      <c r="E14" s="583">
        <f>27.691-0.4-0.1</f>
        <v>27.190999999999999</v>
      </c>
      <c r="F14" s="583">
        <f>26.854-0.5-0.1</f>
        <v>26.253999999999998</v>
      </c>
      <c r="G14" s="584">
        <f>SUM(C14:F14)</f>
        <v>107.50200000000001</v>
      </c>
      <c r="H14" s="600"/>
      <c r="I14" s="591">
        <f>27.847-0.5</f>
        <v>27.347000000000001</v>
      </c>
      <c r="J14" s="583">
        <f>28.924-0.6</f>
        <v>28.323999999999998</v>
      </c>
      <c r="K14" s="583">
        <f>26.192-0.5</f>
        <v>25.692</v>
      </c>
      <c r="L14" s="583">
        <f>25.31-0.5</f>
        <v>24.81</v>
      </c>
      <c r="M14" s="584">
        <f>SUM(I14:L14)</f>
        <v>106.173</v>
      </c>
      <c r="N14" s="600"/>
      <c r="O14" s="591">
        <f>26.234-0.5</f>
        <v>25.734000000000002</v>
      </c>
      <c r="P14" s="583">
        <f>25.812-0.5</f>
        <v>25.312000000000001</v>
      </c>
      <c r="Q14" s="583">
        <f>23.301-0.5</f>
        <v>22.800999999999998</v>
      </c>
      <c r="R14" s="582">
        <f>90.781-2-O14-P14-Q14</f>
        <v>14.934000000000001</v>
      </c>
      <c r="S14" s="584">
        <f>SUM(O14:R14)</f>
        <v>88.781000000000006</v>
      </c>
      <c r="T14" s="600"/>
      <c r="U14" s="583">
        <f>23.061-0.4</f>
        <v>22.661000000000001</v>
      </c>
      <c r="V14" s="583">
        <f>22.922-0.4</f>
        <v>22.522000000000002</v>
      </c>
      <c r="W14" s="583">
        <f>23.814-0.4</f>
        <v>23.414000000000001</v>
      </c>
      <c r="X14" s="582">
        <f>94.811-1.6-U14-V14-W14</f>
        <v>24.614000000000004</v>
      </c>
      <c r="Y14" s="584">
        <f>SUM(U14:X14)</f>
        <v>93.211000000000013</v>
      </c>
      <c r="Z14" s="600"/>
      <c r="AA14" s="591">
        <f>26.185-0.3</f>
        <v>25.884999999999998</v>
      </c>
      <c r="AB14" s="583">
        <f>28.032-0.2</f>
        <v>27.832000000000001</v>
      </c>
      <c r="AC14" s="583">
        <f>30.102-0.1</f>
        <v>30.001999999999999</v>
      </c>
      <c r="AD14" s="583">
        <f>115.821-0.7-0.8-AA14-AB14-AC14</f>
        <v>30.602000000000007</v>
      </c>
      <c r="AE14" s="584">
        <f>SUM(AA14:AD14)</f>
        <v>114.321</v>
      </c>
      <c r="AF14" s="600"/>
      <c r="AG14" s="591">
        <f>32.624-0.1</f>
        <v>32.524000000000001</v>
      </c>
      <c r="AH14" s="583">
        <f>34.069-0.3</f>
        <v>33.769000000000005</v>
      </c>
      <c r="AI14" s="583">
        <f>32.408-0.1</f>
        <v>32.308</v>
      </c>
      <c r="AJ14" s="583">
        <f>33.538-0.1-0.2</f>
        <v>33.237999999999992</v>
      </c>
      <c r="AK14" s="584">
        <f>SUM(AG14:AJ14)</f>
        <v>131.839</v>
      </c>
      <c r="AL14" s="600"/>
      <c r="AM14" s="583">
        <f>34.177-0.1</f>
        <v>34.076999999999998</v>
      </c>
      <c r="AN14" s="583">
        <f>34.404-0.1</f>
        <v>34.304000000000002</v>
      </c>
      <c r="AO14" s="583">
        <f>31.4-0.2</f>
        <v>31.2</v>
      </c>
      <c r="AP14" s="583">
        <f>32.702-0.1-0+0.3</f>
        <v>32.901999999999994</v>
      </c>
      <c r="AQ14" s="584">
        <f>SUM(AM14:AP14)</f>
        <v>132.483</v>
      </c>
      <c r="AR14" s="601"/>
      <c r="AS14" s="591">
        <f>29.379-0.2</f>
        <v>29.179000000000002</v>
      </c>
      <c r="AT14" s="1367">
        <f>30.352-0.1</f>
        <v>30.251999999999999</v>
      </c>
      <c r="AU14" s="1367">
        <f>30.4-0.2+0.1</f>
        <v>30.3</v>
      </c>
      <c r="AV14" s="583">
        <f>30.966-0.1-0.4</f>
        <v>30.466000000000001</v>
      </c>
      <c r="AW14" s="584">
        <f>SUM(AS14:AV14)</f>
        <v>120.197</v>
      </c>
      <c r="AX14" s="601"/>
      <c r="AY14" s="591">
        <f>29.4-0.1</f>
        <v>29.299999999999997</v>
      </c>
      <c r="AZ14" s="1367">
        <f>29.5-0.1</f>
        <v>29.4</v>
      </c>
      <c r="BA14" s="1367">
        <f>27.1-0.1</f>
        <v>27</v>
      </c>
      <c r="BB14" s="1367">
        <f>26.4-0.2</f>
        <v>26.2</v>
      </c>
      <c r="BC14" s="584">
        <f>SUM(AY14:BB14)</f>
        <v>111.89999999999999</v>
      </c>
      <c r="BD14" s="601"/>
      <c r="BE14" s="591">
        <f>30-0.2</f>
        <v>29.8</v>
      </c>
      <c r="BF14" s="1367">
        <f>31.9-0.2</f>
        <v>31.7</v>
      </c>
      <c r="BG14" s="1367">
        <f>29.5-0.1</f>
        <v>29.4</v>
      </c>
      <c r="BH14" s="1367">
        <f>32.9-0</f>
        <v>32.9</v>
      </c>
      <c r="BI14" s="584">
        <f>SUM(BE14:BH14)</f>
        <v>123.80000000000001</v>
      </c>
      <c r="BJ14" s="601"/>
      <c r="BK14" s="591">
        <v>33.287999999999997</v>
      </c>
      <c r="BL14" s="1367">
        <f>33.6-0.1</f>
        <v>33.5</v>
      </c>
      <c r="BM14" s="1367">
        <v>34.799999999999997</v>
      </c>
      <c r="BN14" s="1367">
        <v>37.700000000000003</v>
      </c>
      <c r="BO14" s="584">
        <f>SUM(BK14:BN14)</f>
        <v>139.28800000000001</v>
      </c>
      <c r="BP14" s="601"/>
      <c r="BQ14" s="594">
        <f t="shared" ref="BQ14:BT15" si="0">BQ$11*BQ57</f>
        <v>43.484589710907798</v>
      </c>
      <c r="BR14" s="592">
        <f t="shared" si="0"/>
        <v>44.051253648935571</v>
      </c>
      <c r="BS14" s="592">
        <f t="shared" si="0"/>
        <v>44.907951965115508</v>
      </c>
      <c r="BT14" s="592">
        <f t="shared" si="0"/>
        <v>47.292473728512235</v>
      </c>
      <c r="BU14" s="584">
        <f>SUM(BQ14:BT14)</f>
        <v>179.73626905347112</v>
      </c>
      <c r="BV14" s="601"/>
      <c r="BW14" s="594">
        <f t="shared" ref="BW14:BZ15" si="1">BW$11*BW57</f>
        <v>45.260194024967561</v>
      </c>
      <c r="BX14" s="592">
        <f t="shared" si="1"/>
        <v>46.043610220583041</v>
      </c>
      <c r="BY14" s="592">
        <f t="shared" si="1"/>
        <v>47.205926514930027</v>
      </c>
      <c r="BZ14" s="592">
        <f t="shared" si="1"/>
        <v>49.683810066202284</v>
      </c>
      <c r="CA14" s="584">
        <f>SUM(BW14:BZ14)</f>
        <v>188.19354082668292</v>
      </c>
      <c r="CB14" s="601"/>
      <c r="CC14" s="594">
        <f t="shared" ref="CC14:CF14" si="2">CC$11*CC57</f>
        <v>47.456528585154295</v>
      </c>
      <c r="CD14" s="592">
        <f t="shared" si="2"/>
        <v>48.274844275579184</v>
      </c>
      <c r="CE14" s="592">
        <f t="shared" si="2"/>
        <v>49.411561975703151</v>
      </c>
      <c r="CF14" s="592">
        <f t="shared" si="2"/>
        <v>51.676033375167002</v>
      </c>
      <c r="CG14" s="584">
        <f>SUM(CC14:CF14)</f>
        <v>196.81896821160362</v>
      </c>
      <c r="CH14" s="601"/>
      <c r="CI14" s="594">
        <f t="shared" ref="CI14:CL14" si="3">CI$11*CI57</f>
        <v>48.879667428724161</v>
      </c>
      <c r="CJ14" s="592">
        <f t="shared" si="3"/>
        <v>49.624687089664846</v>
      </c>
      <c r="CK14" s="592">
        <f t="shared" si="3"/>
        <v>51.009925449739988</v>
      </c>
      <c r="CL14" s="592">
        <f t="shared" si="3"/>
        <v>53.217061993745496</v>
      </c>
      <c r="CM14" s="584">
        <f>SUM(CI14:CL14)</f>
        <v>202.73134196187448</v>
      </c>
      <c r="CN14" s="36"/>
      <c r="CO14" s="36"/>
      <c r="CP14" s="36"/>
      <c r="CQ14" s="36"/>
      <c r="CR14" s="36"/>
    </row>
    <row r="15" spans="1:96">
      <c r="A15" s="1548" t="s">
        <v>120</v>
      </c>
      <c r="B15" s="134"/>
      <c r="C15" s="591">
        <f>101.765-(10.436-8.5-0.4)-(2.19-0.2-0.2)</f>
        <v>98.438999999999993</v>
      </c>
      <c r="D15" s="583">
        <f>109.357-(10.663-8.6-0.4)-(2.137-0.3-0.1)</f>
        <v>105.95700000000001</v>
      </c>
      <c r="E15" s="583">
        <f>106.406-(10.769-8.5-0.4)-(2.388-0.4-0.1)</f>
        <v>102.649</v>
      </c>
      <c r="F15" s="583">
        <f>125.74-(12.22-8.9-0.5)-(2.35-0.3-0.1)-2</f>
        <v>118.96999999999998</v>
      </c>
      <c r="G15" s="584">
        <f>SUM(C15:F15)</f>
        <v>426.01499999999999</v>
      </c>
      <c r="H15" s="600"/>
      <c r="I15" s="591">
        <f>130.834-(13.585-9.2-0.5)</f>
        <v>126.949</v>
      </c>
      <c r="J15" s="583">
        <f>141.75-(14.357-9.6-0.6)</f>
        <v>137.59299999999999</v>
      </c>
      <c r="K15" s="583">
        <f>129.8-(14.071-9.5-0.5)</f>
        <v>125.72900000000001</v>
      </c>
      <c r="L15" s="583">
        <f>120.951-(13.582-9.2-0.5)</f>
        <v>117.06899999999999</v>
      </c>
      <c r="M15" s="584">
        <f>SUM(I15:L15)</f>
        <v>507.33999999999992</v>
      </c>
      <c r="N15" s="600"/>
      <c r="O15" s="591">
        <f>129.135-(13.405-8.8-0.5)-(1.417-0.4)</f>
        <v>124.01299999999999</v>
      </c>
      <c r="P15" s="583">
        <f>124.039-(14.019-9.2-0.5)-(0.262-0.2)</f>
        <v>119.658</v>
      </c>
      <c r="Q15" s="583">
        <f>112.755-(13.694-9.2-0.5)-(1.154-0.5)</f>
        <v>108.107</v>
      </c>
      <c r="R15" s="582">
        <f>468.292-(54.116-36.3-2)-(3.5-1.8)-O15-P15-Q15</f>
        <v>98.998000000000019</v>
      </c>
      <c r="S15" s="584">
        <f>SUM(O15:R15)</f>
        <v>450.77600000000007</v>
      </c>
      <c r="T15" s="600"/>
      <c r="U15" s="583">
        <f>121.586-(14.301-9.8-0.4)-(0.901-0.2)</f>
        <v>116.78400000000001</v>
      </c>
      <c r="V15" s="583">
        <f>123.254-(14.893-10.5-0.4)-(1.313-0.2)+3.356</f>
        <v>121.504</v>
      </c>
      <c r="W15" s="583">
        <f>120.552-(15.692-11.1-0.4)-(0.175-0.2)-0.224</f>
        <v>116.16100000000002</v>
      </c>
      <c r="X15" s="582">
        <f>489.892-(60.721-42.5-1.6)-(0.964-0.7)-2.562-(0.228-0.1)+3.356-U15-V15-W15</f>
        <v>119.22399999999998</v>
      </c>
      <c r="Y15" s="584">
        <f>SUM(U15:X15)</f>
        <v>473.673</v>
      </c>
      <c r="Z15" s="600"/>
      <c r="AA15" s="591">
        <f>132.695-(16.385-11.4-0.3)-(0.592-0.3)-2.87</f>
        <v>124.84799999999998</v>
      </c>
      <c r="AB15" s="583">
        <f>138.403-(19.299-13.4-0.2)-(7.119-6.5)-1.126</f>
        <v>130.95899999999997</v>
      </c>
      <c r="AC15" s="583">
        <f>133.119-(20.276-13.9-0.1)-(10.103-10)-1.065</f>
        <v>125.67500000000001</v>
      </c>
      <c r="AD15" s="583">
        <f>627.172-(79.99-53.4-0.7)-(35.391-34.9)-(69.3-4.2-0.8)-10.701-AA15-AB15-AC15</f>
        <v>144.30800000000016</v>
      </c>
      <c r="AE15" s="584">
        <f>SUM(AA15:AD15)</f>
        <v>525.79000000000019</v>
      </c>
      <c r="AF15" s="600"/>
      <c r="AG15" s="591">
        <f>156.849-(23.399-13-0.1)-(11.547-2.411-4.062-(11-2.411-4.062))-0.251</f>
        <v>145.75199999999998</v>
      </c>
      <c r="AH15" s="583">
        <f>149.735-(23.341-13-0.3)-(11.307-2.05-8.413-(10.7-10.5))-0.095</f>
        <v>138.95500000000001</v>
      </c>
      <c r="AI15" s="583">
        <f>145.442-(21.984-12.7-0.1)-(3.108-1.001-4.236)-0.291</f>
        <v>138.096</v>
      </c>
      <c r="AJ15" s="583">
        <f>180.708-(22.494-13.1-0.1)-(4.589-4.5)-0.551-(30.542-2.5-0.2)</f>
        <v>142.93199999999999</v>
      </c>
      <c r="AK15" s="584">
        <f>SUM(AG15:AJ15)</f>
        <v>565.73500000000001</v>
      </c>
      <c r="AL15" s="600"/>
      <c r="AM15" s="583">
        <f>151.497-(22.488-12.9-0.1)+(1.98-2.05)-0.071</f>
        <v>141.86800000000002</v>
      </c>
      <c r="AN15" s="583">
        <f>147.795-(21.997-0.1-12.5)-(3.905-3.799-0.1)-0.066</f>
        <v>138.32599999999999</v>
      </c>
      <c r="AO15" s="583">
        <f>142.8-8.8+1.1</f>
        <v>135.1</v>
      </c>
      <c r="AP15" s="583">
        <f>141.949-9.1-2.1-0-4.6+18.1</f>
        <v>144.24900000000002</v>
      </c>
      <c r="AQ15" s="584">
        <f>SUM(AM15:AP15)</f>
        <v>559.54300000000001</v>
      </c>
      <c r="AR15" s="601"/>
      <c r="AS15" s="591">
        <f>152.437-7.8-0.1-0.1-3.2</f>
        <v>141.23700000000002</v>
      </c>
      <c r="AT15" s="1367">
        <f>147.253-(20.576-12.3-0.1)+(1.6)-0.07-3.418</f>
        <v>137.18899999999999</v>
      </c>
      <c r="AU15" s="1367">
        <f>143-8-0.1</f>
        <v>134.9</v>
      </c>
      <c r="AV15" s="583">
        <f>216.648-9.1+1.2-2.8+1.2-67.1</f>
        <v>140.04799999999997</v>
      </c>
      <c r="AW15" s="584">
        <f>SUM(AS15:AV15)</f>
        <v>553.37400000000002</v>
      </c>
      <c r="AX15" s="601"/>
      <c r="AY15" s="591">
        <f>143-8.8-0-0.1</f>
        <v>134.1</v>
      </c>
      <c r="AZ15" s="1367">
        <f>144-8.8-0-0.2-0.9</f>
        <v>134.1</v>
      </c>
      <c r="BA15" s="1367">
        <f>145-7.8-0-0.1</f>
        <v>137.1</v>
      </c>
      <c r="BB15" s="1367">
        <f>155.3-8.4-0-0.2-0.8-10.3</f>
        <v>135.6</v>
      </c>
      <c r="BC15" s="584">
        <f>SUM(AY15:BB15)</f>
        <v>540.9</v>
      </c>
      <c r="BD15" s="601"/>
      <c r="BE15" s="591">
        <f>144.5-10.2-1.3-0.4</f>
        <v>132.6</v>
      </c>
      <c r="BF15" s="1367">
        <f>151-10.1-4.3-0.2</f>
        <v>136.4</v>
      </c>
      <c r="BG15" s="1367">
        <f>142.6-9.8-4.1-0.1</f>
        <v>128.6</v>
      </c>
      <c r="BH15" s="1367">
        <f>162.8-10.6-6.5-0.6-14.9</f>
        <v>130.20000000000002</v>
      </c>
      <c r="BI15" s="584">
        <f>SUM(BE15:BH15)</f>
        <v>527.80000000000007</v>
      </c>
      <c r="BJ15" s="601"/>
      <c r="BK15" s="591">
        <f>145.093-10-0.8-2.6</f>
        <v>131.69299999999998</v>
      </c>
      <c r="BL15" s="1367">
        <f>147.9-10.4-0.1-3.7</f>
        <v>133.70000000000002</v>
      </c>
      <c r="BM15" s="1367">
        <v>134.30000000000001</v>
      </c>
      <c r="BN15" s="1367">
        <v>142.69999999999999</v>
      </c>
      <c r="BO15" s="584">
        <f>SUM(BK15:BN15)</f>
        <v>542.39300000000003</v>
      </c>
      <c r="BP15" s="601"/>
      <c r="BQ15" s="594">
        <f t="shared" si="0"/>
        <v>162.81422482857207</v>
      </c>
      <c r="BR15" s="592">
        <f t="shared" si="0"/>
        <v>168.28435303325028</v>
      </c>
      <c r="BS15" s="592">
        <f t="shared" si="0"/>
        <v>166.08547018849026</v>
      </c>
      <c r="BT15" s="592">
        <f t="shared" si="0"/>
        <v>171.07661898396918</v>
      </c>
      <c r="BU15" s="584">
        <f>SUM(BQ15:BT15)</f>
        <v>668.26066703428182</v>
      </c>
      <c r="BV15" s="601"/>
      <c r="BW15" s="594">
        <f t="shared" si="1"/>
        <v>171.19803942664623</v>
      </c>
      <c r="BX15" s="592">
        <f t="shared" si="1"/>
        <v>177.8996767026641</v>
      </c>
      <c r="BY15" s="592">
        <f t="shared" si="1"/>
        <v>176.4555185264625</v>
      </c>
      <c r="BZ15" s="592">
        <f t="shared" si="1"/>
        <v>181.72808651777652</v>
      </c>
      <c r="CA15" s="584">
        <f>SUM(BW15:BZ15)</f>
        <v>707.28132117354937</v>
      </c>
      <c r="CB15" s="601"/>
      <c r="CC15" s="594">
        <f t="shared" ref="CC15:CF15" si="4">CC$11*CC58</f>
        <v>181.40741583704036</v>
      </c>
      <c r="CD15" s="592">
        <f t="shared" si="4"/>
        <v>188.72475394526765</v>
      </c>
      <c r="CE15" s="592">
        <f t="shared" si="4"/>
        <v>186.75256034688772</v>
      </c>
      <c r="CF15" s="592">
        <f t="shared" si="4"/>
        <v>191.20256398706229</v>
      </c>
      <c r="CG15" s="584">
        <f>SUM(CC15:CF15)</f>
        <v>748.08729411625802</v>
      </c>
      <c r="CH15" s="601"/>
      <c r="CI15" s="594">
        <f t="shared" ref="CI15:CL15" si="5">CI$11*CI58</f>
        <v>188.89630217353624</v>
      </c>
      <c r="CJ15" s="592">
        <f t="shared" si="5"/>
        <v>196.38145853633316</v>
      </c>
      <c r="CK15" s="592">
        <f t="shared" si="5"/>
        <v>195.01615717064462</v>
      </c>
      <c r="CL15" s="592">
        <f t="shared" si="5"/>
        <v>199.27525032481986</v>
      </c>
      <c r="CM15" s="584">
        <f>SUM(CI15:CL15)</f>
        <v>779.56916820533388</v>
      </c>
      <c r="CN15" s="36"/>
      <c r="CO15" s="36"/>
      <c r="CP15" s="36"/>
      <c r="CQ15" s="36"/>
      <c r="CR15" s="36"/>
    </row>
    <row r="16" spans="1:96" ht="12.75" hidden="1" customHeight="1" outlineLevel="1">
      <c r="A16" s="1548" t="s">
        <v>123</v>
      </c>
      <c r="B16" s="134"/>
      <c r="C16" s="591">
        <v>0</v>
      </c>
      <c r="D16" s="583">
        <v>0</v>
      </c>
      <c r="E16" s="583">
        <v>0</v>
      </c>
      <c r="F16" s="583">
        <v>0</v>
      </c>
      <c r="G16" s="584">
        <f>SUM(C16:F16)</f>
        <v>0</v>
      </c>
      <c r="H16" s="600"/>
      <c r="I16" s="591">
        <v>0</v>
      </c>
      <c r="J16" s="583">
        <v>0</v>
      </c>
      <c r="K16" s="583">
        <v>0</v>
      </c>
      <c r="L16" s="583">
        <v>0</v>
      </c>
      <c r="M16" s="584">
        <f>SUM(I16:L16)</f>
        <v>0</v>
      </c>
      <c r="N16" s="600"/>
      <c r="O16" s="591">
        <v>0</v>
      </c>
      <c r="P16" s="583">
        <v>0</v>
      </c>
      <c r="Q16" s="583">
        <v>0</v>
      </c>
      <c r="R16" s="582">
        <v>0</v>
      </c>
      <c r="S16" s="584">
        <f>SUM(O16:R16)</f>
        <v>0</v>
      </c>
      <c r="T16" s="600"/>
      <c r="U16" s="583">
        <v>0</v>
      </c>
      <c r="V16" s="583">
        <v>0</v>
      </c>
      <c r="W16" s="583">
        <v>0</v>
      </c>
      <c r="X16" s="582">
        <v>0</v>
      </c>
      <c r="Y16" s="584">
        <f>SUM(U16:X16)</f>
        <v>0</v>
      </c>
      <c r="Z16" s="600"/>
      <c r="AA16" s="591">
        <v>0</v>
      </c>
      <c r="AB16" s="583">
        <v>0</v>
      </c>
      <c r="AC16" s="583">
        <v>0</v>
      </c>
      <c r="AD16" s="583">
        <v>0</v>
      </c>
      <c r="AE16" s="584">
        <f>SUM(AA16:AD16)</f>
        <v>0</v>
      </c>
      <c r="AF16" s="602"/>
      <c r="AG16" s="591">
        <f>6.159-6.159</f>
        <v>0</v>
      </c>
      <c r="AH16" s="583">
        <f>5.203-5.203</f>
        <v>0</v>
      </c>
      <c r="AI16" s="583">
        <f>9.672-9.672</f>
        <v>0</v>
      </c>
      <c r="AJ16" s="582">
        <f>4.103-4.103+74.153-74.153</f>
        <v>0</v>
      </c>
      <c r="AK16" s="584">
        <f>SUM(AG16:AJ16)</f>
        <v>0</v>
      </c>
      <c r="AL16" s="602"/>
      <c r="AM16" s="591">
        <f>3.31-3.31</f>
        <v>0</v>
      </c>
      <c r="AN16" s="583">
        <f>19.247-19.247</f>
        <v>0</v>
      </c>
      <c r="AO16" s="583">
        <f>1.126-1.126</f>
        <v>0</v>
      </c>
      <c r="AP16" s="582">
        <f>6.731+10.215-6.731-10.215</f>
        <v>0</v>
      </c>
      <c r="AQ16" s="584">
        <f>SUM(AM16:AP16)</f>
        <v>0</v>
      </c>
      <c r="AR16" s="616"/>
      <c r="AS16" s="591">
        <v>0</v>
      </c>
      <c r="AT16" s="583">
        <v>0</v>
      </c>
      <c r="AU16" s="583">
        <v>0</v>
      </c>
      <c r="AV16" s="582">
        <v>0</v>
      </c>
      <c r="AW16" s="584">
        <f>SUM(AS16:AV16)</f>
        <v>0</v>
      </c>
      <c r="AX16" s="616"/>
      <c r="AY16" s="591">
        <f>0</f>
        <v>0</v>
      </c>
      <c r="AZ16" s="583">
        <v>0</v>
      </c>
      <c r="BA16" s="1367">
        <v>0</v>
      </c>
      <c r="BB16" s="1367">
        <v>0</v>
      </c>
      <c r="BC16" s="584">
        <f>SUM(AY16:BB16)</f>
        <v>0</v>
      </c>
      <c r="BD16" s="616"/>
      <c r="BE16" s="591">
        <f>0</f>
        <v>0</v>
      </c>
      <c r="BF16" s="1367">
        <v>0</v>
      </c>
      <c r="BG16" s="583">
        <v>0</v>
      </c>
      <c r="BH16" s="582">
        <v>0</v>
      </c>
      <c r="BI16" s="584">
        <f>SUM(BE16:BH16)</f>
        <v>0</v>
      </c>
      <c r="BJ16" s="616"/>
      <c r="BK16" s="591">
        <v>0</v>
      </c>
      <c r="BL16" s="583">
        <v>0</v>
      </c>
      <c r="BM16" s="583">
        <v>0</v>
      </c>
      <c r="BN16" s="582">
        <v>0</v>
      </c>
      <c r="BO16" s="584">
        <f>SUM(BK16:BN16)</f>
        <v>0</v>
      </c>
      <c r="BP16" s="616"/>
      <c r="BQ16" s="591">
        <v>0</v>
      </c>
      <c r="BR16" s="583">
        <v>0</v>
      </c>
      <c r="BS16" s="583">
        <v>0</v>
      </c>
      <c r="BT16" s="582">
        <v>0</v>
      </c>
      <c r="BU16" s="584">
        <f>SUM(BQ16:BT16)</f>
        <v>0</v>
      </c>
      <c r="BV16" s="616"/>
      <c r="BW16" s="591">
        <v>0</v>
      </c>
      <c r="BX16" s="583">
        <v>0</v>
      </c>
      <c r="BY16" s="583">
        <v>0</v>
      </c>
      <c r="BZ16" s="582">
        <v>0</v>
      </c>
      <c r="CA16" s="584">
        <f>SUM(BW16:BZ16)</f>
        <v>0</v>
      </c>
      <c r="CB16" s="616"/>
      <c r="CC16" s="591">
        <v>0</v>
      </c>
      <c r="CD16" s="583">
        <v>0</v>
      </c>
      <c r="CE16" s="583">
        <v>0</v>
      </c>
      <c r="CF16" s="582">
        <v>0</v>
      </c>
      <c r="CG16" s="584">
        <f>SUM(CC16:CF16)</f>
        <v>0</v>
      </c>
      <c r="CH16" s="616"/>
      <c r="CI16" s="591">
        <v>0</v>
      </c>
      <c r="CJ16" s="583">
        <v>0</v>
      </c>
      <c r="CK16" s="583">
        <v>0</v>
      </c>
      <c r="CL16" s="582">
        <v>0</v>
      </c>
      <c r="CM16" s="584">
        <f>SUM(CI16:CL16)</f>
        <v>0</v>
      </c>
      <c r="CN16" s="36"/>
      <c r="CO16" s="36"/>
      <c r="CP16" s="36"/>
      <c r="CQ16" s="36"/>
      <c r="CR16" s="36"/>
    </row>
    <row r="17" spans="1:105" ht="12.75" customHeight="1" collapsed="1">
      <c r="A17" s="1609" t="s">
        <v>124</v>
      </c>
      <c r="B17" s="221"/>
      <c r="C17" s="603">
        <f>C14+C15+C16</f>
        <v>125.67999999999999</v>
      </c>
      <c r="D17" s="603">
        <f>D14+D15+D16</f>
        <v>132.773</v>
      </c>
      <c r="E17" s="603">
        <f>E14+E15+E16</f>
        <v>129.84</v>
      </c>
      <c r="F17" s="595">
        <f>F14+F15+F16</f>
        <v>145.22399999999999</v>
      </c>
      <c r="G17" s="597">
        <f>G14+G15+G16</f>
        <v>533.51700000000005</v>
      </c>
      <c r="H17" s="604"/>
      <c r="I17" s="603">
        <f>I14+I15+I16</f>
        <v>154.29599999999999</v>
      </c>
      <c r="J17" s="603">
        <f>J14+J15+J16</f>
        <v>165.91699999999997</v>
      </c>
      <c r="K17" s="603">
        <f>K14+K15+K16</f>
        <v>151.42100000000002</v>
      </c>
      <c r="L17" s="595">
        <f>L14+L15+L16</f>
        <v>141.87899999999999</v>
      </c>
      <c r="M17" s="597">
        <f>M14+M15+M16</f>
        <v>613.51299999999992</v>
      </c>
      <c r="N17" s="604"/>
      <c r="O17" s="603">
        <f>O14+O15+O16</f>
        <v>149.74699999999999</v>
      </c>
      <c r="P17" s="603">
        <f>P14+P15+P16</f>
        <v>144.97</v>
      </c>
      <c r="Q17" s="603">
        <f>Q14+Q15+Q16</f>
        <v>130.90799999999999</v>
      </c>
      <c r="R17" s="595">
        <f>R14+R15+R16</f>
        <v>113.93200000000002</v>
      </c>
      <c r="S17" s="597">
        <f>S14+S15+S16</f>
        <v>539.55700000000002</v>
      </c>
      <c r="T17" s="596"/>
      <c r="U17" s="603">
        <f>U14+U15+U16</f>
        <v>139.44499999999999</v>
      </c>
      <c r="V17" s="603">
        <f>V14+V15+V16</f>
        <v>144.02600000000001</v>
      </c>
      <c r="W17" s="603">
        <f>W14+W15+W16</f>
        <v>139.57500000000002</v>
      </c>
      <c r="X17" s="595">
        <f>X14+X15+X16</f>
        <v>143.83799999999997</v>
      </c>
      <c r="Y17" s="597">
        <f>Y14+Y15+Y16</f>
        <v>566.88400000000001</v>
      </c>
      <c r="Z17" s="596"/>
      <c r="AA17" s="605">
        <f>AA14+AA15+AA16</f>
        <v>150.73299999999998</v>
      </c>
      <c r="AB17" s="603">
        <f>AB14+AB15+AB16</f>
        <v>158.79099999999997</v>
      </c>
      <c r="AC17" s="603">
        <f>AC14+AC15+AC16</f>
        <v>155.67700000000002</v>
      </c>
      <c r="AD17" s="603">
        <f>AD14+AD15+AD16</f>
        <v>174.91000000000017</v>
      </c>
      <c r="AE17" s="597">
        <f>AE14+AE15+AE16</f>
        <v>640.11100000000022</v>
      </c>
      <c r="AF17" s="606"/>
      <c r="AG17" s="605">
        <f>AG14+AG15+AG16</f>
        <v>178.27599999999998</v>
      </c>
      <c r="AH17" s="603">
        <f>AH14+AH15+AH16</f>
        <v>172.72400000000002</v>
      </c>
      <c r="AI17" s="603">
        <f>AI14+AI15+AI16</f>
        <v>170.404</v>
      </c>
      <c r="AJ17" s="595">
        <f>AJ14+AJ15+AJ16</f>
        <v>176.17</v>
      </c>
      <c r="AK17" s="597">
        <f>AK14+AK15+AK16</f>
        <v>697.57400000000007</v>
      </c>
      <c r="AL17" s="596"/>
      <c r="AM17" s="605">
        <f>AM14+AM15+AM16</f>
        <v>175.94500000000002</v>
      </c>
      <c r="AN17" s="603">
        <f>AN14+AN15+AN16</f>
        <v>172.63</v>
      </c>
      <c r="AO17" s="603">
        <f>AO14+AO15+AO16</f>
        <v>166.29999999999998</v>
      </c>
      <c r="AP17" s="595">
        <f>AP14+AP15+AP16</f>
        <v>177.15100000000001</v>
      </c>
      <c r="AQ17" s="597">
        <f>AQ14+AQ15+AQ16</f>
        <v>692.02600000000007</v>
      </c>
      <c r="AR17" s="598"/>
      <c r="AS17" s="605">
        <f>AS14+AS15+AS16</f>
        <v>170.41600000000003</v>
      </c>
      <c r="AT17" s="603">
        <f>AT14+AT15+AT16</f>
        <v>167.441</v>
      </c>
      <c r="AU17" s="603">
        <f>AU14+AU15+AU16</f>
        <v>165.20000000000002</v>
      </c>
      <c r="AV17" s="603">
        <f>AV14+AV15+AV16</f>
        <v>170.51399999999998</v>
      </c>
      <c r="AW17" s="597">
        <f>AW14+AW15+AW16</f>
        <v>673.57100000000003</v>
      </c>
      <c r="AX17" s="598"/>
      <c r="AY17" s="605">
        <f>AY14+AY15+AY16</f>
        <v>163.39999999999998</v>
      </c>
      <c r="AZ17" s="603">
        <f>AZ14+AZ15+AZ16</f>
        <v>163.5</v>
      </c>
      <c r="BA17" s="603">
        <f>BA14+BA15+BA16</f>
        <v>164.1</v>
      </c>
      <c r="BB17" s="603">
        <f>BB14+BB15+BB16</f>
        <v>161.79999999999998</v>
      </c>
      <c r="BC17" s="597">
        <f>BC14+BC15+BC16</f>
        <v>652.79999999999995</v>
      </c>
      <c r="BD17" s="598"/>
      <c r="BE17" s="605">
        <f>BE14+BE15+BE16</f>
        <v>162.4</v>
      </c>
      <c r="BF17" s="603">
        <f>BF14+BF15+BF16</f>
        <v>168.1</v>
      </c>
      <c r="BG17" s="603">
        <f>BG14+BG15+BG16</f>
        <v>158</v>
      </c>
      <c r="BH17" s="603">
        <f>BH14+BH15+BH16</f>
        <v>163.10000000000002</v>
      </c>
      <c r="BI17" s="597">
        <f>BI14+BI15+BI16</f>
        <v>651.60000000000014</v>
      </c>
      <c r="BJ17" s="598"/>
      <c r="BK17" s="605">
        <f>BK14+BK15+BK16</f>
        <v>164.98099999999999</v>
      </c>
      <c r="BL17" s="603">
        <f>BL14+BL15+BL16</f>
        <v>167.20000000000002</v>
      </c>
      <c r="BM17" s="603">
        <f>BM14+BM15+BM16</f>
        <v>169.10000000000002</v>
      </c>
      <c r="BN17" s="603">
        <f>BN14+BN15+BN16</f>
        <v>180.39999999999998</v>
      </c>
      <c r="BO17" s="597">
        <f>BO14+BO15+BO16</f>
        <v>681.68100000000004</v>
      </c>
      <c r="BP17" s="598"/>
      <c r="BQ17" s="605">
        <f>BQ14+BQ15+BQ16</f>
        <v>206.29881453947985</v>
      </c>
      <c r="BR17" s="603">
        <f>BR14+BR15+BR16</f>
        <v>212.33560668218587</v>
      </c>
      <c r="BS17" s="603">
        <f>BS14+BS15+BS16</f>
        <v>210.99342215360576</v>
      </c>
      <c r="BT17" s="603">
        <f>BT14+BT15+BT16</f>
        <v>218.3690927124814</v>
      </c>
      <c r="BU17" s="597">
        <f>BU14+BU15+BU16</f>
        <v>847.99693608775294</v>
      </c>
      <c r="BV17" s="598"/>
      <c r="BW17" s="605">
        <f>BW14+BW15+BW16</f>
        <v>216.45823345161381</v>
      </c>
      <c r="BX17" s="603">
        <f>BX14+BX15+BX16</f>
        <v>223.94328692324714</v>
      </c>
      <c r="BY17" s="603">
        <f>BY14+BY15+BY16</f>
        <v>223.66144504139254</v>
      </c>
      <c r="BZ17" s="603">
        <f>BZ14+BZ15+BZ16</f>
        <v>231.4118965839788</v>
      </c>
      <c r="CA17" s="597">
        <f>CA14+CA15+CA16</f>
        <v>895.47486200023229</v>
      </c>
      <c r="CB17" s="598"/>
      <c r="CC17" s="605">
        <f>CC14+CC15+CC16</f>
        <v>228.86394442219466</v>
      </c>
      <c r="CD17" s="603">
        <f>CD14+CD15+CD16</f>
        <v>236.99959822084685</v>
      </c>
      <c r="CE17" s="603">
        <f>CE14+CE15+CE16</f>
        <v>236.16412232259086</v>
      </c>
      <c r="CF17" s="603">
        <f>CF14+CF15+CF16</f>
        <v>242.8785973622293</v>
      </c>
      <c r="CG17" s="597">
        <f>CG14+CG15+CG16</f>
        <v>944.90626232786167</v>
      </c>
      <c r="CH17" s="598"/>
      <c r="CI17" s="605">
        <f>CI14+CI15+CI16</f>
        <v>237.7759696022604</v>
      </c>
      <c r="CJ17" s="603">
        <f>CJ14+CJ15+CJ16</f>
        <v>246.00614562599799</v>
      </c>
      <c r="CK17" s="603">
        <f>CK14+CK15+CK16</f>
        <v>246.02608262038461</v>
      </c>
      <c r="CL17" s="603">
        <f>CL14+CL15+CL16</f>
        <v>252.49231231856535</v>
      </c>
      <c r="CM17" s="597">
        <f>CM14+CM15+CM16</f>
        <v>982.30051016720836</v>
      </c>
      <c r="CN17" s="54"/>
      <c r="CO17" s="54"/>
      <c r="CP17" s="54"/>
      <c r="CQ17" s="54"/>
      <c r="CR17" s="54"/>
    </row>
    <row r="18" spans="1:105">
      <c r="A18" s="1547" t="s">
        <v>436</v>
      </c>
      <c r="B18" s="492"/>
      <c r="C18" s="607">
        <f>C13-C17</f>
        <v>43.086999999999975</v>
      </c>
      <c r="D18" s="607">
        <f>D13-D17</f>
        <v>50.774999999999977</v>
      </c>
      <c r="E18" s="607">
        <f>E13-E17</f>
        <v>58.006000000000029</v>
      </c>
      <c r="F18" s="608">
        <f>F13-F17</f>
        <v>71.664000000000044</v>
      </c>
      <c r="G18" s="609">
        <f>G13-G17</f>
        <v>223.53199999999993</v>
      </c>
      <c r="H18" s="610"/>
      <c r="I18" s="607">
        <f>I13-I17</f>
        <v>48.370999999999981</v>
      </c>
      <c r="J18" s="607">
        <f>J13-J17</f>
        <v>59.649000000000058</v>
      </c>
      <c r="K18" s="607">
        <f>K13-K17</f>
        <v>64.183999999999997</v>
      </c>
      <c r="L18" s="608">
        <f>L13-L17</f>
        <v>85.837000000000018</v>
      </c>
      <c r="M18" s="609">
        <f>M13-M17</f>
        <v>258.04100000000005</v>
      </c>
      <c r="N18" s="610"/>
      <c r="O18" s="607">
        <f>O13-O17</f>
        <v>47.991000000000014</v>
      </c>
      <c r="P18" s="607">
        <f>P13-P17</f>
        <v>52.500999999999948</v>
      </c>
      <c r="Q18" s="607">
        <f>Q13-Q17</f>
        <v>47.546999999999997</v>
      </c>
      <c r="R18" s="608">
        <f>R13-R17</f>
        <v>49.485999999999876</v>
      </c>
      <c r="S18" s="609">
        <f>S13-S17</f>
        <v>197.52499999999986</v>
      </c>
      <c r="T18" s="610"/>
      <c r="U18" s="607">
        <f>U13-U17</f>
        <v>45.820999999999998</v>
      </c>
      <c r="V18" s="607">
        <f>V13-V17</f>
        <v>55.926999999999992</v>
      </c>
      <c r="W18" s="607">
        <f>W13-W17</f>
        <v>57.50800000000001</v>
      </c>
      <c r="X18" s="608">
        <f>X13-X17</f>
        <v>78.394000000000062</v>
      </c>
      <c r="Y18" s="609">
        <f>Y13-Y17</f>
        <v>237.65000000000009</v>
      </c>
      <c r="Z18" s="610"/>
      <c r="AA18" s="611">
        <f>AA13-AA17</f>
        <v>96.935000000000059</v>
      </c>
      <c r="AB18" s="607">
        <f>AB13-AB17</f>
        <v>108.64400000000009</v>
      </c>
      <c r="AC18" s="607">
        <f>AC13-AC17</f>
        <v>104.52699999999999</v>
      </c>
      <c r="AD18" s="607">
        <f>AD13-AD17</f>
        <v>101.19199999999975</v>
      </c>
      <c r="AE18" s="609">
        <f>AE13-AE17</f>
        <v>411.29799999999966</v>
      </c>
      <c r="AF18" s="612"/>
      <c r="AG18" s="611">
        <f>AG13-AG17</f>
        <v>78.957000000000079</v>
      </c>
      <c r="AH18" s="607">
        <f>AH13-AH17</f>
        <v>89.733000000000033</v>
      </c>
      <c r="AI18" s="607">
        <f>AI13-AI17</f>
        <v>78.273000000000025</v>
      </c>
      <c r="AJ18" s="608">
        <f>AJ13-AJ17</f>
        <v>105.58800000000011</v>
      </c>
      <c r="AK18" s="609">
        <f>AK13-AK17</f>
        <v>352.5509999999997</v>
      </c>
      <c r="AL18" s="610"/>
      <c r="AM18" s="611">
        <f>AM13-AM17</f>
        <v>63.893000000000001</v>
      </c>
      <c r="AN18" s="607">
        <f>AN13-AN17</f>
        <v>85.432000000000073</v>
      </c>
      <c r="AO18" s="607">
        <f>AO13-AO17</f>
        <v>82.062870660000073</v>
      </c>
      <c r="AP18" s="608">
        <f>AP13-AP17</f>
        <v>114.06600000000009</v>
      </c>
      <c r="AQ18" s="609">
        <f>AQ13-AQ17</f>
        <v>345.45387065999989</v>
      </c>
      <c r="AR18" s="641"/>
      <c r="AS18" s="611">
        <f>AS13-AS17</f>
        <v>79.464048000000304</v>
      </c>
      <c r="AT18" s="607">
        <f>AT13-AT17</f>
        <v>93.241607000000016</v>
      </c>
      <c r="AU18" s="607">
        <f>AU13-AU17</f>
        <v>91.35734620000008</v>
      </c>
      <c r="AV18" s="607">
        <f>AV13-AV17</f>
        <v>130.59428611680019</v>
      </c>
      <c r="AW18" s="609">
        <f>AW13-AW17</f>
        <v>394.65728731680076</v>
      </c>
      <c r="AX18" s="641"/>
      <c r="AY18" s="611">
        <f>AY13-AY17</f>
        <v>71.900000000000034</v>
      </c>
      <c r="AZ18" s="607">
        <f>AZ13-AZ17</f>
        <v>86.5</v>
      </c>
      <c r="BA18" s="607">
        <f>BA13-BA17</f>
        <v>86.700000000000017</v>
      </c>
      <c r="BB18" s="607">
        <f>BB13-BB17</f>
        <v>118.1</v>
      </c>
      <c r="BC18" s="609">
        <f>BC13-BC17</f>
        <v>363.19999999999982</v>
      </c>
      <c r="BD18" s="641"/>
      <c r="BE18" s="611">
        <f>BE13-BE17</f>
        <v>81.199999999999989</v>
      </c>
      <c r="BF18" s="607">
        <f>BF13-BF17</f>
        <v>94.000000000000028</v>
      </c>
      <c r="BG18" s="607">
        <f>BG13-BG17</f>
        <v>97.699999999999989</v>
      </c>
      <c r="BH18" s="607">
        <f>BH13-BH17</f>
        <v>120.69999999999999</v>
      </c>
      <c r="BI18" s="609">
        <f>BI13-BI17</f>
        <v>393.59999999999991</v>
      </c>
      <c r="BJ18" s="613"/>
      <c r="BK18" s="607">
        <f>BK13-BK17</f>
        <v>84.064999999999941</v>
      </c>
      <c r="BL18" s="607">
        <f>BL13-BL17</f>
        <v>99.569000000000045</v>
      </c>
      <c r="BM18" s="607">
        <f>BM13-BM17</f>
        <v>107.00700000000006</v>
      </c>
      <c r="BN18" s="607">
        <f>BN13-BN17</f>
        <v>137</v>
      </c>
      <c r="BO18" s="609">
        <f>BO13-BO17</f>
        <v>427.64099999999985</v>
      </c>
      <c r="BP18" s="613"/>
      <c r="BQ18" s="607">
        <f>BQ13-BQ17</f>
        <v>101.31674757202813</v>
      </c>
      <c r="BR18" s="607">
        <f>BR13-BR17</f>
        <v>135.10194983858617</v>
      </c>
      <c r="BS18" s="607">
        <f>BS13-BS17</f>
        <v>142.03181826889846</v>
      </c>
      <c r="BT18" s="607">
        <f>BT13-BT17</f>
        <v>174.99778043558149</v>
      </c>
      <c r="BU18" s="609">
        <f>BU13-BU17</f>
        <v>553.44829611509419</v>
      </c>
      <c r="BV18" s="613"/>
      <c r="BW18" s="607">
        <f>BW13-BW17</f>
        <v>114.73800139038173</v>
      </c>
      <c r="BX18" s="607">
        <f>BX13-BX17</f>
        <v>152.29660063095443</v>
      </c>
      <c r="BY18" s="607">
        <f>BY13-BY17</f>
        <v>160.49747929378475</v>
      </c>
      <c r="BZ18" s="607">
        <f>BZ13-BZ17</f>
        <v>197.0845466335401</v>
      </c>
      <c r="CA18" s="609">
        <f>CA13-CA17</f>
        <v>624.61662794866095</v>
      </c>
      <c r="CB18" s="613"/>
      <c r="CC18" s="607">
        <f>CC13-CC17</f>
        <v>129.76705256017624</v>
      </c>
      <c r="CD18" s="607">
        <f>CD13-CD17</f>
        <v>171.07910229923755</v>
      </c>
      <c r="CE18" s="607">
        <f>CE13-CE17</f>
        <v>179.49048060893006</v>
      </c>
      <c r="CF18" s="607">
        <f>CF13-CF17</f>
        <v>218.57956696727985</v>
      </c>
      <c r="CG18" s="609">
        <f>CG13-CG17</f>
        <v>698.91620243562352</v>
      </c>
      <c r="CH18" s="613"/>
      <c r="CI18" s="607">
        <f>CI13-CI17</f>
        <v>143.85165699707974</v>
      </c>
      <c r="CJ18" s="607">
        <f>CJ13-CJ17</f>
        <v>188.17265845999083</v>
      </c>
      <c r="CK18" s="607">
        <f>CK13-CK17</f>
        <v>197.74345435162149</v>
      </c>
      <c r="CL18" s="607">
        <f>CL13-CL17</f>
        <v>239.82910925806286</v>
      </c>
      <c r="CM18" s="609">
        <f>CM13-CM17</f>
        <v>769.59687906675458</v>
      </c>
      <c r="CN18" s="490"/>
      <c r="CO18" s="490"/>
      <c r="CP18" s="490"/>
      <c r="CQ18" s="490"/>
      <c r="CR18" s="490"/>
      <c r="CY18" s="1820"/>
      <c r="CZ18" s="1820"/>
      <c r="DA18" s="108"/>
    </row>
    <row r="19" spans="1:105" ht="12.75" hidden="1" customHeight="1" outlineLevel="1">
      <c r="A19" s="1549" t="s">
        <v>125</v>
      </c>
      <c r="B19" s="136"/>
      <c r="C19" s="592">
        <f>CFS!C14</f>
        <v>19.085000000000001</v>
      </c>
      <c r="D19" s="592">
        <f>CFS!D14</f>
        <v>19.076000000000001</v>
      </c>
      <c r="E19" s="592">
        <f>CFS!E14</f>
        <v>18.982999999999997</v>
      </c>
      <c r="F19" s="593">
        <f>CFS!F14</f>
        <v>19.366999999999997</v>
      </c>
      <c r="G19" s="584">
        <f>SUM(C19:F19)</f>
        <v>76.510999999999996</v>
      </c>
      <c r="H19" s="599"/>
      <c r="I19" s="592">
        <f>CFS!I14</f>
        <v>21.597000000000001</v>
      </c>
      <c r="J19" s="592">
        <f>CFS!J14</f>
        <v>22.318999999999996</v>
      </c>
      <c r="K19" s="592">
        <f>CFS!K14</f>
        <v>22.51700000000001</v>
      </c>
      <c r="L19" s="593">
        <f>CFS!L14</f>
        <v>21.873999999999995</v>
      </c>
      <c r="M19" s="584">
        <f>SUM(I19:L19)</f>
        <v>88.307000000000002</v>
      </c>
      <c r="N19" s="599"/>
      <c r="O19" s="592">
        <f>CFS!O14</f>
        <v>21.675000000000001</v>
      </c>
      <c r="P19" s="592">
        <f>CFS!P14</f>
        <v>22.416999999999998</v>
      </c>
      <c r="Q19" s="592">
        <f>CFS!Q14</f>
        <v>13.853999999999996</v>
      </c>
      <c r="R19" s="593">
        <f>CFS!R14</f>
        <v>33.897000000000006</v>
      </c>
      <c r="S19" s="584">
        <f>SUM(O19:R19)</f>
        <v>91.843000000000004</v>
      </c>
      <c r="T19" s="600"/>
      <c r="U19" s="592">
        <f>CFS!U14</f>
        <v>20.001000000000001</v>
      </c>
      <c r="V19" s="592">
        <f>CFS!V14</f>
        <v>23.075999999999997</v>
      </c>
      <c r="W19" s="592">
        <f>CFS!W14</f>
        <v>22.79300000000001</v>
      </c>
      <c r="X19" s="593">
        <f>CFS!X14</f>
        <v>23.292999999999992</v>
      </c>
      <c r="Y19" s="584">
        <f>SUM(U19:X19)</f>
        <v>89.162999999999997</v>
      </c>
      <c r="Z19" s="600"/>
      <c r="AA19" s="594">
        <f>CFS!AA14</f>
        <v>23.952999999999999</v>
      </c>
      <c r="AB19" s="592">
        <f>CFS!AB14</f>
        <v>26.648</v>
      </c>
      <c r="AC19" s="592">
        <f>CFS!AC14</f>
        <v>28.117000000000004</v>
      </c>
      <c r="AD19" s="592">
        <f>CFS!AD14</f>
        <v>32.203000000000003</v>
      </c>
      <c r="AE19" s="584">
        <f>SUM(AA19:AD19)</f>
        <v>110.92100000000001</v>
      </c>
      <c r="AF19" s="600"/>
      <c r="AG19" s="695">
        <f>CFS!AG14</f>
        <v>32.006999999999998</v>
      </c>
      <c r="AH19" s="696">
        <f>CFS!AH14</f>
        <v>32.155999999999999</v>
      </c>
      <c r="AI19" s="696">
        <f>CFS!AI14</f>
        <v>30.628</v>
      </c>
      <c r="AJ19" s="694">
        <f>CFS!AJ14</f>
        <v>32.073999999999998</v>
      </c>
      <c r="AK19" s="584">
        <f>SUM(AG19:AJ19)</f>
        <v>126.86499999999999</v>
      </c>
      <c r="AL19" s="600"/>
      <c r="AM19" s="695">
        <f>CFS!AM14</f>
        <v>30.571000000000002</v>
      </c>
      <c r="AN19" s="696">
        <f>CFS!AN14</f>
        <v>31.408999999999995</v>
      </c>
      <c r="AO19" s="696">
        <f>CFS!AO14</f>
        <v>34.473000000000006</v>
      </c>
      <c r="AP19" s="696">
        <f>CFS!AP14</f>
        <v>32.018000000000001</v>
      </c>
      <c r="AQ19" s="615">
        <f>SUM(AM19:AP19)</f>
        <v>128.471</v>
      </c>
      <c r="AR19" s="616"/>
      <c r="AS19" s="695">
        <f>CFS!AS14</f>
        <v>29.443000000000001</v>
      </c>
      <c r="AT19" s="696">
        <f>CFS!AT14</f>
        <v>28.463999999999995</v>
      </c>
      <c r="AU19" s="696">
        <f>CFS!AU14</f>
        <v>28.926000000000002</v>
      </c>
      <c r="AV19" s="697">
        <f>CFS!AV14</f>
        <v>29.903000000000006</v>
      </c>
      <c r="AW19" s="584">
        <f>CFS!AW14</f>
        <v>116.736</v>
      </c>
      <c r="AX19" s="616"/>
      <c r="AY19" s="698">
        <f>CFS!AY14</f>
        <v>28.334</v>
      </c>
      <c r="AZ19" s="697">
        <f>CFS!AZ14</f>
        <v>28.259000000000004</v>
      </c>
      <c r="BA19" s="697">
        <f>CFS!BA14</f>
        <v>27.164000000000001</v>
      </c>
      <c r="BB19" s="697">
        <f>CFS!BB14</f>
        <v>28.25</v>
      </c>
      <c r="BC19" s="584">
        <f>CFS!BC14</f>
        <v>112.00700000000001</v>
      </c>
      <c r="BD19" s="616"/>
      <c r="BE19" s="698">
        <f>CFS!BE14</f>
        <v>26.957000000000001</v>
      </c>
      <c r="BF19" s="697">
        <f>CFS!BF14</f>
        <v>26.439</v>
      </c>
      <c r="BG19" s="697">
        <f>CFS!BG14</f>
        <v>25.891000000000005</v>
      </c>
      <c r="BH19" s="697">
        <f>CFS!BH14</f>
        <v>20.684999999999988</v>
      </c>
      <c r="BI19" s="615">
        <f>SUM(BE19:BH19)</f>
        <v>99.971999999999994</v>
      </c>
      <c r="BJ19" s="616"/>
      <c r="BK19" s="698">
        <f>CFS!BK14</f>
        <v>24.747</v>
      </c>
      <c r="BL19" s="697">
        <f>CFS!BL14</f>
        <v>24.758000000000003</v>
      </c>
      <c r="BM19" s="697">
        <f>CFS!BM14</f>
        <v>26.002000000000002</v>
      </c>
      <c r="BN19" s="697">
        <f>CFS!BN14</f>
        <v>29.492999999999995</v>
      </c>
      <c r="BO19" s="584">
        <f>CFS!BO14</f>
        <v>105</v>
      </c>
      <c r="BP19" s="616"/>
      <c r="BQ19" s="698">
        <f>CFS!BQ14</f>
        <v>31.245182499999999</v>
      </c>
      <c r="BR19" s="697">
        <f>CFS!BR14</f>
        <v>31.078546556179536</v>
      </c>
      <c r="BS19" s="697">
        <f>CFS!BS14</f>
        <v>30.930065620931785</v>
      </c>
      <c r="BT19" s="697">
        <f>CFS!BT14</f>
        <v>30.785405078140947</v>
      </c>
      <c r="BU19" s="584">
        <f>CFS!BU14</f>
        <v>124.03919975525227</v>
      </c>
      <c r="BV19" s="616"/>
      <c r="BW19" s="698">
        <f>CFS!BW14</f>
        <v>33.911743300985364</v>
      </c>
      <c r="BX19" s="697">
        <f>CFS!BX14</f>
        <v>33.742781484523597</v>
      </c>
      <c r="BY19" s="697">
        <f>CFS!BY14</f>
        <v>33.596920196033309</v>
      </c>
      <c r="BZ19" s="697">
        <f>CFS!BZ14</f>
        <v>33.456543294180804</v>
      </c>
      <c r="CA19" s="584">
        <f>CFS!CA14</f>
        <v>134.70798827572307</v>
      </c>
      <c r="CB19" s="616"/>
      <c r="CC19" s="698">
        <f>CFS!CC14</f>
        <v>34.828353893117338</v>
      </c>
      <c r="CD19" s="697">
        <f>CFS!CD14</f>
        <v>34.642489995810216</v>
      </c>
      <c r="CE19" s="697">
        <f>CFS!CE14</f>
        <v>34.482299139458107</v>
      </c>
      <c r="CF19" s="697">
        <f>CFS!CF14</f>
        <v>34.328061211890585</v>
      </c>
      <c r="CG19" s="584">
        <f>CFS!CG14</f>
        <v>138.28120424027625</v>
      </c>
      <c r="CH19" s="616"/>
      <c r="CI19" s="698">
        <f>CFS!CI14</f>
        <v>35.586249105775551</v>
      </c>
      <c r="CJ19" s="697">
        <f>CFS!CJ14</f>
        <v>35.384585949820881</v>
      </c>
      <c r="CK19" s="697">
        <f>CFS!CK14</f>
        <v>35.210582320251127</v>
      </c>
      <c r="CL19" s="697">
        <f>CFS!CL14</f>
        <v>35.044176818467292</v>
      </c>
      <c r="CM19" s="584">
        <f>CFS!CM14</f>
        <v>141.22559419431485</v>
      </c>
      <c r="CN19" s="36"/>
      <c r="CO19" s="36"/>
      <c r="CP19" s="36"/>
      <c r="CQ19" s="36"/>
      <c r="CR19" s="36"/>
      <c r="CY19" s="856"/>
      <c r="CZ19" s="108"/>
      <c r="DA19" s="108"/>
    </row>
    <row r="20" spans="1:105" hidden="1" outlineLevel="1">
      <c r="A20" s="1610" t="s">
        <v>126</v>
      </c>
      <c r="B20" s="136"/>
      <c r="C20" s="592">
        <f>C19-C21</f>
        <v>8.6490000000000009</v>
      </c>
      <c r="D20" s="592">
        <f>D19-D21</f>
        <v>8.4130000000000003</v>
      </c>
      <c r="E20" s="592">
        <f>E19-E21</f>
        <v>8.2139999999999969</v>
      </c>
      <c r="F20" s="593">
        <f>F19-F21</f>
        <v>7.1469999999999967</v>
      </c>
      <c r="G20" s="584">
        <f>SUM(C20:F20)</f>
        <v>32.422999999999995</v>
      </c>
      <c r="H20" s="599"/>
      <c r="I20" s="592">
        <f>I19-I21</f>
        <v>8.0120000000000005</v>
      </c>
      <c r="J20" s="592">
        <f>J19-J21</f>
        <v>7.9619999999999962</v>
      </c>
      <c r="K20" s="592">
        <f>K19-K21</f>
        <v>8.4460000000000104</v>
      </c>
      <c r="L20" s="593">
        <f>L19-L21</f>
        <v>8.2919999999999945</v>
      </c>
      <c r="M20" s="584">
        <f>SUM(I20:L20)</f>
        <v>32.712000000000003</v>
      </c>
      <c r="N20" s="599"/>
      <c r="O20" s="592">
        <f>O19-O21</f>
        <v>8.2700000000000014</v>
      </c>
      <c r="P20" s="592">
        <f>P19-P21</f>
        <v>8.3979999999999979</v>
      </c>
      <c r="Q20" s="592">
        <f>Q19-Q21</f>
        <v>0.15999999999999481</v>
      </c>
      <c r="R20" s="593">
        <f>R19-R21</f>
        <v>20.899000000000008</v>
      </c>
      <c r="S20" s="584">
        <f>SUM(O20:R20)</f>
        <v>37.727000000000004</v>
      </c>
      <c r="T20" s="600"/>
      <c r="U20" s="592">
        <f>U19-U21</f>
        <v>5.7000000000000011</v>
      </c>
      <c r="V20" s="592">
        <f>V19-V21</f>
        <v>8.1829999999999963</v>
      </c>
      <c r="W20" s="592">
        <f>W19-W21</f>
        <v>7.1010000000000097</v>
      </c>
      <c r="X20" s="593">
        <f>X19-X21</f>
        <v>7.4579999999999984</v>
      </c>
      <c r="Y20" s="584">
        <f>SUM(U20:X20)</f>
        <v>28.442000000000007</v>
      </c>
      <c r="Z20" s="600"/>
      <c r="AA20" s="594">
        <f>AA19-AA21</f>
        <v>7.5679999999999978</v>
      </c>
      <c r="AB20" s="592">
        <f>AB19-AB21</f>
        <v>7.3490000000000002</v>
      </c>
      <c r="AC20" s="592">
        <f>AC19-AC21</f>
        <v>7.8410000000000046</v>
      </c>
      <c r="AD20" s="592">
        <f>AD19-AD21</f>
        <v>8.1730000000000125</v>
      </c>
      <c r="AE20" s="584">
        <f>SUM(AA20:AD20)</f>
        <v>30.931000000000015</v>
      </c>
      <c r="AF20" s="602"/>
      <c r="AG20" s="594">
        <f>AG19-AG21</f>
        <v>8.607999999999997</v>
      </c>
      <c r="AH20" s="592">
        <f>AH19-AH21</f>
        <v>8.8149999999999977</v>
      </c>
      <c r="AI20" s="592">
        <f>AI19-AI21</f>
        <v>8.6439999999999984</v>
      </c>
      <c r="AJ20" s="593">
        <f>AJ19-AJ21</f>
        <v>9.5799999999999983</v>
      </c>
      <c r="AK20" s="615">
        <f>SUM(AG20:AJ20)</f>
        <v>35.646999999999991</v>
      </c>
      <c r="AL20" s="600"/>
      <c r="AM20" s="594">
        <f>AM19-AM21</f>
        <v>8.083000000000002</v>
      </c>
      <c r="AN20" s="592">
        <f>AN19-AN21</f>
        <v>9.4119999999999955</v>
      </c>
      <c r="AO20" s="592">
        <f>AO19-AO21</f>
        <v>11.649000000000004</v>
      </c>
      <c r="AP20" s="593">
        <f>AP19-AP21</f>
        <v>9.5189999999999984</v>
      </c>
      <c r="AQ20" s="615">
        <f>SUM(AM20:AP20)</f>
        <v>38.662999999999997</v>
      </c>
      <c r="AR20" s="616"/>
      <c r="AS20" s="594">
        <f>AS19-AS21</f>
        <v>8.7480000000000011</v>
      </c>
      <c r="AT20" s="592">
        <f>AT19-AT21</f>
        <v>7.8879999999999946</v>
      </c>
      <c r="AU20" s="592">
        <f>AU19-AU21</f>
        <v>8.3260000000000005</v>
      </c>
      <c r="AV20" s="592">
        <f>AV19-AV21</f>
        <v>8.3810000000000073</v>
      </c>
      <c r="AW20" s="615">
        <f>SUM(AS20:AV20)</f>
        <v>33.343000000000004</v>
      </c>
      <c r="AX20" s="616"/>
      <c r="AY20" s="594">
        <f>AY19-AY21</f>
        <v>8.5339999999999989</v>
      </c>
      <c r="AZ20" s="592">
        <f>AZ19-AZ21</f>
        <v>8.3590000000000053</v>
      </c>
      <c r="BA20" s="592">
        <f>BA19-BA21</f>
        <v>8.3640000000000008</v>
      </c>
      <c r="BB20" s="592">
        <f>BB19-BB21</f>
        <v>8.1500000000000057</v>
      </c>
      <c r="BC20" s="615">
        <f>SUM(AY20:BB20)</f>
        <v>33.407000000000011</v>
      </c>
      <c r="BD20" s="616"/>
      <c r="BE20" s="594">
        <f>BE19-BE21</f>
        <v>7.9570000000000007</v>
      </c>
      <c r="BF20" s="592">
        <f>BF19-BF21</f>
        <v>7.5390000000000015</v>
      </c>
      <c r="BG20" s="592">
        <f>BG19-BG21</f>
        <v>8.5910000000000046</v>
      </c>
      <c r="BH20" s="592">
        <f>BH19-BH21</f>
        <v>4.3849999999999909</v>
      </c>
      <c r="BI20" s="615">
        <f>SUM(BE20:BH20)</f>
        <v>28.471999999999998</v>
      </c>
      <c r="BJ20" s="614"/>
      <c r="BK20" s="592">
        <f>BK19-BK21</f>
        <v>7.7469999999999999</v>
      </c>
      <c r="BL20" s="592">
        <f>BL19-BL21</f>
        <v>7.2580000000000027</v>
      </c>
      <c r="BM20" s="592">
        <f>BM19-BM21</f>
        <v>8.3020000000000032</v>
      </c>
      <c r="BN20" s="592">
        <f>BN19-BN21</f>
        <v>7.992999999999995</v>
      </c>
      <c r="BO20" s="615">
        <f>SUM(BK20:BN20)</f>
        <v>31.3</v>
      </c>
      <c r="BP20" s="614"/>
      <c r="BQ20" s="592">
        <f>BQ19-BQ21</f>
        <v>11.041082499999998</v>
      </c>
      <c r="BR20" s="592">
        <f>BR19-BR21</f>
        <v>11.177508056179533</v>
      </c>
      <c r="BS20" s="592">
        <f>BS19-BS21</f>
        <v>11.327542698431781</v>
      </c>
      <c r="BT20" s="592">
        <f>BT19-BT21</f>
        <v>11.476919999478444</v>
      </c>
      <c r="BU20" s="615">
        <f>SUM(BQ20:BT20)</f>
        <v>45.02305325408976</v>
      </c>
      <c r="BV20" s="614"/>
      <c r="BW20" s="592">
        <f>BW19-BW21</f>
        <v>13.307980681629253</v>
      </c>
      <c r="BX20" s="592">
        <f>BX19-BX21</f>
        <v>13.473830007732023</v>
      </c>
      <c r="BY20" s="592">
        <f>BY19-BY21</f>
        <v>13.657339180739594</v>
      </c>
      <c r="BZ20" s="592">
        <f>BZ19-BZ21</f>
        <v>13.840980470385613</v>
      </c>
      <c r="CA20" s="615">
        <f>SUM(BW20:BZ20)</f>
        <v>54.28013034048648</v>
      </c>
      <c r="CB20" s="614"/>
      <c r="CC20" s="592">
        <f>CC19-CC21</f>
        <v>14.047173970754315</v>
      </c>
      <c r="CD20" s="592">
        <f>CD19-CD21</f>
        <v>14.224980722088546</v>
      </c>
      <c r="CE20" s="592">
        <f>CE19-CE21</f>
        <v>14.422096278026565</v>
      </c>
      <c r="CF20" s="592">
        <f>CF19-CF21</f>
        <v>14.618911900534094</v>
      </c>
      <c r="CG20" s="615">
        <f>SUM(CC20:CF20)</f>
        <v>57.31316287140352</v>
      </c>
      <c r="CH20" s="614"/>
      <c r="CI20" s="592">
        <f>CI19-CI21</f>
        <v>14.838849964624394</v>
      </c>
      <c r="CJ20" s="592">
        <f>CJ19-CJ21</f>
        <v>15.026200542566308</v>
      </c>
      <c r="CK20" s="592">
        <f>CK19-CK21</f>
        <v>15.233916639382581</v>
      </c>
      <c r="CL20" s="592">
        <f>CL19-CL21</f>
        <v>15.442073619115032</v>
      </c>
      <c r="CM20" s="615">
        <f>SUM(CI20:CL20)</f>
        <v>60.541040765688322</v>
      </c>
      <c r="CN20" s="36"/>
      <c r="CO20" s="36"/>
      <c r="CP20" s="36"/>
      <c r="CQ20" s="36"/>
      <c r="CR20" s="36"/>
      <c r="CY20" s="228"/>
      <c r="CZ20" s="108"/>
      <c r="DA20" s="108"/>
    </row>
    <row r="21" spans="1:105" hidden="1" outlineLevel="1">
      <c r="A21" s="1610" t="s">
        <v>127</v>
      </c>
      <c r="B21" s="136"/>
      <c r="C21" s="592">
        <f>C96</f>
        <v>10.436</v>
      </c>
      <c r="D21" s="592">
        <f>D96</f>
        <v>10.663</v>
      </c>
      <c r="E21" s="592">
        <f>E96</f>
        <v>10.769</v>
      </c>
      <c r="F21" s="593">
        <f>F96</f>
        <v>12.22</v>
      </c>
      <c r="G21" s="584">
        <f>SUM(C21:F21)</f>
        <v>44.088000000000001</v>
      </c>
      <c r="H21" s="599"/>
      <c r="I21" s="592">
        <f>I96</f>
        <v>13.585000000000001</v>
      </c>
      <c r="J21" s="592">
        <f>J96</f>
        <v>14.356999999999999</v>
      </c>
      <c r="K21" s="592">
        <f>K96</f>
        <v>14.071</v>
      </c>
      <c r="L21" s="593">
        <f>L96</f>
        <v>13.582000000000001</v>
      </c>
      <c r="M21" s="584">
        <f>SUM(I21:L21)</f>
        <v>55.594999999999999</v>
      </c>
      <c r="N21" s="599"/>
      <c r="O21" s="592">
        <f>O96</f>
        <v>13.404999999999999</v>
      </c>
      <c r="P21" s="592">
        <f>P96</f>
        <v>14.019</v>
      </c>
      <c r="Q21" s="592">
        <f>Q96</f>
        <v>13.694000000000001</v>
      </c>
      <c r="R21" s="593">
        <f>R96</f>
        <v>12.997999999999999</v>
      </c>
      <c r="S21" s="584">
        <f>SUM(O21:R21)</f>
        <v>54.116</v>
      </c>
      <c r="T21" s="600"/>
      <c r="U21" s="592">
        <f>U96</f>
        <v>14.301</v>
      </c>
      <c r="V21" s="592">
        <f>V96</f>
        <v>14.893000000000001</v>
      </c>
      <c r="W21" s="592">
        <f>W96</f>
        <v>15.692</v>
      </c>
      <c r="X21" s="593">
        <f>X96</f>
        <v>15.834999999999994</v>
      </c>
      <c r="Y21" s="584">
        <f>SUM(U21:X21)</f>
        <v>60.720999999999997</v>
      </c>
      <c r="Z21" s="600"/>
      <c r="AA21" s="594">
        <f>AA96</f>
        <v>16.385000000000002</v>
      </c>
      <c r="AB21" s="592">
        <f>AB96</f>
        <v>19.298999999999999</v>
      </c>
      <c r="AC21" s="592">
        <f>AC96</f>
        <v>20.276</v>
      </c>
      <c r="AD21" s="592">
        <f>AD96</f>
        <v>24.02999999999999</v>
      </c>
      <c r="AE21" s="584">
        <f>SUM(AA21:AD21)</f>
        <v>79.989999999999981</v>
      </c>
      <c r="AF21" s="600"/>
      <c r="AG21" s="594">
        <f>AG96</f>
        <v>23.399000000000001</v>
      </c>
      <c r="AH21" s="592">
        <f>AH96</f>
        <v>23.341000000000001</v>
      </c>
      <c r="AI21" s="592">
        <f>AI96</f>
        <v>21.984000000000002</v>
      </c>
      <c r="AJ21" s="593">
        <f>AJ96</f>
        <v>22.494</v>
      </c>
      <c r="AK21" s="615">
        <f>SUM(AG21:AJ21)</f>
        <v>91.218000000000004</v>
      </c>
      <c r="AL21" s="600"/>
      <c r="AM21" s="592">
        <f>AM96</f>
        <v>22.488</v>
      </c>
      <c r="AN21" s="592">
        <f>AN96</f>
        <v>21.997</v>
      </c>
      <c r="AO21" s="592">
        <f>AO96</f>
        <v>22.824000000000002</v>
      </c>
      <c r="AP21" s="593">
        <f>AP96</f>
        <v>22.499000000000002</v>
      </c>
      <c r="AQ21" s="615">
        <f>SUM(AM21:AP21)</f>
        <v>89.807999999999993</v>
      </c>
      <c r="AR21" s="602"/>
      <c r="AS21" s="594">
        <f>AS96</f>
        <v>20.695</v>
      </c>
      <c r="AT21" s="592">
        <f>AT96</f>
        <v>20.576000000000001</v>
      </c>
      <c r="AU21" s="592">
        <f>AU96</f>
        <v>20.6</v>
      </c>
      <c r="AV21" s="592">
        <f>AV96</f>
        <v>21.521999999999998</v>
      </c>
      <c r="AW21" s="615">
        <f>SUM(AS21:AV21)</f>
        <v>83.393000000000001</v>
      </c>
      <c r="AX21" s="602"/>
      <c r="AY21" s="1744">
        <f>-BS!AY119</f>
        <v>19.8</v>
      </c>
      <c r="AZ21" s="1745">
        <f>-BS!AZ119</f>
        <v>19.899999999999999</v>
      </c>
      <c r="BA21" s="1745">
        <f>-BS!BA119</f>
        <v>18.8</v>
      </c>
      <c r="BB21" s="1745">
        <f>-BS!BB119</f>
        <v>20.099999999999994</v>
      </c>
      <c r="BC21" s="615">
        <f>SUM(AY21:BB21)</f>
        <v>78.599999999999994</v>
      </c>
      <c r="BD21" s="602"/>
      <c r="BE21" s="1744">
        <f>-BS!BE119</f>
        <v>19</v>
      </c>
      <c r="BF21" s="1743">
        <f>-BS!BF119</f>
        <v>18.899999999999999</v>
      </c>
      <c r="BG21" s="697">
        <f>-BS!BG119</f>
        <v>17.3</v>
      </c>
      <c r="BH21" s="697">
        <f>-BS!BH119</f>
        <v>16.299999999999997</v>
      </c>
      <c r="BI21" s="615">
        <f>SUM(BE21:BH21)</f>
        <v>71.5</v>
      </c>
      <c r="BJ21" s="602"/>
      <c r="BK21" s="698">
        <f>-BS!BK119</f>
        <v>17</v>
      </c>
      <c r="BL21" s="697">
        <f>-BS!BL119</f>
        <v>17.5</v>
      </c>
      <c r="BM21" s="697">
        <f>-BS!BM119</f>
        <v>17.7</v>
      </c>
      <c r="BN21" s="697">
        <f>-BS!BN119</f>
        <v>21.5</v>
      </c>
      <c r="BO21" s="615">
        <f>SUM(BK21:BN21)</f>
        <v>73.7</v>
      </c>
      <c r="BP21" s="602"/>
      <c r="BQ21" s="698">
        <f>-BS!BQ119</f>
        <v>20.2041</v>
      </c>
      <c r="BR21" s="697">
        <f>-BS!BR119</f>
        <v>19.901038500000002</v>
      </c>
      <c r="BS21" s="697">
        <f>-BS!BS119</f>
        <v>19.602522922500004</v>
      </c>
      <c r="BT21" s="697">
        <f>-BS!BT119</f>
        <v>19.308485078662503</v>
      </c>
      <c r="BU21" s="615">
        <f>SUM(BQ21:BT21)</f>
        <v>79.01614650116251</v>
      </c>
      <c r="BV21" s="602"/>
      <c r="BW21" s="698">
        <f>-BS!BW119</f>
        <v>20.603762619356111</v>
      </c>
      <c r="BX21" s="697">
        <f>-BS!BX119</f>
        <v>20.268951476791575</v>
      </c>
      <c r="BY21" s="697">
        <f>-BS!BY119</f>
        <v>19.939581015293715</v>
      </c>
      <c r="BZ21" s="697">
        <f>-BS!BZ119</f>
        <v>19.615562823795191</v>
      </c>
      <c r="CA21" s="615">
        <f>SUM(BW21:BZ21)</f>
        <v>80.427857935236588</v>
      </c>
      <c r="CB21" s="602"/>
      <c r="CC21" s="698">
        <f>-BS!CC119</f>
        <v>20.781179922363023</v>
      </c>
      <c r="CD21" s="697">
        <f>-BS!CD119</f>
        <v>20.41750927372167</v>
      </c>
      <c r="CE21" s="697">
        <f>-BS!CE119</f>
        <v>20.060202861431542</v>
      </c>
      <c r="CF21" s="697">
        <f>-BS!CF119</f>
        <v>19.709149311356491</v>
      </c>
      <c r="CG21" s="615">
        <f>SUM(CC21:CF21)</f>
        <v>80.968041368872719</v>
      </c>
      <c r="CH21" s="602"/>
      <c r="CI21" s="698">
        <f>-BS!CI119</f>
        <v>20.747399141151156</v>
      </c>
      <c r="CJ21" s="697">
        <f>-BS!CJ119</f>
        <v>20.358385407254573</v>
      </c>
      <c r="CK21" s="697">
        <f>-BS!CK119</f>
        <v>19.976665680868546</v>
      </c>
      <c r="CL21" s="697">
        <f>-BS!CL119</f>
        <v>19.602103199352261</v>
      </c>
      <c r="CM21" s="615">
        <f>SUM(CI21:CL21)</f>
        <v>80.684553428626529</v>
      </c>
      <c r="CN21" s="36"/>
      <c r="CO21" s="36"/>
      <c r="CP21" s="36"/>
      <c r="CQ21" s="36"/>
      <c r="CR21" s="36"/>
      <c r="CY21" s="1821"/>
      <c r="CZ21" s="1822"/>
      <c r="DA21" s="108"/>
    </row>
    <row r="22" spans="1:105" hidden="1" outlineLevel="1">
      <c r="A22" s="1610" t="s">
        <v>128</v>
      </c>
      <c r="B22" s="220" t="s">
        <v>79</v>
      </c>
      <c r="C22" s="616">
        <f>C92</f>
        <v>2.8879999999999999</v>
      </c>
      <c r="D22" s="616">
        <f>D92</f>
        <v>4.6180000000000003</v>
      </c>
      <c r="E22" s="616">
        <f>E92</f>
        <v>3.1189999999999998</v>
      </c>
      <c r="F22" s="614">
        <f>F92</f>
        <v>5.0860000000000003</v>
      </c>
      <c r="G22" s="584">
        <f>SUM(C22:F22)</f>
        <v>15.711</v>
      </c>
      <c r="H22" s="617"/>
      <c r="I22" s="616">
        <f>I92</f>
        <v>5.2089999999999996</v>
      </c>
      <c r="J22" s="616">
        <f>J92</f>
        <v>3.0630000000000006</v>
      </c>
      <c r="K22" s="616">
        <f>K92</f>
        <v>5.3989999999999991</v>
      </c>
      <c r="L22" s="614">
        <f>L92</f>
        <v>5.6560000000000024</v>
      </c>
      <c r="M22" s="584">
        <f>SUM(I22:L22)</f>
        <v>19.327000000000002</v>
      </c>
      <c r="N22" s="617"/>
      <c r="O22" s="616">
        <f>O92</f>
        <v>3.8119999999999998</v>
      </c>
      <c r="P22" s="616">
        <f>P92</f>
        <v>4.3630000000000013</v>
      </c>
      <c r="Q22" s="616">
        <f>Q92</f>
        <v>2.1179999999999981</v>
      </c>
      <c r="R22" s="614">
        <f>R92</f>
        <v>4.5370000000000008</v>
      </c>
      <c r="S22" s="584">
        <f>SUM(O22:R22)</f>
        <v>14.83</v>
      </c>
      <c r="T22" s="618"/>
      <c r="U22" s="616">
        <f>U92</f>
        <v>3.3149999999999999</v>
      </c>
      <c r="V22" s="616">
        <f>V92</f>
        <v>4.2840000000000007</v>
      </c>
      <c r="W22" s="616">
        <f>W92</f>
        <v>2.7529999999999997</v>
      </c>
      <c r="X22" s="614">
        <f>X92</f>
        <v>2.0640000000000001</v>
      </c>
      <c r="Y22" s="584">
        <f>SUM(U22:X22)</f>
        <v>12.416</v>
      </c>
      <c r="Z22" s="618"/>
      <c r="AA22" s="601">
        <f>AA92</f>
        <v>3.0539999999999998</v>
      </c>
      <c r="AB22" s="616">
        <f>AB92</f>
        <v>4.9060000000000006</v>
      </c>
      <c r="AC22" s="616">
        <f>AC92</f>
        <v>1.4669999999999987</v>
      </c>
      <c r="AD22" s="619">
        <f>AD92</f>
        <v>6.0549999999999997</v>
      </c>
      <c r="AE22" s="584">
        <f>SUM(AA22:AD22)</f>
        <v>15.481999999999999</v>
      </c>
      <c r="AF22" s="602"/>
      <c r="AG22" s="601">
        <f>AG92</f>
        <v>5.476</v>
      </c>
      <c r="AH22" s="616">
        <f>AH92</f>
        <v>4.7759999999999998</v>
      </c>
      <c r="AI22" s="616">
        <f>AI92</f>
        <v>5.0999999999999996</v>
      </c>
      <c r="AJ22" s="614">
        <f>AJ92</f>
        <v>5.6790000000000003</v>
      </c>
      <c r="AK22" s="615">
        <f>SUM(AG22:AJ22)</f>
        <v>21.030999999999999</v>
      </c>
      <c r="AL22" s="600"/>
      <c r="AM22" s="601">
        <f>AM92</f>
        <v>4.4160000000000004</v>
      </c>
      <c r="AN22" s="616">
        <f>AN92</f>
        <v>3.226</v>
      </c>
      <c r="AO22" s="616">
        <f>AO92</f>
        <v>3.7809999999999997</v>
      </c>
      <c r="AP22" s="614">
        <f>AP92</f>
        <v>2.6300000000000008</v>
      </c>
      <c r="AQ22" s="615">
        <f>SUM(AM22:AP22)</f>
        <v>14.053000000000001</v>
      </c>
      <c r="AR22" s="616"/>
      <c r="AS22" s="601">
        <f>AS92</f>
        <v>4.516</v>
      </c>
      <c r="AT22" s="616">
        <f>AT92</f>
        <v>4.8030000000000008</v>
      </c>
      <c r="AU22" s="616">
        <f>AU92</f>
        <v>2.4499999999999993</v>
      </c>
      <c r="AV22" s="616">
        <f>AV92</f>
        <v>2.6950000000000003</v>
      </c>
      <c r="AW22" s="615">
        <f>SUM(AS22:AV22)</f>
        <v>14.464</v>
      </c>
      <c r="AX22" s="616"/>
      <c r="AY22" s="601">
        <f>AY92</f>
        <v>3.9870000000000001</v>
      </c>
      <c r="AZ22" s="616">
        <f>AZ92</f>
        <v>4.2059999999999995</v>
      </c>
      <c r="BA22" s="616">
        <f>BA92</f>
        <v>4.2900000000000009</v>
      </c>
      <c r="BB22" s="616">
        <f>BB92</f>
        <v>5.2360000000000007</v>
      </c>
      <c r="BC22" s="615">
        <f>SUM(AY22:BB22)</f>
        <v>17.719000000000001</v>
      </c>
      <c r="BD22" s="616"/>
      <c r="BE22" s="601">
        <f>BE92</f>
        <v>3.9529999999999998</v>
      </c>
      <c r="BF22" s="616">
        <f>BF92</f>
        <v>5.9580000000000002</v>
      </c>
      <c r="BG22" s="616">
        <f>BG92</f>
        <v>3.9080000000000013</v>
      </c>
      <c r="BH22" s="616">
        <f>BH92</f>
        <v>3.3390000000000004</v>
      </c>
      <c r="BI22" s="615">
        <f>SUM(BE22:BH22)</f>
        <v>17.158000000000001</v>
      </c>
      <c r="BJ22" s="614"/>
      <c r="BK22" s="616">
        <f>BK92</f>
        <v>5.2045802231027594</v>
      </c>
      <c r="BL22" s="616">
        <f>BL92</f>
        <v>5.274582002186806</v>
      </c>
      <c r="BM22" s="616">
        <f>BM92</f>
        <v>5.3345204340298382</v>
      </c>
      <c r="BN22" s="616">
        <f>BN92</f>
        <v>5.6909963707804998</v>
      </c>
      <c r="BO22" s="615">
        <f>SUM(BK22:BN22)</f>
        <v>21.504679030099904</v>
      </c>
      <c r="BP22" s="614"/>
      <c r="BQ22" s="616">
        <f>BQ92</f>
        <v>6.5080144392488881</v>
      </c>
      <c r="BR22" s="616">
        <f>BR92</f>
        <v>6.6984543626152755</v>
      </c>
      <c r="BS22" s="616">
        <f>BS92</f>
        <v>6.6561130805694484</v>
      </c>
      <c r="BT22" s="616">
        <f>BT92</f>
        <v>6.8887899895640929</v>
      </c>
      <c r="BU22" s="615">
        <f>SUM(BQ22:BT22)</f>
        <v>26.751371871997705</v>
      </c>
      <c r="BV22" s="614"/>
      <c r="BW22" s="616">
        <f>BW92</f>
        <v>6.8285089855803358</v>
      </c>
      <c r="BX22" s="616">
        <f>BX92</f>
        <v>7.0646365473439907</v>
      </c>
      <c r="BY22" s="616">
        <f>BY92</f>
        <v>7.0557454102776465</v>
      </c>
      <c r="BZ22" s="616">
        <f>BZ92</f>
        <v>7.3002453637187141</v>
      </c>
      <c r="CA22" s="615">
        <f>SUM(BW22:BZ22)</f>
        <v>28.24913630692069</v>
      </c>
      <c r="CB22" s="614"/>
      <c r="CC22" s="616">
        <f>CC92</f>
        <v>7.219866281093239</v>
      </c>
      <c r="CD22" s="616">
        <f>CD92</f>
        <v>7.4765180340979853</v>
      </c>
      <c r="CE22" s="616">
        <f>CE92</f>
        <v>7.4501616576852943</v>
      </c>
      <c r="CF22" s="616">
        <f>CF92</f>
        <v>7.6619801337511406</v>
      </c>
      <c r="CG22" s="615">
        <f>SUM(CC22:CF22)</f>
        <v>29.808526106627657</v>
      </c>
      <c r="CH22" s="614"/>
      <c r="CI22" s="616">
        <f>CI92</f>
        <v>7.5010098673241608</v>
      </c>
      <c r="CJ22" s="616">
        <f>CJ92</f>
        <v>7.7606434697741351</v>
      </c>
      <c r="CK22" s="616">
        <f>CK92</f>
        <v>7.7612724130263446</v>
      </c>
      <c r="CL22" s="616">
        <f>CL92</f>
        <v>7.9652596067346577</v>
      </c>
      <c r="CM22" s="615">
        <f>SUM(CI22:CL22)</f>
        <v>30.988185356859297</v>
      </c>
      <c r="CN22" s="36"/>
      <c r="CO22" s="36"/>
      <c r="CP22" s="36"/>
      <c r="CQ22" s="36"/>
      <c r="CR22" s="36"/>
      <c r="CY22" s="228"/>
      <c r="CZ22" s="1823"/>
      <c r="DA22" s="108"/>
    </row>
    <row r="23" spans="1:105" ht="12.75" hidden="1" customHeight="1" outlineLevel="1">
      <c r="A23" s="1609" t="s">
        <v>129</v>
      </c>
      <c r="B23" s="221"/>
      <c r="C23" s="603">
        <f>SUM(C20:C22)</f>
        <v>21.972999999999999</v>
      </c>
      <c r="D23" s="603">
        <f>SUM(D20:D22)</f>
        <v>23.694000000000003</v>
      </c>
      <c r="E23" s="603">
        <f>SUM(E20:E22)</f>
        <v>22.101999999999997</v>
      </c>
      <c r="F23" s="595">
        <f>SUM(F20:F22)</f>
        <v>24.452999999999996</v>
      </c>
      <c r="G23" s="597">
        <f>SUM(G20:G22)</f>
        <v>92.221999999999994</v>
      </c>
      <c r="H23" s="604"/>
      <c r="I23" s="603">
        <f>SUM(I20:I22)</f>
        <v>26.806000000000001</v>
      </c>
      <c r="J23" s="603">
        <f>SUM(J20:J22)</f>
        <v>25.381999999999998</v>
      </c>
      <c r="K23" s="603">
        <f>SUM(K20:K22)</f>
        <v>27.916000000000011</v>
      </c>
      <c r="L23" s="595">
        <f>SUM(L20:L22)</f>
        <v>27.529999999999998</v>
      </c>
      <c r="M23" s="597">
        <f>SUM(M20:M22)</f>
        <v>107.634</v>
      </c>
      <c r="N23" s="604"/>
      <c r="O23" s="603">
        <f>SUM(O20:O22)</f>
        <v>25.487000000000002</v>
      </c>
      <c r="P23" s="603">
        <f>SUM(P20:P22)</f>
        <v>26.78</v>
      </c>
      <c r="Q23" s="603">
        <f>SUM(Q20:Q22)</f>
        <v>15.971999999999994</v>
      </c>
      <c r="R23" s="595">
        <f>SUM(R20:R22)</f>
        <v>38.434000000000005</v>
      </c>
      <c r="S23" s="597">
        <f>SUM(S20:S22)</f>
        <v>106.673</v>
      </c>
      <c r="T23" s="596"/>
      <c r="U23" s="603">
        <f>SUM(U20:U22)</f>
        <v>23.316000000000003</v>
      </c>
      <c r="V23" s="603">
        <f>SUM(V20:V22)</f>
        <v>27.36</v>
      </c>
      <c r="W23" s="603">
        <f>SUM(W20:W22)</f>
        <v>25.54600000000001</v>
      </c>
      <c r="X23" s="595">
        <f>SUM(X20:X22)</f>
        <v>25.356999999999992</v>
      </c>
      <c r="Y23" s="597">
        <f>SUM(Y20:Y22)</f>
        <v>101.57900000000001</v>
      </c>
      <c r="Z23" s="596"/>
      <c r="AA23" s="605">
        <f>SUM(AA20:AA22)</f>
        <v>27.006999999999998</v>
      </c>
      <c r="AB23" s="603">
        <f>SUM(AB20:AB22)</f>
        <v>31.554000000000002</v>
      </c>
      <c r="AC23" s="603">
        <f>SUM(AC20:AC22)</f>
        <v>29.584000000000003</v>
      </c>
      <c r="AD23" s="603">
        <f>SUM(AD20:AD22)</f>
        <v>38.258000000000003</v>
      </c>
      <c r="AE23" s="597">
        <f>SUM(AE20:AE22)</f>
        <v>126.40299999999999</v>
      </c>
      <c r="AF23" s="606"/>
      <c r="AG23" s="605">
        <f>SUM(AG20:AG22)</f>
        <v>37.482999999999997</v>
      </c>
      <c r="AH23" s="603">
        <f>SUM(AH20:AH22)</f>
        <v>36.932000000000002</v>
      </c>
      <c r="AI23" s="603">
        <f>SUM(AI20:AI22)</f>
        <v>35.728000000000002</v>
      </c>
      <c r="AJ23" s="595">
        <f>SUM(AJ20:AJ22)</f>
        <v>37.753</v>
      </c>
      <c r="AK23" s="597">
        <f>SUM(AK20:AK22)</f>
        <v>147.89599999999999</v>
      </c>
      <c r="AL23" s="596"/>
      <c r="AM23" s="605">
        <f>SUM(AM20:AM22)</f>
        <v>34.987000000000002</v>
      </c>
      <c r="AN23" s="603">
        <f>SUM(AN20:AN22)</f>
        <v>34.634999999999998</v>
      </c>
      <c r="AO23" s="603">
        <f>SUM(AO20:AO22)</f>
        <v>38.254000000000005</v>
      </c>
      <c r="AP23" s="595">
        <f>SUM(AP20:AP22)</f>
        <v>34.648000000000003</v>
      </c>
      <c r="AQ23" s="597">
        <f>SUM(AQ20:AQ22)</f>
        <v>142.524</v>
      </c>
      <c r="AR23" s="598"/>
      <c r="AS23" s="605">
        <f>SUM(AS20:AS22)</f>
        <v>33.959000000000003</v>
      </c>
      <c r="AT23" s="603">
        <f>SUM(AT20:AT22)</f>
        <v>33.266999999999996</v>
      </c>
      <c r="AU23" s="603">
        <f>SUM(AU20:AU22)</f>
        <v>31.376000000000001</v>
      </c>
      <c r="AV23" s="603">
        <f>SUM(AV20:AV22)</f>
        <v>32.598000000000006</v>
      </c>
      <c r="AW23" s="597">
        <f>SUM(AW20:AW22)</f>
        <v>131.20000000000002</v>
      </c>
      <c r="AX23" s="598"/>
      <c r="AY23" s="605">
        <f>SUM(AY20:AY22)</f>
        <v>32.320999999999998</v>
      </c>
      <c r="AZ23" s="603">
        <f>SUM(AZ20:AZ22)</f>
        <v>32.465000000000003</v>
      </c>
      <c r="BA23" s="603">
        <f>SUM(BA20:BA22)</f>
        <v>31.454000000000001</v>
      </c>
      <c r="BB23" s="603">
        <f>SUM(BB20:BB22)</f>
        <v>33.486000000000004</v>
      </c>
      <c r="BC23" s="597">
        <f>SUM(BC20:BC22)</f>
        <v>129.726</v>
      </c>
      <c r="BD23" s="598"/>
      <c r="BE23" s="605">
        <f>SUM(BE20:BE22)</f>
        <v>30.91</v>
      </c>
      <c r="BF23" s="603">
        <f>SUM(BF20:BF22)</f>
        <v>32.396999999999998</v>
      </c>
      <c r="BG23" s="603">
        <f>SUM(BG20:BG22)</f>
        <v>29.799000000000007</v>
      </c>
      <c r="BH23" s="603">
        <f>SUM(BH20:BH22)</f>
        <v>24.023999999999987</v>
      </c>
      <c r="BI23" s="597">
        <f>SUM(BI20:BI22)</f>
        <v>117.13</v>
      </c>
      <c r="BJ23" s="598"/>
      <c r="BK23" s="605">
        <f>SUM(BK20:BK22)</f>
        <v>29.951580223102759</v>
      </c>
      <c r="BL23" s="603">
        <f>SUM(BL20:BL22)</f>
        <v>30.032582002186807</v>
      </c>
      <c r="BM23" s="603">
        <f>SUM(BM20:BM22)</f>
        <v>31.33652043402984</v>
      </c>
      <c r="BN23" s="603">
        <f>SUM(BN20:BN22)</f>
        <v>35.183996370780491</v>
      </c>
      <c r="BO23" s="597">
        <f>SUM(BO20:BO22)</f>
        <v>126.50467903009991</v>
      </c>
      <c r="BP23" s="598"/>
      <c r="BQ23" s="605">
        <f>SUM(BQ20:BQ22)</f>
        <v>37.753196939248888</v>
      </c>
      <c r="BR23" s="603">
        <f>SUM(BR20:BR22)</f>
        <v>37.777000918794812</v>
      </c>
      <c r="BS23" s="603">
        <f>SUM(BS20:BS22)</f>
        <v>37.586178701501233</v>
      </c>
      <c r="BT23" s="603">
        <f>SUM(BT20:BT22)</f>
        <v>37.674195067705043</v>
      </c>
      <c r="BU23" s="597">
        <f>SUM(BU20:BU22)</f>
        <v>150.79057162724996</v>
      </c>
      <c r="BV23" s="598"/>
      <c r="BW23" s="605">
        <f>SUM(BW20:BW22)</f>
        <v>40.740252286565699</v>
      </c>
      <c r="BX23" s="603">
        <f>SUM(BX20:BX22)</f>
        <v>40.807418031867584</v>
      </c>
      <c r="BY23" s="603">
        <f>SUM(BY20:BY22)</f>
        <v>40.652665606310954</v>
      </c>
      <c r="BZ23" s="603">
        <f>SUM(BZ20:BZ22)</f>
        <v>40.75678865789952</v>
      </c>
      <c r="CA23" s="597">
        <f>SUM(CA20:CA22)</f>
        <v>162.95712458264376</v>
      </c>
      <c r="CB23" s="598"/>
      <c r="CC23" s="605">
        <f>SUM(CC20:CC22)</f>
        <v>42.048220174210577</v>
      </c>
      <c r="CD23" s="603">
        <f>SUM(CD20:CD22)</f>
        <v>42.119008029908201</v>
      </c>
      <c r="CE23" s="603">
        <f>SUM(CE20:CE22)</f>
        <v>41.932460797143399</v>
      </c>
      <c r="CF23" s="603">
        <f>SUM(CF20:CF22)</f>
        <v>41.990041345641728</v>
      </c>
      <c r="CG23" s="597">
        <f>SUM(CG20:CG22)</f>
        <v>168.08973034690388</v>
      </c>
      <c r="CH23" s="598"/>
      <c r="CI23" s="605">
        <f>SUM(CI20:CI22)</f>
        <v>43.087258973099708</v>
      </c>
      <c r="CJ23" s="603">
        <f>SUM(CJ20:CJ22)</f>
        <v>43.145229419595019</v>
      </c>
      <c r="CK23" s="603">
        <f>SUM(CK20:CK22)</f>
        <v>42.971854733277475</v>
      </c>
      <c r="CL23" s="603">
        <f>SUM(CL20:CL22)</f>
        <v>43.009436425201947</v>
      </c>
      <c r="CM23" s="597">
        <f>SUM(CM20:CM22)</f>
        <v>172.21377955117416</v>
      </c>
      <c r="CN23" s="54"/>
      <c r="CO23" s="54"/>
      <c r="CP23" s="54"/>
      <c r="CQ23" s="54"/>
      <c r="CR23" s="54"/>
      <c r="CY23" s="228"/>
      <c r="CZ23" s="1824"/>
      <c r="DA23" s="108"/>
    </row>
    <row r="24" spans="1:105" ht="12.75" customHeight="1" collapsed="1">
      <c r="A24" s="1611" t="s">
        <v>130</v>
      </c>
      <c r="B24" s="1518"/>
      <c r="C24" s="1519">
        <f>C18+C23-C21</f>
        <v>54.623999999999974</v>
      </c>
      <c r="D24" s="1520">
        <f>D18+D23-D21</f>
        <v>63.805999999999983</v>
      </c>
      <c r="E24" s="1520">
        <f>E18+E23-E21</f>
        <v>69.339000000000027</v>
      </c>
      <c r="F24" s="1520">
        <f>F18+F23-F21</f>
        <v>83.897000000000048</v>
      </c>
      <c r="G24" s="1521">
        <f>G18+G23-G21</f>
        <v>271.66599999999988</v>
      </c>
      <c r="H24" s="1522"/>
      <c r="I24" s="1519">
        <f>I18+I23-I21</f>
        <v>61.591999999999977</v>
      </c>
      <c r="J24" s="1520">
        <f>J18+J23-J21</f>
        <v>70.674000000000063</v>
      </c>
      <c r="K24" s="1520">
        <f>K18+K23-K21</f>
        <v>78.029000000000011</v>
      </c>
      <c r="L24" s="1520">
        <f>L18+L23-L21</f>
        <v>99.785000000000025</v>
      </c>
      <c r="M24" s="1521">
        <f>M18+M23-M21</f>
        <v>310.08000000000004</v>
      </c>
      <c r="N24" s="1522"/>
      <c r="O24" s="1519">
        <f>O18+O23-O21</f>
        <v>60.073000000000008</v>
      </c>
      <c r="P24" s="1520">
        <f>P18+P23-P21</f>
        <v>65.261999999999944</v>
      </c>
      <c r="Q24" s="1520">
        <f>Q18+Q23-Q21</f>
        <v>49.824999999999989</v>
      </c>
      <c r="R24" s="1520">
        <f>R18+R23-R21</f>
        <v>74.921999999999869</v>
      </c>
      <c r="S24" s="1521">
        <f>S18+S23-S21</f>
        <v>250.08199999999988</v>
      </c>
      <c r="T24" s="1522"/>
      <c r="U24" s="1519">
        <f>U18+U23-U21</f>
        <v>54.835999999999999</v>
      </c>
      <c r="V24" s="1520">
        <f>V18+V23-V21</f>
        <v>68.393999999999991</v>
      </c>
      <c r="W24" s="1520">
        <f>W18+W23-W21</f>
        <v>67.362000000000023</v>
      </c>
      <c r="X24" s="1520">
        <f>X18+X23-X21</f>
        <v>87.916000000000068</v>
      </c>
      <c r="Y24" s="1521">
        <f>Y18+Y23-Y21</f>
        <v>278.5080000000001</v>
      </c>
      <c r="Z24" s="1522"/>
      <c r="AA24" s="1519">
        <f>AA18+AA23-AA21</f>
        <v>107.55700000000006</v>
      </c>
      <c r="AB24" s="1520">
        <f>AB18+AB23-AB21</f>
        <v>120.89900000000009</v>
      </c>
      <c r="AC24" s="1520">
        <f>AC18+AC23-AC21</f>
        <v>113.83499999999999</v>
      </c>
      <c r="AD24" s="1520">
        <f>AD18+AD23-AD21</f>
        <v>115.41999999999977</v>
      </c>
      <c r="AE24" s="1521">
        <f>AE18+AE23-AE21</f>
        <v>457.71099999999967</v>
      </c>
      <c r="AF24" s="841"/>
      <c r="AG24" s="1519">
        <f>AG18+AG23-AG21</f>
        <v>93.041000000000082</v>
      </c>
      <c r="AH24" s="1520">
        <f>AH18+AH23-AH21</f>
        <v>103.32400000000004</v>
      </c>
      <c r="AI24" s="1520">
        <f>AI18+AI23-AI21</f>
        <v>92.017000000000024</v>
      </c>
      <c r="AJ24" s="1520">
        <f>AJ18+AJ23-AJ21</f>
        <v>120.84700000000012</v>
      </c>
      <c r="AK24" s="1521">
        <f>AK18+AK23-AK21</f>
        <v>409.22899999999964</v>
      </c>
      <c r="AL24" s="1522"/>
      <c r="AM24" s="1519">
        <f>AM18+AM23-AM21</f>
        <v>76.391999999999996</v>
      </c>
      <c r="AN24" s="1520">
        <f>AN18+AN23-AN21</f>
        <v>98.070000000000064</v>
      </c>
      <c r="AO24" s="1520">
        <f>AO18+AO23-AO21</f>
        <v>97.492870660000079</v>
      </c>
      <c r="AP24" s="1520">
        <f>AP18+AP23-AP21</f>
        <v>126.21500000000009</v>
      </c>
      <c r="AQ24" s="1521">
        <f>AQ18+AQ23-AQ21</f>
        <v>398.1698706599999</v>
      </c>
      <c r="AR24" s="705"/>
      <c r="AS24" s="1519">
        <f>AS18+AS23-AS21</f>
        <v>92.728048000000314</v>
      </c>
      <c r="AT24" s="1520">
        <f>AT18+AT23-AT21</f>
        <v>105.93260700000002</v>
      </c>
      <c r="AU24" s="1520">
        <f>AU18+AU23-AU21</f>
        <v>102.13334620000009</v>
      </c>
      <c r="AV24" s="1520">
        <f>AV18+AV23-AV21</f>
        <v>141.67028611680021</v>
      </c>
      <c r="AW24" s="1521">
        <f>AW18+AW23-AW21</f>
        <v>442.46428731680078</v>
      </c>
      <c r="AX24" s="705"/>
      <c r="AY24" s="1519">
        <f>AY18+AY23-AY21</f>
        <v>84.421000000000035</v>
      </c>
      <c r="AZ24" s="1520">
        <f>AZ18+AZ23-AZ21</f>
        <v>99.064999999999998</v>
      </c>
      <c r="BA24" s="1520">
        <f>BA18+BA23-BA21</f>
        <v>99.354000000000028</v>
      </c>
      <c r="BB24" s="1520">
        <f>BB18+BB23-BB21</f>
        <v>131.48600000000002</v>
      </c>
      <c r="BC24" s="1521">
        <f>BC18+BC23-BC21</f>
        <v>414.32599999999979</v>
      </c>
      <c r="BD24" s="705"/>
      <c r="BE24" s="1519">
        <f>BE18+BE23-BE21</f>
        <v>93.109999999999985</v>
      </c>
      <c r="BF24" s="1520">
        <f>BF18+BF23-BF21</f>
        <v>107.49700000000001</v>
      </c>
      <c r="BG24" s="1520">
        <f>BG18+BG23-BG21</f>
        <v>110.199</v>
      </c>
      <c r="BH24" s="1520">
        <f>BH18+BH23-BH21</f>
        <v>128.42399999999998</v>
      </c>
      <c r="BI24" s="1521">
        <f>BI18+BI23-BI21</f>
        <v>439.2299999999999</v>
      </c>
      <c r="BJ24" s="705"/>
      <c r="BK24" s="1519">
        <f>BK18+BK23-BK21</f>
        <v>97.016580223102693</v>
      </c>
      <c r="BL24" s="1520">
        <f>BL18+BL23-BL21</f>
        <v>112.10158200218686</v>
      </c>
      <c r="BM24" s="1520">
        <f>BM18+BM23-BM21</f>
        <v>120.6435204340299</v>
      </c>
      <c r="BN24" s="1520">
        <f>BN18+BN23-BN21</f>
        <v>150.68399637078051</v>
      </c>
      <c r="BO24" s="1521">
        <f>BO18+BO23-BO21</f>
        <v>480.44567903009971</v>
      </c>
      <c r="BP24" s="705"/>
      <c r="BQ24" s="1519">
        <f>BQ18+BQ23-BQ21</f>
        <v>118.86584451127702</v>
      </c>
      <c r="BR24" s="1520">
        <f>BR18+BR23-BR21</f>
        <v>152.97791225738098</v>
      </c>
      <c r="BS24" s="1520">
        <f>BS18+BS23-BS21</f>
        <v>160.01547404789969</v>
      </c>
      <c r="BT24" s="1520">
        <f>BT18+BT23-BT21</f>
        <v>193.36349042462405</v>
      </c>
      <c r="BU24" s="1521">
        <f>BU18+BU23-BU21</f>
        <v>625.2227212411816</v>
      </c>
      <c r="BV24" s="705"/>
      <c r="BW24" s="1519">
        <f>BW18+BW23-BW21</f>
        <v>134.87449105759131</v>
      </c>
      <c r="BX24" s="1520">
        <f>BX18+BX23-BX21</f>
        <v>172.83506718603041</v>
      </c>
      <c r="BY24" s="1520">
        <f>BY18+BY23-BY21</f>
        <v>181.21056388480199</v>
      </c>
      <c r="BZ24" s="1520">
        <f>BZ18+BZ23-BZ21</f>
        <v>218.22577246764445</v>
      </c>
      <c r="CA24" s="1521">
        <f>CA18+CA23-CA21</f>
        <v>707.14589459606816</v>
      </c>
      <c r="CB24" s="705"/>
      <c r="CC24" s="1519">
        <f>CC18+CC23-CC21</f>
        <v>151.0340928120238</v>
      </c>
      <c r="CD24" s="1520">
        <f>CD18+CD23-CD21</f>
        <v>192.78060105542409</v>
      </c>
      <c r="CE24" s="1520">
        <f>CE18+CE23-CE21</f>
        <v>201.3627385446419</v>
      </c>
      <c r="CF24" s="1520">
        <f>CF18+CF23-CF21</f>
        <v>240.86045900156506</v>
      </c>
      <c r="CG24" s="1521">
        <f>CG18+CG23-CG21</f>
        <v>786.03789141365473</v>
      </c>
      <c r="CH24" s="705"/>
      <c r="CI24" s="1519">
        <f>CI18+CI23-CI21</f>
        <v>166.19151682902827</v>
      </c>
      <c r="CJ24" s="1520">
        <f>CJ18+CJ23-CJ21</f>
        <v>210.95950247233128</v>
      </c>
      <c r="CK24" s="1520">
        <f>CK18+CK23-CK21</f>
        <v>220.73864340403043</v>
      </c>
      <c r="CL24" s="1520">
        <f>CL18+CL23-CL21</f>
        <v>263.23644248391253</v>
      </c>
      <c r="CM24" s="1521">
        <f>CM18+CM23-CM21</f>
        <v>861.12610518930228</v>
      </c>
      <c r="CN24" s="491"/>
      <c r="CO24" s="491"/>
      <c r="CP24" s="491"/>
      <c r="CQ24" s="491"/>
      <c r="CR24" s="491"/>
      <c r="CY24" s="108"/>
      <c r="CZ24" s="108"/>
      <c r="DA24" s="108"/>
    </row>
    <row r="25" spans="1:105">
      <c r="A25" s="1612" t="s">
        <v>67</v>
      </c>
      <c r="B25" s="134"/>
      <c r="C25" s="594">
        <f>-SUM(C26:C29)</f>
        <v>-1.0439999999999998</v>
      </c>
      <c r="D25" s="592">
        <f t="shared" ref="D25:F25" si="6">-SUM(D26:D29)</f>
        <v>-2.4160000000000004</v>
      </c>
      <c r="E25" s="592">
        <f t="shared" si="6"/>
        <v>-3.0450000000000008</v>
      </c>
      <c r="F25" s="592">
        <f t="shared" si="6"/>
        <v>-4.1319999999999988</v>
      </c>
      <c r="G25" s="584">
        <f t="shared" ref="G25:G31" si="7">SUM(C25:F25)</f>
        <v>-10.637</v>
      </c>
      <c r="H25" s="600"/>
      <c r="I25" s="594">
        <f>-SUM(I26:I29)</f>
        <v>-4.9599999999999973</v>
      </c>
      <c r="J25" s="592">
        <f t="shared" ref="J25:L25" si="8">-SUM(J26:J29)</f>
        <v>-4.9190000000000005</v>
      </c>
      <c r="K25" s="592">
        <f t="shared" si="8"/>
        <v>-5.3070000000000004</v>
      </c>
      <c r="L25" s="592">
        <f t="shared" si="8"/>
        <v>-23.491</v>
      </c>
      <c r="M25" s="584">
        <f t="shared" ref="M25" si="9">SUM(I25:L25)</f>
        <v>-38.677</v>
      </c>
      <c r="N25" s="600"/>
      <c r="O25" s="594">
        <f>-SUM(O26:O29)</f>
        <v>-4.1109999999999998</v>
      </c>
      <c r="P25" s="592">
        <f t="shared" ref="P25:R25" si="10">-SUM(P26:P29)</f>
        <v>-4.0529999999999999</v>
      </c>
      <c r="Q25" s="592">
        <f t="shared" si="10"/>
        <v>-3.7519999999999998</v>
      </c>
      <c r="R25" s="592">
        <f t="shared" si="10"/>
        <v>-3.0569999999999982</v>
      </c>
      <c r="S25" s="584">
        <f t="shared" ref="S25" si="11">SUM(O25:R25)</f>
        <v>-14.972999999999999</v>
      </c>
      <c r="T25" s="600"/>
      <c r="U25" s="594">
        <f>-SUM(U26:U29)</f>
        <v>-3.6219999999999999</v>
      </c>
      <c r="V25" s="592">
        <f t="shared" ref="V25:X25" si="12">-SUM(V26:V29)</f>
        <v>-3.7800000000000011</v>
      </c>
      <c r="W25" s="592">
        <f t="shared" si="12"/>
        <v>-3.9929999999999994</v>
      </c>
      <c r="X25" s="592">
        <f t="shared" si="12"/>
        <v>-3.6640000000000015</v>
      </c>
      <c r="Y25" s="584">
        <f t="shared" ref="Y25" si="13">SUM(U25:X25)</f>
        <v>-15.059000000000001</v>
      </c>
      <c r="Z25" s="600"/>
      <c r="AA25" s="594">
        <f>-SUM(AA26:AA29)</f>
        <v>-3.5939999999999999</v>
      </c>
      <c r="AB25" s="592">
        <f t="shared" ref="AB25:AD25" si="14">-SUM(AB26:AB29)</f>
        <v>-3.73</v>
      </c>
      <c r="AC25" s="592">
        <f t="shared" si="14"/>
        <v>-3.9</v>
      </c>
      <c r="AD25" s="592">
        <f t="shared" si="14"/>
        <v>-11.675000000000001</v>
      </c>
      <c r="AE25" s="584">
        <f t="shared" ref="AE25" si="15">SUM(AA25:AD25)</f>
        <v>-22.899000000000001</v>
      </c>
      <c r="AF25" s="602"/>
      <c r="AG25" s="594">
        <f>-SUM(AG26:AG29)</f>
        <v>-12.726999999999999</v>
      </c>
      <c r="AH25" s="592">
        <f t="shared" ref="AH25:AJ25" si="16">-SUM(AH26:AH29)</f>
        <v>-11.889000000000001</v>
      </c>
      <c r="AI25" s="592">
        <f t="shared" si="16"/>
        <v>-11.786000000000001</v>
      </c>
      <c r="AJ25" s="592">
        <f t="shared" si="16"/>
        <v>-11.638</v>
      </c>
      <c r="AK25" s="584">
        <f t="shared" ref="AK25" si="17">SUM(AG25:AJ25)</f>
        <v>-48.04</v>
      </c>
      <c r="AL25" s="600"/>
      <c r="AM25" s="594">
        <f>-SUM(AM26:AM29)</f>
        <v>-12.287999999999997</v>
      </c>
      <c r="AN25" s="592">
        <f t="shared" ref="AN25:AP25" si="18">-SUM(AN26:AN29)</f>
        <v>-11.849000000000002</v>
      </c>
      <c r="AO25" s="592">
        <f t="shared" si="18"/>
        <v>-11.585000000000003</v>
      </c>
      <c r="AP25" s="592">
        <f t="shared" si="18"/>
        <v>-12.652000000000003</v>
      </c>
      <c r="AQ25" s="584">
        <f t="shared" ref="AQ25" si="19">SUM(AM25:AP25)</f>
        <v>-48.374000000000002</v>
      </c>
      <c r="AR25" s="621"/>
      <c r="AS25" s="594">
        <f>-SUM(AS26:AS29)</f>
        <v>-10.925000000000001</v>
      </c>
      <c r="AT25" s="592">
        <f t="shared" ref="AT25:AV25" si="20">-SUM(AT26:AT29)</f>
        <v>-8.0280000000000022</v>
      </c>
      <c r="AU25" s="592">
        <f t="shared" si="20"/>
        <v>-9.7789999999999981</v>
      </c>
      <c r="AV25" s="592">
        <f t="shared" si="20"/>
        <v>10.77396000000001</v>
      </c>
      <c r="AW25" s="584">
        <f t="shared" ref="AW25" si="21">SUM(AS25:AV25)</f>
        <v>-17.95803999999999</v>
      </c>
      <c r="AX25" s="621"/>
      <c r="AY25" s="594">
        <f>-SUM(AY26:AY29)</f>
        <v>-8.7609999999999992</v>
      </c>
      <c r="AZ25" s="592">
        <f t="shared" ref="AZ25:BB25" si="22">-SUM(AZ26:AZ29)</f>
        <v>-10.243</v>
      </c>
      <c r="BA25" s="592">
        <f t="shared" si="22"/>
        <v>-12.292439999999983</v>
      </c>
      <c r="BB25" s="592">
        <f t="shared" si="22"/>
        <v>-8.726939999999928</v>
      </c>
      <c r="BC25" s="584">
        <f t="shared" ref="BC25" si="23">SUM(AY25:BB25)</f>
        <v>-40.023379999999911</v>
      </c>
      <c r="BD25" s="621"/>
      <c r="BE25" s="594">
        <f>-SUM(BE26:BE29)</f>
        <v>-9.5860000000000003</v>
      </c>
      <c r="BF25" s="592">
        <f t="shared" ref="BF25:BH25" si="24">-SUM(BF26:BF29)</f>
        <v>-3.9549999999999992</v>
      </c>
      <c r="BG25" s="592">
        <f t="shared" si="24"/>
        <v>-10.762999999999998</v>
      </c>
      <c r="BH25" s="592">
        <f t="shared" si="24"/>
        <v>-11.756</v>
      </c>
      <c r="BI25" s="584">
        <f t="shared" ref="BI25" si="25">SUM(BE25:BH25)</f>
        <v>-36.06</v>
      </c>
      <c r="BJ25" s="621"/>
      <c r="BK25" s="594">
        <f>-SUM(BK26:BK29)</f>
        <v>-11.596</v>
      </c>
      <c r="BL25" s="592">
        <f t="shared" ref="BL25:BN25" si="26">-SUM(BL26:BL29)</f>
        <v>-5.205000000000001</v>
      </c>
      <c r="BM25" s="592">
        <f t="shared" si="26"/>
        <v>-5.7131300000000778</v>
      </c>
      <c r="BN25" s="592">
        <f t="shared" si="26"/>
        <v>-16.603000000000002</v>
      </c>
      <c r="BO25" s="584">
        <f t="shared" ref="BO25" si="27">SUM(BK25:BN25)</f>
        <v>-39.117130000000081</v>
      </c>
      <c r="BP25" s="621"/>
      <c r="BQ25" s="594">
        <f>-SUM(BQ26:BQ29)</f>
        <v>-17.133908750000003</v>
      </c>
      <c r="BR25" s="592">
        <f t="shared" ref="BR25:BT25" si="28">-SUM(BR26:BR29)</f>
        <v>-15.528644446600136</v>
      </c>
      <c r="BS25" s="592">
        <f t="shared" si="28"/>
        <v>-14.589310997809687</v>
      </c>
      <c r="BT25" s="592">
        <f t="shared" si="28"/>
        <v>-13.540006729512905</v>
      </c>
      <c r="BU25" s="584">
        <f t="shared" ref="BU25" si="29">SUM(BQ25:BT25)</f>
        <v>-60.791870923922737</v>
      </c>
      <c r="BV25" s="621"/>
      <c r="BW25" s="594">
        <f>-SUM(BW26:BW29)</f>
        <v>-13.100694317374117</v>
      </c>
      <c r="BX25" s="592">
        <f t="shared" ref="BX25:BZ25" si="30">-SUM(BX26:BX29)</f>
        <v>-12.644070305015115</v>
      </c>
      <c r="BY25" s="592">
        <f t="shared" si="30"/>
        <v>-12.257670189666527</v>
      </c>
      <c r="BZ25" s="592">
        <f t="shared" si="30"/>
        <v>-12.222226006622869</v>
      </c>
      <c r="CA25" s="584">
        <f t="shared" ref="CA25" si="31">SUM(BW25:BZ25)</f>
        <v>-50.224660818678629</v>
      </c>
      <c r="CB25" s="621"/>
      <c r="CC25" s="594">
        <f>-SUM(CC26:CC29)</f>
        <v>-11.789312621127152</v>
      </c>
      <c r="CD25" s="592">
        <f t="shared" ref="CD25:CF25" si="32">-SUM(CD26:CD29)</f>
        <v>-0.42666225994664053</v>
      </c>
      <c r="CE25" s="592">
        <f t="shared" si="32"/>
        <v>1.3641984869141268</v>
      </c>
      <c r="CF25" s="592">
        <f t="shared" si="32"/>
        <v>5.0918905329209867</v>
      </c>
      <c r="CG25" s="584">
        <f t="shared" ref="CG25" si="33">SUM(CC25:CF25)</f>
        <v>-5.7598858612386792</v>
      </c>
      <c r="CH25" s="621"/>
      <c r="CI25" s="594">
        <f>-SUM(CI26:CI29)</f>
        <v>6.6110545194531714</v>
      </c>
      <c r="CJ25" s="592">
        <f t="shared" ref="CJ25:CL25" si="34">-SUM(CJ26:CJ29)</f>
        <v>-8.819917739160763</v>
      </c>
      <c r="CK25" s="592">
        <f t="shared" si="34"/>
        <v>-8.3281828164279865</v>
      </c>
      <c r="CL25" s="592">
        <f t="shared" si="34"/>
        <v>-7.2905278449074338</v>
      </c>
      <c r="CM25" s="584">
        <f t="shared" ref="CM25" si="35">SUM(CI25:CL25)</f>
        <v>-17.827573881043012</v>
      </c>
      <c r="CN25" s="36"/>
      <c r="CO25" s="36"/>
      <c r="CP25" s="36"/>
      <c r="CQ25" s="36"/>
      <c r="CR25" s="36"/>
      <c r="CY25" s="1821"/>
      <c r="CZ25" s="1825"/>
      <c r="DA25" s="108"/>
    </row>
    <row r="26" spans="1:105" ht="12.75" hidden="1" customHeight="1" outlineLevel="1">
      <c r="A26" s="1549" t="s">
        <v>131</v>
      </c>
      <c r="B26" s="134"/>
      <c r="C26" s="591">
        <v>-1.2110000000000001</v>
      </c>
      <c r="D26" s="583">
        <v>-1.093</v>
      </c>
      <c r="E26" s="583">
        <v>-1.077</v>
      </c>
      <c r="F26" s="583">
        <f>-1.307</f>
        <v>-1.3069999999999999</v>
      </c>
      <c r="G26" s="615">
        <f t="shared" si="7"/>
        <v>-4.6880000000000006</v>
      </c>
      <c r="H26" s="600"/>
      <c r="I26" s="591">
        <v>-1.3580000000000001</v>
      </c>
      <c r="J26" s="583">
        <v>-0.82699999999999996</v>
      </c>
      <c r="K26" s="583">
        <v>-1.0640000000000001</v>
      </c>
      <c r="L26" s="583">
        <v>-0.77400000000000002</v>
      </c>
      <c r="M26" s="615">
        <f>SUM(I26:L26)</f>
        <v>-4.0229999999999997</v>
      </c>
      <c r="N26" s="600"/>
      <c r="O26" s="591">
        <v>-0.47699999999999998</v>
      </c>
      <c r="P26" s="583">
        <v>-0.17599999999999999</v>
      </c>
      <c r="Q26" s="583">
        <v>-0.124</v>
      </c>
      <c r="R26" s="582">
        <f>-1.035-O26-P26-Q26</f>
        <v>-0.25799999999999995</v>
      </c>
      <c r="S26" s="615">
        <f>SUM(O26:R26)</f>
        <v>-1.0349999999999999</v>
      </c>
      <c r="T26" s="600"/>
      <c r="U26" s="583">
        <v>-0.18099999999999999</v>
      </c>
      <c r="V26" s="583">
        <v>-0.16900000000000001</v>
      </c>
      <c r="W26" s="583">
        <v>-0.192</v>
      </c>
      <c r="X26" s="622">
        <f>-0.832-U26-V26-W26</f>
        <v>-0.28999999999999998</v>
      </c>
      <c r="Y26" s="615">
        <f>SUM(U26:X26)</f>
        <v>-0.83200000000000007</v>
      </c>
      <c r="Z26" s="600"/>
      <c r="AA26" s="591">
        <v>-0.32200000000000001</v>
      </c>
      <c r="AB26" s="583">
        <v>-0.48299999999999998</v>
      </c>
      <c r="AC26" s="583">
        <v>-0.54900000000000004</v>
      </c>
      <c r="AD26" s="583">
        <f>-1.884-AA26-AB26-AC26</f>
        <v>-0.52999999999999969</v>
      </c>
      <c r="AE26" s="615">
        <f>SUM(AA26:AD26)</f>
        <v>-1.8839999999999999</v>
      </c>
      <c r="AF26" s="602"/>
      <c r="AG26" s="591">
        <v>-0.21</v>
      </c>
      <c r="AH26" s="583">
        <v>-0.15</v>
      </c>
      <c r="AI26" s="621">
        <v>-7.3999999999999996E-2</v>
      </c>
      <c r="AJ26" s="621">
        <v>-0.313</v>
      </c>
      <c r="AK26" s="615">
        <f>SUM(AG26:AJ26)</f>
        <v>-0.747</v>
      </c>
      <c r="AL26" s="600"/>
      <c r="AM26" s="621">
        <v>-0.105</v>
      </c>
      <c r="AN26" s="621">
        <v>-6.4000000000000001E-2</v>
      </c>
      <c r="AO26" s="621">
        <v>-0.11899999999999999</v>
      </c>
      <c r="AP26" s="621">
        <v>-0.36199999999999999</v>
      </c>
      <c r="AQ26" s="615">
        <f>SUM(AM26:AP26)</f>
        <v>-0.64999999999999991</v>
      </c>
      <c r="AR26" s="616"/>
      <c r="AS26" s="602">
        <v>-9.4E-2</v>
      </c>
      <c r="AT26" s="621">
        <v>-0.151</v>
      </c>
      <c r="AU26" s="621">
        <v>-0.13</v>
      </c>
      <c r="AV26" s="1553">
        <v>-0.29199999999999998</v>
      </c>
      <c r="AW26" s="615">
        <f>SUM(AS26:AV26)</f>
        <v>-0.66700000000000004</v>
      </c>
      <c r="AX26" s="616"/>
      <c r="AY26" s="602">
        <v>-0.20899999999999999</v>
      </c>
      <c r="AZ26" s="1367">
        <f>-0.132</f>
        <v>-0.13200000000000001</v>
      </c>
      <c r="BA26" s="1705">
        <v>-0.14699999999999999</v>
      </c>
      <c r="BB26" s="1553">
        <v>-0.185</v>
      </c>
      <c r="BC26" s="615">
        <f>SUM(AY26:BB26)</f>
        <v>-0.67300000000000004</v>
      </c>
      <c r="BD26" s="616"/>
      <c r="BE26" s="602">
        <v>-0.11</v>
      </c>
      <c r="BF26" s="1705">
        <v>-0.127</v>
      </c>
      <c r="BG26" s="1705">
        <v>-0.124</v>
      </c>
      <c r="BH26" s="1705">
        <v>-0.34100000000000003</v>
      </c>
      <c r="BI26" s="615">
        <f>SUM(BE26:BH26)</f>
        <v>-0.70199999999999996</v>
      </c>
      <c r="BJ26" s="616"/>
      <c r="BK26" s="602">
        <v>-0.22</v>
      </c>
      <c r="BL26" s="2205">
        <v>-0.49</v>
      </c>
      <c r="BM26" s="2205">
        <v>-0.80200000000000005</v>
      </c>
      <c r="BN26" s="1705">
        <v>-1.0589999999999999</v>
      </c>
      <c r="BO26" s="615">
        <f>SUM(BK26:BN26)</f>
        <v>-2.5709999999999997</v>
      </c>
      <c r="BP26" s="616"/>
      <c r="BQ26" s="698">
        <f>-Debt!BQ36</f>
        <v>-0.75800249999999991</v>
      </c>
      <c r="BR26" s="697">
        <f>-Debt!BR36</f>
        <v>-0.95701680339986461</v>
      </c>
      <c r="BS26" s="697">
        <f>-Debt!BS36</f>
        <v>-1.6151002521903151</v>
      </c>
      <c r="BT26" s="697">
        <f>-Debt!BT36</f>
        <v>-1.8206545204870959</v>
      </c>
      <c r="BU26" s="615">
        <f>SUM(BQ26:BT26)</f>
        <v>-5.1507740760772762</v>
      </c>
      <c r="BV26" s="616"/>
      <c r="BW26" s="698">
        <f>-Debt!BW36</f>
        <v>-1.6974669326258844</v>
      </c>
      <c r="BX26" s="697">
        <f>-Debt!BX36</f>
        <v>-1.5915909449848873</v>
      </c>
      <c r="BY26" s="697">
        <f>-Debt!BY36</f>
        <v>-1.4154910603334736</v>
      </c>
      <c r="BZ26" s="697">
        <f>-Debt!BZ36</f>
        <v>-1.450935243377133</v>
      </c>
      <c r="CA26" s="615">
        <f>SUM(BW26:BZ26)</f>
        <v>-6.1554841813213788</v>
      </c>
      <c r="CB26" s="616"/>
      <c r="CC26" s="698">
        <f>-Debt!CC36</f>
        <v>-1.8838486288728491</v>
      </c>
      <c r="CD26" s="697">
        <f>-Debt!CD36</f>
        <v>-13.246498990053361</v>
      </c>
      <c r="CE26" s="697">
        <f>-Debt!CE36</f>
        <v>-15.037359736914128</v>
      </c>
      <c r="CF26" s="697">
        <f>-Debt!CF36</f>
        <v>-18.296301782920988</v>
      </c>
      <c r="CG26" s="615">
        <f>SUM(CC26:CF26)</f>
        <v>-48.464009138761327</v>
      </c>
      <c r="CH26" s="616"/>
      <c r="CI26" s="698">
        <f>-Debt!CI36</f>
        <v>-19.346715769453173</v>
      </c>
      <c r="CJ26" s="697">
        <f>-Debt!CJ36</f>
        <v>-3.4469935108392367</v>
      </c>
      <c r="CK26" s="697">
        <f>-Debt!CK36</f>
        <v>-3.4699784335720127</v>
      </c>
      <c r="CL26" s="697">
        <f>-Debt!CL36</f>
        <v>-3.7491959050925665</v>
      </c>
      <c r="CM26" s="615">
        <f>SUM(CI26:CL26)</f>
        <v>-30.012883618956991</v>
      </c>
      <c r="CN26" s="36"/>
      <c r="CO26" s="36"/>
      <c r="CP26" s="36"/>
      <c r="CQ26" s="36"/>
      <c r="CR26" s="36"/>
      <c r="CY26" s="108"/>
      <c r="CZ26" s="108"/>
      <c r="DA26" s="108"/>
    </row>
    <row r="27" spans="1:105" ht="12.75" hidden="1" customHeight="1" outlineLevel="1">
      <c r="A27" s="1549" t="s">
        <v>132</v>
      </c>
      <c r="B27" s="134"/>
      <c r="C27" s="591">
        <v>2.2549999999999999</v>
      </c>
      <c r="D27" s="583">
        <v>3.5089999999999999</v>
      </c>
      <c r="E27" s="583">
        <v>4.1219999999999999</v>
      </c>
      <c r="F27" s="583">
        <v>5.4390000000000001</v>
      </c>
      <c r="G27" s="615">
        <f t="shared" si="7"/>
        <v>15.324999999999999</v>
      </c>
      <c r="H27" s="600"/>
      <c r="I27" s="591">
        <v>6.3179999999999996</v>
      </c>
      <c r="J27" s="583">
        <v>5.7460000000000004</v>
      </c>
      <c r="K27" s="583">
        <v>6.3710000000000004</v>
      </c>
      <c r="L27" s="583">
        <v>24.265000000000001</v>
      </c>
      <c r="M27" s="615">
        <f>SUM(I27:L27)</f>
        <v>42.7</v>
      </c>
      <c r="N27" s="600"/>
      <c r="O27" s="591">
        <v>4.5880000000000001</v>
      </c>
      <c r="P27" s="583">
        <v>4.2290000000000001</v>
      </c>
      <c r="Q27" s="583">
        <v>3.8759999999999999</v>
      </c>
      <c r="R27" s="582">
        <f>16.008-O27-P27-Q27</f>
        <v>3.3149999999999982</v>
      </c>
      <c r="S27" s="615">
        <f>SUM(O27:R27)</f>
        <v>16.007999999999999</v>
      </c>
      <c r="T27" s="600"/>
      <c r="U27" s="583">
        <v>3.8029999999999999</v>
      </c>
      <c r="V27" s="583">
        <v>3.9489999999999998</v>
      </c>
      <c r="W27" s="583">
        <v>4.1849999999999996</v>
      </c>
      <c r="X27" s="582">
        <f>15.891-U27-V27-W27</f>
        <v>3.9540000000000015</v>
      </c>
      <c r="Y27" s="615">
        <f>SUM(U27:X27)</f>
        <v>15.891000000000002</v>
      </c>
      <c r="Z27" s="600"/>
      <c r="AA27" s="591">
        <v>3.9159999999999999</v>
      </c>
      <c r="AB27" s="583">
        <v>4.2130000000000001</v>
      </c>
      <c r="AC27" s="583">
        <v>4.4489999999999998</v>
      </c>
      <c r="AD27" s="583">
        <f>24.783-AA27-AB27-AC27</f>
        <v>12.205</v>
      </c>
      <c r="AE27" s="615">
        <f>SUM(AA27:AD27)</f>
        <v>24.783000000000001</v>
      </c>
      <c r="AF27" s="600"/>
      <c r="AG27" s="591">
        <v>11.436999999999999</v>
      </c>
      <c r="AH27" s="583">
        <v>11.339</v>
      </c>
      <c r="AI27" s="583">
        <v>11.36</v>
      </c>
      <c r="AJ27" s="583">
        <v>11.651</v>
      </c>
      <c r="AK27" s="615">
        <f>SUM(AG27:AJ27)</f>
        <v>45.786999999999992</v>
      </c>
      <c r="AL27" s="600"/>
      <c r="AM27" s="583">
        <v>11.693</v>
      </c>
      <c r="AN27" s="583">
        <v>11.913</v>
      </c>
      <c r="AO27" s="583">
        <v>11.704000000000001</v>
      </c>
      <c r="AP27" s="583">
        <v>14.614000000000001</v>
      </c>
      <c r="AQ27" s="615">
        <f>SUM(AM27:AP27)</f>
        <v>49.924000000000007</v>
      </c>
      <c r="AR27" s="601"/>
      <c r="AS27" s="591">
        <v>9.2189999999999994</v>
      </c>
      <c r="AT27" s="583">
        <v>9.0790000000000006</v>
      </c>
      <c r="AU27" s="583">
        <v>8.9090000000000007</v>
      </c>
      <c r="AV27" s="583">
        <v>9.0630000000000006</v>
      </c>
      <c r="AW27" s="615">
        <f>SUM(AS27:AV27)</f>
        <v>36.270000000000003</v>
      </c>
      <c r="AX27" s="618"/>
      <c r="AY27" s="591">
        <v>9.3879999999999999</v>
      </c>
      <c r="AZ27" s="1367">
        <v>9.3019999999999996</v>
      </c>
      <c r="BA27" s="1367">
        <v>9.8740000000000006</v>
      </c>
      <c r="BB27" s="583">
        <v>9.4329999999999998</v>
      </c>
      <c r="BC27" s="615">
        <f>SUM(AY27:BB27)</f>
        <v>37.997</v>
      </c>
      <c r="BD27" s="618"/>
      <c r="BE27" s="591">
        <v>9.8409999999999993</v>
      </c>
      <c r="BF27" s="583">
        <v>9.9390000000000001</v>
      </c>
      <c r="BG27" s="583">
        <v>10.997999999999999</v>
      </c>
      <c r="BH27" s="1705">
        <v>10.75</v>
      </c>
      <c r="BI27" s="615">
        <f>SUM(BE27:BH27)</f>
        <v>41.527999999999999</v>
      </c>
      <c r="BJ27" s="618"/>
      <c r="BK27" s="591">
        <v>10.864000000000001</v>
      </c>
      <c r="BL27" s="2205">
        <v>10.672000000000001</v>
      </c>
      <c r="BM27" s="2205">
        <v>10.974</v>
      </c>
      <c r="BN27" s="1705">
        <v>11.43</v>
      </c>
      <c r="BO27" s="615">
        <f>SUM(BK27:BN27)</f>
        <v>43.940000000000005</v>
      </c>
      <c r="BP27" s="618"/>
      <c r="BQ27" s="698">
        <f>-Debt!BQ32</f>
        <v>15.391911250000001</v>
      </c>
      <c r="BR27" s="697">
        <f>-Debt!BR32</f>
        <v>13.985661250000001</v>
      </c>
      <c r="BS27" s="697">
        <f>-Debt!BS32</f>
        <v>13.704411250000001</v>
      </c>
      <c r="BT27" s="697">
        <f>-Debt!BT32</f>
        <v>12.860661250000001</v>
      </c>
      <c r="BU27" s="615">
        <f>SUM(BQ27:BT27)</f>
        <v>55.942645000000006</v>
      </c>
      <c r="BV27" s="618"/>
      <c r="BW27" s="698">
        <f>-Debt!BW32</f>
        <v>12.298161250000001</v>
      </c>
      <c r="BX27" s="697">
        <f>-Debt!BX32</f>
        <v>11.735661250000001</v>
      </c>
      <c r="BY27" s="697">
        <f>-Debt!BY32</f>
        <v>11.173161250000001</v>
      </c>
      <c r="BZ27" s="697">
        <f>-Debt!BZ32</f>
        <v>11.173161250000001</v>
      </c>
      <c r="CA27" s="615">
        <f>SUM(BW27:BZ27)</f>
        <v>46.380145000000006</v>
      </c>
      <c r="CB27" s="618"/>
      <c r="CC27" s="698">
        <f>-Debt!CC32</f>
        <v>11.173161250000001</v>
      </c>
      <c r="CD27" s="697">
        <f>-Debt!CD32</f>
        <v>11.173161250000001</v>
      </c>
      <c r="CE27" s="697">
        <f>-Debt!CE32</f>
        <v>11.173161250000001</v>
      </c>
      <c r="CF27" s="697">
        <f>-Debt!CF32</f>
        <v>10.704411250000001</v>
      </c>
      <c r="CG27" s="615">
        <f>SUM(CC27:CF27)</f>
        <v>44.223895000000006</v>
      </c>
      <c r="CH27" s="618"/>
      <c r="CI27" s="698">
        <f>-Debt!CI32</f>
        <v>10.235661250000001</v>
      </c>
      <c r="CJ27" s="697">
        <f>-Debt!CJ32</f>
        <v>9.7669112499999997</v>
      </c>
      <c r="CK27" s="697">
        <f>-Debt!CK32</f>
        <v>9.2981612499999997</v>
      </c>
      <c r="CL27" s="697">
        <f>-Debt!CL32</f>
        <v>8.5397237500000003</v>
      </c>
      <c r="CM27" s="615">
        <f>SUM(CI27:CL27)</f>
        <v>37.840457499999999</v>
      </c>
      <c r="CN27" s="36"/>
      <c r="CO27" s="36"/>
      <c r="CP27" s="36"/>
      <c r="CQ27" s="36"/>
      <c r="CR27" s="36"/>
      <c r="CY27" s="228"/>
      <c r="CZ27" s="1826"/>
      <c r="DA27" s="108"/>
    </row>
    <row r="28" spans="1:105" hidden="1" outlineLevel="1">
      <c r="A28" s="1549" t="s">
        <v>66</v>
      </c>
      <c r="B28" s="136"/>
      <c r="C28" s="591">
        <v>-1.7220000000000002</v>
      </c>
      <c r="D28" s="583">
        <v>-1.0139999999999996</v>
      </c>
      <c r="E28" s="583">
        <v>-2.234999999999999</v>
      </c>
      <c r="F28" s="583">
        <v>-1.2690000000000008</v>
      </c>
      <c r="G28" s="615">
        <f t="shared" si="7"/>
        <v>-6.2399999999999993</v>
      </c>
      <c r="H28" s="600"/>
      <c r="I28" s="591">
        <v>-0.35000000000000109</v>
      </c>
      <c r="J28" s="583">
        <v>-2.9999999999999971E-2</v>
      </c>
      <c r="K28" s="583">
        <v>-0.74199999999999999</v>
      </c>
      <c r="L28" s="583">
        <v>-5.81</v>
      </c>
      <c r="M28" s="615">
        <f>SUM(I28:L28)</f>
        <v>-6.9320000000000004</v>
      </c>
      <c r="N28" s="600"/>
      <c r="O28" s="591">
        <v>-0.72599999999999998</v>
      </c>
      <c r="P28" s="583">
        <v>-0.128</v>
      </c>
      <c r="Q28" s="583">
        <v>-0.79800000000000004</v>
      </c>
      <c r="R28" s="583">
        <v>0.83800000000000008</v>
      </c>
      <c r="S28" s="615">
        <f>SUM(O28:R28)</f>
        <v>-0.81400000000000006</v>
      </c>
      <c r="T28" s="600"/>
      <c r="U28" s="591">
        <v>0.5</v>
      </c>
      <c r="V28" s="583">
        <v>25.433</v>
      </c>
      <c r="W28" s="583">
        <v>-2.6869999999999998</v>
      </c>
      <c r="X28" s="583">
        <v>0.19600000000000017</v>
      </c>
      <c r="Y28" s="615">
        <f>SUM(U28:X28)</f>
        <v>23.442</v>
      </c>
      <c r="Z28" s="600"/>
      <c r="AA28" s="591">
        <v>-2.1619999999999999</v>
      </c>
      <c r="AB28" s="583">
        <v>-0.54100000000000004</v>
      </c>
      <c r="AC28" s="583">
        <v>-1.6E-2</v>
      </c>
      <c r="AD28" s="583">
        <v>-1.1560000000000001</v>
      </c>
      <c r="AE28" s="615">
        <f>SUM(AA28:AD28)</f>
        <v>-3.875</v>
      </c>
      <c r="AF28" s="600"/>
      <c r="AG28" s="591">
        <v>-0.10300000000000042</v>
      </c>
      <c r="AH28" s="583">
        <v>0.53099999999999992</v>
      </c>
      <c r="AI28" s="583">
        <v>-8.5999999999998744E-2</v>
      </c>
      <c r="AJ28" s="583">
        <v>-0.25799999999999851</v>
      </c>
      <c r="AK28" s="615">
        <f>SUM(AG28:AJ28)</f>
        <v>8.400000000000224E-2</v>
      </c>
      <c r="AL28" s="600"/>
      <c r="AM28" s="583">
        <v>0.24799999999999672</v>
      </c>
      <c r="AN28" s="583">
        <v>-1.0159999999999989</v>
      </c>
      <c r="AO28" s="583">
        <v>-0.75499999999999989</v>
      </c>
      <c r="AP28" s="583">
        <v>-14.212999999999997</v>
      </c>
      <c r="AQ28" s="615">
        <f>SUM(AM28:AP28)</f>
        <v>-15.735999999999999</v>
      </c>
      <c r="AR28" s="601"/>
      <c r="AS28" s="591">
        <v>-0.36399999999999844</v>
      </c>
      <c r="AT28" s="583">
        <v>-0.93599999999999828</v>
      </c>
      <c r="AU28" s="583">
        <v>-1.1870000000000007</v>
      </c>
      <c r="AV28" s="583">
        <v>-20.693960000000011</v>
      </c>
      <c r="AW28" s="615">
        <f>SUM(AS28:AV28)</f>
        <v>-23.18096000000001</v>
      </c>
      <c r="AX28" s="618"/>
      <c r="AY28" s="591">
        <v>-0.66</v>
      </c>
      <c r="AZ28" s="1367">
        <v>-0.6</v>
      </c>
      <c r="BA28" s="1367">
        <v>0.34843999999998182</v>
      </c>
      <c r="BB28" s="583">
        <v>-1.1840600000000725</v>
      </c>
      <c r="BC28" s="615">
        <f>SUM(AY28:BB28)</f>
        <v>-2.0956200000000909</v>
      </c>
      <c r="BD28" s="618"/>
      <c r="BE28" s="591">
        <v>-1.5</v>
      </c>
      <c r="BF28" s="583">
        <v>-7</v>
      </c>
      <c r="BG28" s="583">
        <v>-0.5</v>
      </c>
      <c r="BH28" s="583">
        <v>0.5</v>
      </c>
      <c r="BI28" s="615">
        <f>SUM(BE28:BH28)</f>
        <v>-8.5</v>
      </c>
      <c r="BJ28" s="618"/>
      <c r="BK28" s="583">
        <v>0</v>
      </c>
      <c r="BL28" s="583">
        <v>0.30099999999999999</v>
      </c>
      <c r="BM28" s="583">
        <v>30.960130000000071</v>
      </c>
      <c r="BN28" s="1367">
        <v>0.08</v>
      </c>
      <c r="BO28" s="615">
        <f>SUM(BK28:BN28)</f>
        <v>31.341130000000067</v>
      </c>
      <c r="BP28" s="618"/>
      <c r="BQ28" s="583">
        <v>0.5</v>
      </c>
      <c r="BR28" s="583">
        <v>0.5</v>
      </c>
      <c r="BS28" s="583">
        <v>0.5</v>
      </c>
      <c r="BT28" s="583">
        <v>0.5</v>
      </c>
      <c r="BU28" s="615">
        <f>SUM(BQ28:BT28)</f>
        <v>2</v>
      </c>
      <c r="BV28" s="618"/>
      <c r="BW28" s="583">
        <v>0.5</v>
      </c>
      <c r="BX28" s="583">
        <v>0.5</v>
      </c>
      <c r="BY28" s="583">
        <v>0.5</v>
      </c>
      <c r="BZ28" s="583">
        <v>0.5</v>
      </c>
      <c r="CA28" s="615">
        <f>SUM(BW28:BZ28)</f>
        <v>2</v>
      </c>
      <c r="CB28" s="618"/>
      <c r="CC28" s="583">
        <v>0.5</v>
      </c>
      <c r="CD28" s="583">
        <v>0.5</v>
      </c>
      <c r="CE28" s="583">
        <v>0.5</v>
      </c>
      <c r="CF28" s="583">
        <v>0.5</v>
      </c>
      <c r="CG28" s="615">
        <f>SUM(CC28:CF28)</f>
        <v>2</v>
      </c>
      <c r="CH28" s="618"/>
      <c r="CI28" s="583">
        <v>0.5</v>
      </c>
      <c r="CJ28" s="583">
        <v>0.5</v>
      </c>
      <c r="CK28" s="583">
        <v>0.5</v>
      </c>
      <c r="CL28" s="583">
        <v>0.5</v>
      </c>
      <c r="CM28" s="615">
        <f>SUM(CI28:CL28)</f>
        <v>2</v>
      </c>
      <c r="CY28" s="228"/>
      <c r="CZ28" s="108"/>
      <c r="DA28" s="108"/>
    </row>
    <row r="29" spans="1:105" ht="12.75" hidden="1" customHeight="1" outlineLevel="1">
      <c r="A29" s="1549" t="s">
        <v>133</v>
      </c>
      <c r="B29" s="134"/>
      <c r="C29" s="591">
        <f>-0.401+2.123</f>
        <v>1.7220000000000002</v>
      </c>
      <c r="D29" s="583">
        <f>-0.135+1.149</f>
        <v>1.014</v>
      </c>
      <c r="E29" s="583">
        <f>-0.161+2.396</f>
        <v>2.2349999999999999</v>
      </c>
      <c r="F29" s="583">
        <v>1.2689999999999999</v>
      </c>
      <c r="G29" s="584">
        <f>SUM(C29:F29)</f>
        <v>6.24</v>
      </c>
      <c r="H29" s="600"/>
      <c r="I29" s="591">
        <f>-0.889+1.239</f>
        <v>0.35000000000000009</v>
      </c>
      <c r="J29" s="583">
        <f>-0.269+0.299</f>
        <v>2.9999999999999971E-2</v>
      </c>
      <c r="K29" s="583">
        <v>0.74199999999999999</v>
      </c>
      <c r="L29" s="583">
        <f>5.81</f>
        <v>5.81</v>
      </c>
      <c r="M29" s="584">
        <f>SUM(I29:L29)</f>
        <v>6.9319999999999995</v>
      </c>
      <c r="N29" s="600"/>
      <c r="O29" s="591">
        <v>0.72599999999999998</v>
      </c>
      <c r="P29" s="583">
        <v>0.128</v>
      </c>
      <c r="Q29" s="583">
        <v>0.79800000000000004</v>
      </c>
      <c r="R29" s="582">
        <f>0.814-O29-P29-Q29</f>
        <v>-0.83800000000000008</v>
      </c>
      <c r="S29" s="584">
        <f>SUM(O29:R29)</f>
        <v>0.81400000000000006</v>
      </c>
      <c r="T29" s="600"/>
      <c r="U29" s="583">
        <v>-0.5</v>
      </c>
      <c r="V29" s="583">
        <f>-25.586+0.153</f>
        <v>-25.433</v>
      </c>
      <c r="W29" s="583">
        <v>2.6869999999999998</v>
      </c>
      <c r="X29" s="622">
        <f>-25.586+2.144-U29-V29-W29</f>
        <v>-0.19600000000000017</v>
      </c>
      <c r="Y29" s="584">
        <f>SUM(U29:X29)</f>
        <v>-23.442</v>
      </c>
      <c r="Z29" s="600"/>
      <c r="AA29" s="591">
        <v>2.1619999999999999</v>
      </c>
      <c r="AB29" s="583">
        <v>0.54100000000000004</v>
      </c>
      <c r="AC29" s="583">
        <v>1.6E-2</v>
      </c>
      <c r="AD29" s="583">
        <f>3.875-AA29-AB29-AC29</f>
        <v>1.1560000000000001</v>
      </c>
      <c r="AE29" s="584">
        <f>SUM(AA29:AD29)</f>
        <v>3.875</v>
      </c>
      <c r="AF29" s="602"/>
      <c r="AG29" s="591">
        <v>1.603</v>
      </c>
      <c r="AH29" s="583">
        <v>0.16900000000000001</v>
      </c>
      <c r="AI29" s="621">
        <v>0.58599999999999997</v>
      </c>
      <c r="AJ29" s="622">
        <v>0.55800000000000005</v>
      </c>
      <c r="AK29" s="584">
        <f>SUM(AG29:AJ29)</f>
        <v>2.9160000000000004</v>
      </c>
      <c r="AL29" s="600"/>
      <c r="AM29" s="602">
        <v>0.45200000000000001</v>
      </c>
      <c r="AN29" s="621">
        <v>1.016</v>
      </c>
      <c r="AO29" s="621">
        <v>0.755</v>
      </c>
      <c r="AP29" s="622">
        <v>12.613</v>
      </c>
      <c r="AQ29" s="584">
        <f>SUM(AM29:AP29)</f>
        <v>14.835999999999999</v>
      </c>
      <c r="AR29" s="616"/>
      <c r="AS29" s="602">
        <v>2.1640000000000001</v>
      </c>
      <c r="AT29" s="621">
        <v>3.5999999999999997E-2</v>
      </c>
      <c r="AU29" s="621">
        <v>2.1869999999999998</v>
      </c>
      <c r="AV29" s="583">
        <v>1.149</v>
      </c>
      <c r="AW29" s="584">
        <f>SUM(AS29:AV29)</f>
        <v>5.5360000000000005</v>
      </c>
      <c r="AX29" s="616"/>
      <c r="AY29" s="602">
        <v>0.24199999999999999</v>
      </c>
      <c r="AZ29" s="1367">
        <v>1.673</v>
      </c>
      <c r="BA29" s="1367">
        <v>2.2170000000000001</v>
      </c>
      <c r="BB29" s="583">
        <v>0.66300000000000003</v>
      </c>
      <c r="BC29" s="584">
        <f>SUM(AY29:BB29)</f>
        <v>4.7949999999999999</v>
      </c>
      <c r="BD29" s="616"/>
      <c r="BE29" s="602">
        <v>1.355</v>
      </c>
      <c r="BF29" s="583">
        <v>1.143</v>
      </c>
      <c r="BG29" s="583">
        <v>0.38900000000000001</v>
      </c>
      <c r="BH29" s="583">
        <v>0.84699999999999998</v>
      </c>
      <c r="BI29" s="584">
        <f>SUM(BE29:BH29)</f>
        <v>3.7340000000000004</v>
      </c>
      <c r="BJ29" s="616"/>
      <c r="BK29" s="591">
        <v>0.95199999999999996</v>
      </c>
      <c r="BL29" s="583">
        <v>-5.2779999999999996</v>
      </c>
      <c r="BM29" s="583">
        <v>-35.418999999999997</v>
      </c>
      <c r="BN29" s="583">
        <v>6.1520000000000001</v>
      </c>
      <c r="BO29" s="584">
        <f>SUM(BK29:BN29)</f>
        <v>-33.592999999999996</v>
      </c>
      <c r="BP29" s="616"/>
      <c r="BQ29" s="591">
        <v>2</v>
      </c>
      <c r="BR29" s="583">
        <v>2</v>
      </c>
      <c r="BS29" s="583">
        <v>2</v>
      </c>
      <c r="BT29" s="583">
        <v>2</v>
      </c>
      <c r="BU29" s="584">
        <f>SUM(BQ29:BT29)</f>
        <v>8</v>
      </c>
      <c r="BV29" s="616"/>
      <c r="BW29" s="591">
        <v>2</v>
      </c>
      <c r="BX29" s="583">
        <v>2</v>
      </c>
      <c r="BY29" s="583">
        <v>2</v>
      </c>
      <c r="BZ29" s="583">
        <v>2</v>
      </c>
      <c r="CA29" s="584">
        <f t="shared" ref="CA29" si="36">SUM(BW29:BZ29)</f>
        <v>8</v>
      </c>
      <c r="CB29" s="616"/>
      <c r="CC29" s="591">
        <v>2</v>
      </c>
      <c r="CD29" s="583">
        <v>2</v>
      </c>
      <c r="CE29" s="583">
        <v>2</v>
      </c>
      <c r="CF29" s="583">
        <v>2</v>
      </c>
      <c r="CG29" s="584">
        <f t="shared" ref="CG29" si="37">SUM(CC29:CF29)</f>
        <v>8</v>
      </c>
      <c r="CH29" s="616"/>
      <c r="CI29" s="591">
        <v>2</v>
      </c>
      <c r="CJ29" s="583">
        <v>2</v>
      </c>
      <c r="CK29" s="583">
        <v>2</v>
      </c>
      <c r="CL29" s="583">
        <v>2</v>
      </c>
      <c r="CM29" s="584">
        <f t="shared" ref="CM29" si="38">SUM(CI29:CL29)</f>
        <v>8</v>
      </c>
      <c r="CN29" s="36"/>
      <c r="CO29" s="36"/>
      <c r="CP29" s="36"/>
      <c r="CQ29" s="36"/>
      <c r="CR29" s="36"/>
      <c r="CY29" s="228"/>
      <c r="CZ29" s="1827"/>
      <c r="DA29" s="108"/>
    </row>
    <row r="30" spans="1:105" collapsed="1">
      <c r="A30" s="1613" t="s">
        <v>134</v>
      </c>
      <c r="B30" s="219"/>
      <c r="C30" s="629">
        <f>C18+C25</f>
        <v>42.042999999999978</v>
      </c>
      <c r="D30" s="627">
        <f>D18+D25</f>
        <v>48.35899999999998</v>
      </c>
      <c r="E30" s="627">
        <f>E18+E25</f>
        <v>54.961000000000027</v>
      </c>
      <c r="F30" s="627">
        <f>F18+F25</f>
        <v>67.532000000000039</v>
      </c>
      <c r="G30" s="625">
        <f>G18+G25</f>
        <v>212.89499999999992</v>
      </c>
      <c r="H30" s="626"/>
      <c r="I30" s="629">
        <f>I18+I25</f>
        <v>43.410999999999987</v>
      </c>
      <c r="J30" s="627">
        <f>J18+J25</f>
        <v>54.730000000000061</v>
      </c>
      <c r="K30" s="627">
        <f>K18+K25</f>
        <v>58.876999999999995</v>
      </c>
      <c r="L30" s="627">
        <f>L18+L25</f>
        <v>62.346000000000018</v>
      </c>
      <c r="M30" s="625">
        <f>M18+M25</f>
        <v>219.36400000000006</v>
      </c>
      <c r="N30" s="626"/>
      <c r="O30" s="629">
        <f>O18+O25</f>
        <v>43.880000000000017</v>
      </c>
      <c r="P30" s="627">
        <f>P18+P25</f>
        <v>48.447999999999951</v>
      </c>
      <c r="Q30" s="627">
        <f>Q18+Q25</f>
        <v>43.794999999999995</v>
      </c>
      <c r="R30" s="628">
        <f>R18+R25</f>
        <v>46.428999999999881</v>
      </c>
      <c r="S30" s="625">
        <f>S18+S25</f>
        <v>182.55199999999985</v>
      </c>
      <c r="T30" s="626"/>
      <c r="U30" s="627">
        <f>U18+U25</f>
        <v>42.198999999999998</v>
      </c>
      <c r="V30" s="627">
        <f>V18+V25</f>
        <v>52.146999999999991</v>
      </c>
      <c r="W30" s="627">
        <f>W18+W25</f>
        <v>53.515000000000008</v>
      </c>
      <c r="X30" s="628">
        <f>X18+X25</f>
        <v>74.730000000000061</v>
      </c>
      <c r="Y30" s="625">
        <f>Y18+Y25</f>
        <v>222.59100000000009</v>
      </c>
      <c r="Z30" s="626"/>
      <c r="AA30" s="629">
        <f>AA18+AA25</f>
        <v>93.341000000000065</v>
      </c>
      <c r="AB30" s="627">
        <f>AB18+AB25</f>
        <v>104.91400000000009</v>
      </c>
      <c r="AC30" s="627">
        <f>AC18+AC25</f>
        <v>100.62699999999998</v>
      </c>
      <c r="AD30" s="627">
        <f>AD18+AD25</f>
        <v>89.516999999999754</v>
      </c>
      <c r="AE30" s="625">
        <f>AE18+AE25</f>
        <v>388.39899999999966</v>
      </c>
      <c r="AF30" s="630"/>
      <c r="AG30" s="629">
        <f>AG18+AG25</f>
        <v>66.230000000000075</v>
      </c>
      <c r="AH30" s="627">
        <f>AH18+AH25</f>
        <v>77.844000000000037</v>
      </c>
      <c r="AI30" s="627">
        <f>AI18+AI25</f>
        <v>66.487000000000023</v>
      </c>
      <c r="AJ30" s="628">
        <f>AJ18+AJ25</f>
        <v>93.950000000000102</v>
      </c>
      <c r="AK30" s="625">
        <f>AK18+AK25</f>
        <v>304.51099999999968</v>
      </c>
      <c r="AL30" s="626"/>
      <c r="AM30" s="629">
        <f>AM18+AM25</f>
        <v>51.605000000000004</v>
      </c>
      <c r="AN30" s="627">
        <f>AN18+AN25</f>
        <v>73.583000000000069</v>
      </c>
      <c r="AO30" s="627">
        <f>AO18+AO25</f>
        <v>70.477870660000065</v>
      </c>
      <c r="AP30" s="628">
        <f>AP18+AP25</f>
        <v>101.41400000000009</v>
      </c>
      <c r="AQ30" s="625">
        <f>AQ18+AQ25</f>
        <v>297.07987065999987</v>
      </c>
      <c r="AR30" s="631"/>
      <c r="AS30" s="629">
        <f>AS18+AS25</f>
        <v>68.539048000000307</v>
      </c>
      <c r="AT30" s="627">
        <f>AT18+AT25</f>
        <v>85.21360700000001</v>
      </c>
      <c r="AU30" s="627">
        <f>AU18+AU25</f>
        <v>81.578346200000084</v>
      </c>
      <c r="AV30" s="627">
        <f>AV18+AV25</f>
        <v>141.36824611680021</v>
      </c>
      <c r="AW30" s="625">
        <f>AW18+AW25</f>
        <v>376.69924731680078</v>
      </c>
      <c r="AX30" s="631"/>
      <c r="AY30" s="629">
        <f>AY18+AY25</f>
        <v>63.139000000000038</v>
      </c>
      <c r="AZ30" s="627">
        <f>AZ18+AZ25</f>
        <v>76.257000000000005</v>
      </c>
      <c r="BA30" s="627">
        <f>BA18+BA25</f>
        <v>74.407560000000032</v>
      </c>
      <c r="BB30" s="627">
        <f>BB18+BB25</f>
        <v>109.37306000000007</v>
      </c>
      <c r="BC30" s="625">
        <f>BC18+BC25</f>
        <v>323.1766199999999</v>
      </c>
      <c r="BD30" s="631"/>
      <c r="BE30" s="629">
        <f>BE18+BE25</f>
        <v>71.61399999999999</v>
      </c>
      <c r="BF30" s="627">
        <f>BF18+BF25</f>
        <v>90.04500000000003</v>
      </c>
      <c r="BG30" s="627">
        <f>BG18+BG25</f>
        <v>86.936999999999983</v>
      </c>
      <c r="BH30" s="627">
        <f>BH18+BH25</f>
        <v>108.94399999999999</v>
      </c>
      <c r="BI30" s="625">
        <f>BI18+BI25</f>
        <v>357.53999999999991</v>
      </c>
      <c r="BJ30" s="631"/>
      <c r="BK30" s="629">
        <f>BK18+BK25</f>
        <v>72.468999999999937</v>
      </c>
      <c r="BL30" s="627">
        <f>BL18+BL25</f>
        <v>94.364000000000047</v>
      </c>
      <c r="BM30" s="627">
        <f>BM18+BM25</f>
        <v>101.29386999999998</v>
      </c>
      <c r="BN30" s="627">
        <f>BN18+BN25</f>
        <v>120.39699999999999</v>
      </c>
      <c r="BO30" s="625">
        <f>BO18+BO25</f>
        <v>388.52386999999976</v>
      </c>
      <c r="BP30" s="631"/>
      <c r="BQ30" s="629">
        <f>BQ18+BQ25</f>
        <v>84.182838822028131</v>
      </c>
      <c r="BR30" s="627">
        <f>BR18+BR25</f>
        <v>119.57330539198603</v>
      </c>
      <c r="BS30" s="627">
        <f>BS18+BS25</f>
        <v>127.44250727108877</v>
      </c>
      <c r="BT30" s="627">
        <f>BT18+BT25</f>
        <v>161.45777370606859</v>
      </c>
      <c r="BU30" s="625">
        <f>BU18+BU25</f>
        <v>492.65642519117148</v>
      </c>
      <c r="BV30" s="631"/>
      <c r="BW30" s="629">
        <f>BW18+BW25</f>
        <v>101.63730707300761</v>
      </c>
      <c r="BX30" s="627">
        <f>BX18+BX25</f>
        <v>139.65253032593932</v>
      </c>
      <c r="BY30" s="627">
        <f>BY18+BY25</f>
        <v>148.23980910411822</v>
      </c>
      <c r="BZ30" s="627">
        <f>BZ18+BZ25</f>
        <v>184.86232062691724</v>
      </c>
      <c r="CA30" s="625">
        <f>CA18+CA25</f>
        <v>574.39196712998228</v>
      </c>
      <c r="CB30" s="631"/>
      <c r="CC30" s="629">
        <f>CC18+CC25</f>
        <v>117.97773993904909</v>
      </c>
      <c r="CD30" s="627">
        <f>CD18+CD25</f>
        <v>170.65244003929089</v>
      </c>
      <c r="CE30" s="627">
        <f>CE18+CE25</f>
        <v>180.85467909584418</v>
      </c>
      <c r="CF30" s="627">
        <f>CF18+CF25</f>
        <v>223.67145750020083</v>
      </c>
      <c r="CG30" s="625">
        <f>CG18+CG25</f>
        <v>693.15631657438485</v>
      </c>
      <c r="CH30" s="631"/>
      <c r="CI30" s="629">
        <f>CI18+CI25</f>
        <v>150.46271151653292</v>
      </c>
      <c r="CJ30" s="627">
        <f>CJ18+CJ25</f>
        <v>179.35274072083007</v>
      </c>
      <c r="CK30" s="627">
        <f>CK18+CK25</f>
        <v>189.41527153519351</v>
      </c>
      <c r="CL30" s="627">
        <f>CL18+CL25</f>
        <v>232.53858141315541</v>
      </c>
      <c r="CM30" s="625">
        <f>CM18+CM25</f>
        <v>751.76930518571157</v>
      </c>
      <c r="CN30" s="36"/>
      <c r="CO30" s="36"/>
      <c r="CP30" s="36"/>
      <c r="CQ30" s="36"/>
      <c r="CR30" s="36"/>
      <c r="CY30" s="108"/>
      <c r="CZ30" s="108"/>
      <c r="DA30" s="108"/>
    </row>
    <row r="31" spans="1:105">
      <c r="A31" s="1614" t="s">
        <v>135</v>
      </c>
      <c r="B31" s="134"/>
      <c r="C31" s="591">
        <f>5.559+C101</f>
        <v>10.710439999999998</v>
      </c>
      <c r="D31" s="583">
        <f>11.371+D101</f>
        <v>11.628220000000002</v>
      </c>
      <c r="E31" s="583">
        <f>9.454+E101</f>
        <v>14.45682</v>
      </c>
      <c r="F31" s="583">
        <f>-8.878+F101</f>
        <v>16.90945</v>
      </c>
      <c r="G31" s="584">
        <f t="shared" si="7"/>
        <v>53.704929999999997</v>
      </c>
      <c r="H31" s="600"/>
      <c r="I31" s="591">
        <f>7.384+I101</f>
        <v>12.845280000000001</v>
      </c>
      <c r="J31" s="583">
        <f>10.12+J101</f>
        <v>15.566959999999998</v>
      </c>
      <c r="K31" s="583">
        <f>-4.596+K101</f>
        <v>16.451999999999998</v>
      </c>
      <c r="L31" s="583">
        <f>8.328+L101</f>
        <v>2.1191100000000009</v>
      </c>
      <c r="M31" s="584">
        <f>SUM(I31:L31)</f>
        <v>46.983349999999994</v>
      </c>
      <c r="N31" s="600"/>
      <c r="O31" s="591">
        <f>5.802+O101</f>
        <v>13.320239999999997</v>
      </c>
      <c r="P31" s="583">
        <f>10.799+P101</f>
        <v>15.778560000000001</v>
      </c>
      <c r="Q31" s="583">
        <f>4.025+Q101</f>
        <v>11.006439999999996</v>
      </c>
      <c r="R31" s="592">
        <f>31.8+S101-O31-P31-Q31</f>
        <v>17.164060000000006</v>
      </c>
      <c r="S31" s="584">
        <f>SUM(O31:R31)</f>
        <v>57.269300000000001</v>
      </c>
      <c r="T31" s="600"/>
      <c r="U31" s="583">
        <f>7.861+U101</f>
        <v>12.449210000000001</v>
      </c>
      <c r="V31" s="583">
        <f>7.718+V101</f>
        <v>39.865319999999997</v>
      </c>
      <c r="W31" s="583">
        <f>8.192+W101</f>
        <v>13.644370000000002</v>
      </c>
      <c r="X31" s="582">
        <f>27.043+Y101-U31-V31-W31</f>
        <v>19.929339999999975</v>
      </c>
      <c r="Y31" s="584">
        <f>SUM(U31:X31)</f>
        <v>85.888239999999968</v>
      </c>
      <c r="Z31" s="600"/>
      <c r="AA31" s="591">
        <f>8.384+AA101</f>
        <v>15.402600000000001</v>
      </c>
      <c r="AB31" s="583">
        <f>6.047+AB101</f>
        <v>16.478859999999997</v>
      </c>
      <c r="AC31" s="583">
        <f>4.215+AC101</f>
        <v>15.2425</v>
      </c>
      <c r="AD31" s="583">
        <f>63.182+AE101-AA31-AB31-AC31</f>
        <v>19.526919999999961</v>
      </c>
      <c r="AE31" s="584">
        <f>SUM(AA31:AD31)</f>
        <v>66.650879999999958</v>
      </c>
      <c r="AF31" s="602"/>
      <c r="AG31" s="591">
        <f>1.476+AG101</f>
        <v>16.66244</v>
      </c>
      <c r="AH31" s="583">
        <f>4.861+AH101</f>
        <v>17.30828</v>
      </c>
      <c r="AI31" s="583">
        <f>2.357+AI101</f>
        <v>14.412400000000005</v>
      </c>
      <c r="AJ31" s="582">
        <f>-26.548+AJ101</f>
        <v>19.018640000000008</v>
      </c>
      <c r="AK31" s="615">
        <f>SUM(AG31:AJ31)</f>
        <v>67.40176000000001</v>
      </c>
      <c r="AL31" s="600"/>
      <c r="AM31" s="591">
        <f>-8.428+AM101</f>
        <v>10.149719999999999</v>
      </c>
      <c r="AN31" s="583">
        <f>0.077+AN101</f>
        <v>15.98532</v>
      </c>
      <c r="AO31" s="583">
        <f>4.851+AO101</f>
        <v>14.366788</v>
      </c>
      <c r="AP31" s="582">
        <f>-8.184+AP101</f>
        <v>18.688938999999998</v>
      </c>
      <c r="AQ31" s="615">
        <f>SUM(AM31:AP31)</f>
        <v>59.190766999999994</v>
      </c>
      <c r="AR31" s="632"/>
      <c r="AS31" s="591">
        <f>5.522+AS101</f>
        <v>15.134679999999998</v>
      </c>
      <c r="AT31" s="583">
        <f>8.67+AT101</f>
        <v>17.49277</v>
      </c>
      <c r="AU31" s="583">
        <f>4.912+AU101</f>
        <v>16.970380000000002</v>
      </c>
      <c r="AV31" s="583">
        <f>10.667+AV101</f>
        <v>44.931160000000006</v>
      </c>
      <c r="AW31" s="615">
        <f>SUM(AS31:AV31)</f>
        <v>94.528990000000007</v>
      </c>
      <c r="AX31" s="632"/>
      <c r="AY31" s="591">
        <f>4.242+AY101</f>
        <v>13.777539999999998</v>
      </c>
      <c r="AZ31" s="583">
        <f>5.534+AZ101</f>
        <v>15.340050000000002</v>
      </c>
      <c r="BA31" s="583">
        <f>6.326+BA101</f>
        <v>13.676580000000001</v>
      </c>
      <c r="BB31" s="583">
        <f>3.92+BB101</f>
        <v>18.076879999999996</v>
      </c>
      <c r="BC31" s="615">
        <f>SUM(AY31:BB31)</f>
        <v>60.871049999999997</v>
      </c>
      <c r="BD31" s="632"/>
      <c r="BE31" s="591">
        <f>7.747+BE101</f>
        <v>15.463599999999996</v>
      </c>
      <c r="BF31" s="1367">
        <f>3.117+BF101</f>
        <v>21.052600000000002</v>
      </c>
      <c r="BG31" s="1367">
        <f>10.601+BG101</f>
        <v>16.689300000000003</v>
      </c>
      <c r="BH31" s="1367">
        <f>6.897+BH101</f>
        <v>17.360010000000003</v>
      </c>
      <c r="BI31" s="615">
        <f>SUM(BE31:BH31)</f>
        <v>70.565510000000003</v>
      </c>
      <c r="BJ31" s="632"/>
      <c r="BK31" s="591">
        <f>3.921+BK101</f>
        <v>12.176120000000004</v>
      </c>
      <c r="BL31" s="1367">
        <f>8.066+BL101</f>
        <v>20.562800000000003</v>
      </c>
      <c r="BM31" s="1367">
        <f>8.508+BM101</f>
        <v>20.268979999999996</v>
      </c>
      <c r="BN31" s="1367">
        <f>119.333+BN101</f>
        <v>11.783360000000073</v>
      </c>
      <c r="BO31" s="615">
        <f>SUM(BK31:BN31)</f>
        <v>64.791260000000079</v>
      </c>
      <c r="BP31" s="632"/>
      <c r="BQ31" s="594">
        <f>BQ64*BQ30</f>
        <v>15.573825182075204</v>
      </c>
      <c r="BR31" s="592">
        <f>BR64*BR30</f>
        <v>22.121061497517413</v>
      </c>
      <c r="BS31" s="592">
        <f>BS64*BS30</f>
        <v>23.576863845151422</v>
      </c>
      <c r="BT31" s="592">
        <f>BT64*BT30</f>
        <v>29.869688135622688</v>
      </c>
      <c r="BU31" s="615">
        <f>SUM(BQ31:BT31)</f>
        <v>91.141438660366731</v>
      </c>
      <c r="BV31" s="632"/>
      <c r="BW31" s="594">
        <f>BW64*BW30</f>
        <v>18.802901808506405</v>
      </c>
      <c r="BX31" s="592">
        <f>BX64*BX30</f>
        <v>25.835718110298775</v>
      </c>
      <c r="BY31" s="592">
        <f>BY64*BY30</f>
        <v>27.424364684261871</v>
      </c>
      <c r="BZ31" s="592">
        <f>BZ64*BZ30</f>
        <v>34.199529315979689</v>
      </c>
      <c r="CA31" s="615">
        <f>SUM(BW31:BZ31)</f>
        <v>106.26251391904674</v>
      </c>
      <c r="CB31" s="632"/>
      <c r="CC31" s="594">
        <f>CC64*CC30</f>
        <v>21.82588188872408</v>
      </c>
      <c r="CD31" s="592">
        <f>CD64*CD30</f>
        <v>31.570701407268814</v>
      </c>
      <c r="CE31" s="592">
        <f>CE64*CE30</f>
        <v>33.458115632731172</v>
      </c>
      <c r="CF31" s="592">
        <f>CF64*CF30</f>
        <v>41.379219637537155</v>
      </c>
      <c r="CG31" s="615">
        <f>SUM(CC31:CF31)</f>
        <v>128.23391856626122</v>
      </c>
      <c r="CH31" s="632"/>
      <c r="CI31" s="594">
        <f>CI64*CI30</f>
        <v>27.835601630558589</v>
      </c>
      <c r="CJ31" s="592">
        <f>CJ64*CJ30</f>
        <v>33.180257033353563</v>
      </c>
      <c r="CK31" s="592">
        <f>CK64*CK30</f>
        <v>35.041825234010801</v>
      </c>
      <c r="CL31" s="592">
        <f>CL64*CL30</f>
        <v>43.019637561433754</v>
      </c>
      <c r="CM31" s="615">
        <f>SUM(CI31:CL31)</f>
        <v>139.07732145935671</v>
      </c>
      <c r="CN31" s="36"/>
      <c r="CO31" s="36"/>
      <c r="CP31" s="36"/>
      <c r="CQ31" s="36"/>
      <c r="CR31" s="36"/>
      <c r="CY31" s="228"/>
      <c r="CZ31" s="108"/>
      <c r="DA31" s="108"/>
    </row>
    <row r="32" spans="1:105">
      <c r="A32" s="1615" t="s">
        <v>457</v>
      </c>
      <c r="B32" s="492"/>
      <c r="C32" s="611">
        <f>C30-C31</f>
        <v>31.33255999999998</v>
      </c>
      <c r="D32" s="607">
        <f>D30-D31</f>
        <v>36.730779999999982</v>
      </c>
      <c r="E32" s="607">
        <f>E30-E31</f>
        <v>40.504180000000026</v>
      </c>
      <c r="F32" s="607">
        <f>F30-F31</f>
        <v>50.622550000000039</v>
      </c>
      <c r="G32" s="609">
        <f>G30-G31</f>
        <v>159.19006999999993</v>
      </c>
      <c r="H32" s="610"/>
      <c r="I32" s="611">
        <f>I30-I31</f>
        <v>30.565719999999985</v>
      </c>
      <c r="J32" s="607">
        <f>J30-J31</f>
        <v>39.163040000000066</v>
      </c>
      <c r="K32" s="607">
        <f>K30-K31</f>
        <v>42.424999999999997</v>
      </c>
      <c r="L32" s="607">
        <f>L30-L31</f>
        <v>60.226890000000019</v>
      </c>
      <c r="M32" s="609">
        <f>M30-M31</f>
        <v>172.38065000000006</v>
      </c>
      <c r="N32" s="610"/>
      <c r="O32" s="611">
        <f>O30-O31</f>
        <v>30.559760000000018</v>
      </c>
      <c r="P32" s="607">
        <f>P30-P31</f>
        <v>32.669439999999952</v>
      </c>
      <c r="Q32" s="607">
        <f>Q30-Q31</f>
        <v>32.788559999999997</v>
      </c>
      <c r="R32" s="608">
        <f>R30-R31</f>
        <v>29.264939999999875</v>
      </c>
      <c r="S32" s="609">
        <f>S30-S31</f>
        <v>125.28269999999985</v>
      </c>
      <c r="T32" s="610"/>
      <c r="U32" s="607">
        <f>U30-U31</f>
        <v>29.749789999999997</v>
      </c>
      <c r="V32" s="607">
        <f>V30-V31</f>
        <v>12.281679999999994</v>
      </c>
      <c r="W32" s="607">
        <f>W30-W31</f>
        <v>39.870630000000006</v>
      </c>
      <c r="X32" s="608">
        <f>X30-X31</f>
        <v>54.800660000000086</v>
      </c>
      <c r="Y32" s="609">
        <f>Y30-Y31</f>
        <v>136.70276000000013</v>
      </c>
      <c r="Z32" s="610"/>
      <c r="AA32" s="611">
        <f>AA30-AA31</f>
        <v>77.938400000000058</v>
      </c>
      <c r="AB32" s="607">
        <f>AB30-AB31</f>
        <v>88.435140000000089</v>
      </c>
      <c r="AC32" s="607">
        <f>AC30-AC31</f>
        <v>85.384499999999974</v>
      </c>
      <c r="AD32" s="607">
        <f>AD30-AD31</f>
        <v>69.990079999999793</v>
      </c>
      <c r="AE32" s="609">
        <f>AE30-AE31</f>
        <v>321.74811999999969</v>
      </c>
      <c r="AF32" s="612"/>
      <c r="AG32" s="611">
        <f>AG30-AG31</f>
        <v>49.567560000000071</v>
      </c>
      <c r="AH32" s="607">
        <f>AH30-AH31</f>
        <v>60.53572000000004</v>
      </c>
      <c r="AI32" s="607">
        <f>AI30-AI31</f>
        <v>52.074600000000018</v>
      </c>
      <c r="AJ32" s="608">
        <f>AJ30-AJ31</f>
        <v>74.931360000000097</v>
      </c>
      <c r="AK32" s="609">
        <f>AK30-AK31</f>
        <v>237.10923999999966</v>
      </c>
      <c r="AL32" s="610"/>
      <c r="AM32" s="611">
        <f>AM30-AM31</f>
        <v>41.455280000000002</v>
      </c>
      <c r="AN32" s="607">
        <f>AN30-AN31</f>
        <v>57.597680000000068</v>
      </c>
      <c r="AO32" s="607">
        <f>AO30-AO31</f>
        <v>56.111082660000065</v>
      </c>
      <c r="AP32" s="608">
        <f>AP30-AP31</f>
        <v>82.725061000000096</v>
      </c>
      <c r="AQ32" s="609">
        <f>AQ30-AQ31</f>
        <v>237.88910365999988</v>
      </c>
      <c r="AR32" s="633"/>
      <c r="AS32" s="611">
        <f>AS30-AS31</f>
        <v>53.404368000000311</v>
      </c>
      <c r="AT32" s="607">
        <f>AT30-AT31</f>
        <v>67.720837000000017</v>
      </c>
      <c r="AU32" s="607">
        <f>AU30-AU31</f>
        <v>64.607966200000078</v>
      </c>
      <c r="AV32" s="607">
        <f>AV30-AV31</f>
        <v>96.437086116800202</v>
      </c>
      <c r="AW32" s="609">
        <f>AW30-AW31</f>
        <v>282.17025731680076</v>
      </c>
      <c r="AX32" s="633"/>
      <c r="AY32" s="611">
        <f>AY30-AY31</f>
        <v>49.361460000000037</v>
      </c>
      <c r="AZ32" s="607">
        <f>AZ30-AZ31</f>
        <v>60.91695</v>
      </c>
      <c r="BA32" s="607">
        <f>BA30-BA31</f>
        <v>60.730980000000031</v>
      </c>
      <c r="BB32" s="607">
        <f>BB30-BB31</f>
        <v>91.296180000000078</v>
      </c>
      <c r="BC32" s="609">
        <f>BC30-BC31</f>
        <v>262.30556999999988</v>
      </c>
      <c r="BD32" s="633"/>
      <c r="BE32" s="611">
        <f>BE30-BE31</f>
        <v>56.150399999999991</v>
      </c>
      <c r="BF32" s="607">
        <f>BF30-BF31</f>
        <v>68.992400000000032</v>
      </c>
      <c r="BG32" s="607">
        <f>BG30-BG31</f>
        <v>70.24769999999998</v>
      </c>
      <c r="BH32" s="607">
        <f>BH30-BH31</f>
        <v>91.583989999999986</v>
      </c>
      <c r="BI32" s="609">
        <f>BI30-BI31</f>
        <v>286.97448999999989</v>
      </c>
      <c r="BJ32" s="633"/>
      <c r="BK32" s="611">
        <f>BK30-BK31</f>
        <v>60.292879999999933</v>
      </c>
      <c r="BL32" s="607">
        <f>BL30-BL31</f>
        <v>73.801200000000051</v>
      </c>
      <c r="BM32" s="607">
        <f>BM30-BM31</f>
        <v>81.024889999999985</v>
      </c>
      <c r="BN32" s="607">
        <f>BN30-BN31</f>
        <v>108.61363999999992</v>
      </c>
      <c r="BO32" s="609">
        <f>BO30-BO31</f>
        <v>323.73260999999968</v>
      </c>
      <c r="BP32" s="633"/>
      <c r="BQ32" s="611">
        <f>BQ30-BQ31</f>
        <v>68.609013639952934</v>
      </c>
      <c r="BR32" s="607">
        <f>BR30-BR31</f>
        <v>97.452243894468609</v>
      </c>
      <c r="BS32" s="607">
        <f>BS30-BS31</f>
        <v>103.86564342593735</v>
      </c>
      <c r="BT32" s="607">
        <f>BT30-BT31</f>
        <v>131.58808557044591</v>
      </c>
      <c r="BU32" s="609">
        <f>BU30-BU31</f>
        <v>401.51498653080478</v>
      </c>
      <c r="BV32" s="633"/>
      <c r="BW32" s="611">
        <f>BW30-BW31</f>
        <v>82.8344052645012</v>
      </c>
      <c r="BX32" s="607">
        <f>BX30-BX31</f>
        <v>113.81681221564055</v>
      </c>
      <c r="BY32" s="607">
        <f>BY30-BY31</f>
        <v>120.81544441985635</v>
      </c>
      <c r="BZ32" s="607">
        <f>BZ30-BZ31</f>
        <v>150.66279131093756</v>
      </c>
      <c r="CA32" s="609">
        <f>CA30-CA31</f>
        <v>468.12945321093554</v>
      </c>
      <c r="CB32" s="633"/>
      <c r="CC32" s="611">
        <f>CC30-CC31</f>
        <v>96.151858050325004</v>
      </c>
      <c r="CD32" s="607">
        <f>CD30-CD31</f>
        <v>139.08173863202208</v>
      </c>
      <c r="CE32" s="607">
        <f>CE30-CE31</f>
        <v>147.39656346311301</v>
      </c>
      <c r="CF32" s="607">
        <f>CF30-CF31</f>
        <v>182.29223786266368</v>
      </c>
      <c r="CG32" s="609">
        <f>CG30-CG31</f>
        <v>564.92239800812365</v>
      </c>
      <c r="CH32" s="633"/>
      <c r="CI32" s="611">
        <f>CI30-CI31</f>
        <v>122.62710988597433</v>
      </c>
      <c r="CJ32" s="607">
        <f>CJ30-CJ31</f>
        <v>146.1724836874765</v>
      </c>
      <c r="CK32" s="607">
        <f>CK30-CK31</f>
        <v>154.3734463011827</v>
      </c>
      <c r="CL32" s="607">
        <f>CL30-CL31</f>
        <v>189.51894385172164</v>
      </c>
      <c r="CM32" s="609">
        <f>CM30-CM31</f>
        <v>612.69198372635492</v>
      </c>
      <c r="CN32" s="491"/>
      <c r="CO32" s="491"/>
      <c r="CP32" s="491"/>
      <c r="CQ32" s="491"/>
      <c r="CR32" s="491"/>
      <c r="CY32" s="228"/>
      <c r="CZ32" s="1828"/>
      <c r="DA32" s="108"/>
    </row>
    <row r="33" spans="1:105" ht="12.75" hidden="1" customHeight="1" outlineLevel="1">
      <c r="A33" s="1616" t="s">
        <v>193</v>
      </c>
      <c r="B33" s="134" t="s">
        <v>79</v>
      </c>
      <c r="C33" s="594">
        <f>SUM(C34:C35)</f>
        <v>-0.127</v>
      </c>
      <c r="D33" s="592">
        <f>SUM(D34:D35)</f>
        <v>0.38400000000000001</v>
      </c>
      <c r="E33" s="592">
        <f>SUM(E34:E35)</f>
        <v>-0.35699999999999998</v>
      </c>
      <c r="F33" s="592">
        <f>SUM(F34:F35)</f>
        <v>-0.36199999999999988</v>
      </c>
      <c r="G33" s="584">
        <f>SUM(G34:G35)</f>
        <v>-0.46199999999999974</v>
      </c>
      <c r="H33" s="600"/>
      <c r="I33" s="594">
        <f>SUM(I34:I35)</f>
        <v>-0.60099999999999998</v>
      </c>
      <c r="J33" s="592">
        <f>SUM(J34:J35)</f>
        <v>-5.8860000000000001</v>
      </c>
      <c r="K33" s="592">
        <f>SUM(K34:K35)</f>
        <v>10.219000000000001</v>
      </c>
      <c r="L33" s="592">
        <f>SUM(L34:L35)</f>
        <v>-3.7930000000000001</v>
      </c>
      <c r="M33" s="584">
        <f>SUM(M34:M35)</f>
        <v>-6.0999999999999499E-2</v>
      </c>
      <c r="N33" s="600"/>
      <c r="O33" s="594">
        <f>SUM(O34:O35)</f>
        <v>-4.1229999999999993</v>
      </c>
      <c r="P33" s="592">
        <f>SUM(P34:P35)</f>
        <v>-1.7350000000000001</v>
      </c>
      <c r="Q33" s="592">
        <f>SUM(Q34:Q35)</f>
        <v>0.2609999999999999</v>
      </c>
      <c r="R33" s="593">
        <f>SUM(R34:R35)</f>
        <v>16.860999999999997</v>
      </c>
      <c r="S33" s="584">
        <f>SUM(S34:S35)</f>
        <v>11.263999999999996</v>
      </c>
      <c r="T33" s="600"/>
      <c r="U33" s="594">
        <f>SUM(U34:U35)</f>
        <v>4.7549999999999999</v>
      </c>
      <c r="V33" s="592">
        <f>SUM(V34:V35)</f>
        <v>10.463999999999999</v>
      </c>
      <c r="W33" s="592">
        <f>SUM(W34:W35)</f>
        <v>-13.154000000000002</v>
      </c>
      <c r="X33" s="593">
        <f>SUM(X34:X35)</f>
        <v>250.01000000000005</v>
      </c>
      <c r="Y33" s="584">
        <f>SUM(Y34:Y35)</f>
        <v>252.07500000000005</v>
      </c>
      <c r="Z33" s="600"/>
      <c r="AA33" s="594">
        <f>SUM(AA34:AA35)</f>
        <v>-2.3780000000000001</v>
      </c>
      <c r="AB33" s="592">
        <f>SUM(AB34:AB35)</f>
        <v>0.65999999999999992</v>
      </c>
      <c r="AC33" s="592">
        <f>SUM(AC34:AC35)</f>
        <v>8.6180000000000003</v>
      </c>
      <c r="AD33" s="592">
        <f>SUM(AD34:AD35)</f>
        <v>-0.41699999999999937</v>
      </c>
      <c r="AE33" s="584">
        <f>SUM(AE34:AE35)</f>
        <v>6.4830000000000005</v>
      </c>
      <c r="AF33" s="602"/>
      <c r="AG33" s="594">
        <f>SUM(AG34:AG35)</f>
        <v>0.49300000000000005</v>
      </c>
      <c r="AH33" s="592">
        <f>SUM(AH34:AH35)</f>
        <v>6.5000000000000002E-2</v>
      </c>
      <c r="AI33" s="592">
        <f>SUM(AI34:AI35)</f>
        <v>0.60499999999999998</v>
      </c>
      <c r="AJ33" s="593">
        <f>SUM(AJ34:AJ35)</f>
        <v>0.33599999999999997</v>
      </c>
      <c r="AK33" s="584">
        <f>SUM(AG33:AJ33)</f>
        <v>1.4990000000000001</v>
      </c>
      <c r="AL33" s="600"/>
      <c r="AM33" s="594">
        <f>SUM(AM34:AM35)</f>
        <v>-0.23700000000000002</v>
      </c>
      <c r="AN33" s="592">
        <f>SUM(AN34:AN35)</f>
        <v>-0.52899999999999991</v>
      </c>
      <c r="AO33" s="592">
        <f>SUM(AO34:AO35)</f>
        <v>-1.0790000000000002</v>
      </c>
      <c r="AP33" s="593">
        <f>SUM(AP34:AP35)</f>
        <v>-1.5269999999999999</v>
      </c>
      <c r="AQ33" s="584">
        <f>SUM(AM33:AP33)</f>
        <v>-3.3719999999999999</v>
      </c>
      <c r="AR33" s="601"/>
      <c r="AS33" s="594">
        <f>SUM(AS34:AS35)</f>
        <v>-1.4770000000000001</v>
      </c>
      <c r="AT33" s="592">
        <f>SUM(AT34:AT35)</f>
        <v>-3.2589999999999999</v>
      </c>
      <c r="AU33" s="592">
        <f>SUM(AU34:AU35)</f>
        <v>-1.575</v>
      </c>
      <c r="AV33" s="590">
        <f>SUM(AV34:AV35)</f>
        <v>-0.73899999999999999</v>
      </c>
      <c r="AW33" s="584">
        <f>SUM(AS33:AV33)</f>
        <v>-7.05</v>
      </c>
      <c r="AX33" s="601"/>
      <c r="AY33" s="594">
        <f>SUM(AY34:AY35)</f>
        <v>7.109</v>
      </c>
      <c r="AZ33" s="592">
        <f>SUM(AZ34:AZ35)</f>
        <v>7.2000000000000008E-2</v>
      </c>
      <c r="BA33" s="592">
        <f>SUM(BA34:BA35)</f>
        <v>4.3999999999999997E-2</v>
      </c>
      <c r="BB33" s="590">
        <f>SUM(BB34:BB35)</f>
        <v>0.20799999999999999</v>
      </c>
      <c r="BC33" s="584">
        <f>SUM(AY33:BB33)</f>
        <v>7.4329999999999998</v>
      </c>
      <c r="BD33" s="601"/>
      <c r="BE33" s="594">
        <f>SUM(BE34:BE35)</f>
        <v>-3.2999999999999995E-2</v>
      </c>
      <c r="BF33" s="592">
        <f>SUM(BF34:BF35)</f>
        <v>2.6509999999999998</v>
      </c>
      <c r="BG33" s="592">
        <f>SUM(BG34:BG35)</f>
        <v>0.88200000000000001</v>
      </c>
      <c r="BH33" s="592">
        <f>SUM(BH34:BH35)</f>
        <v>4.7699999999999996</v>
      </c>
      <c r="BI33" s="584">
        <f>SUM(BE33:BH33)</f>
        <v>8.27</v>
      </c>
      <c r="BJ33" s="601"/>
      <c r="BK33" s="594">
        <f>SUM(BK34:BK35)</f>
        <v>2.5409999999999999</v>
      </c>
      <c r="BL33" s="592">
        <f>SUM(BL34:BL35)</f>
        <v>141.34300000000002</v>
      </c>
      <c r="BM33" s="592">
        <f>SUM(BM34:BM35)</f>
        <v>-5.468</v>
      </c>
      <c r="BN33" s="592">
        <f>SUM(BN34:BN35)</f>
        <v>-2.673</v>
      </c>
      <c r="BO33" s="584">
        <f>SUM(BK33:BN33)</f>
        <v>135.74300000000002</v>
      </c>
      <c r="BP33" s="601"/>
      <c r="BQ33" s="594">
        <f>SUM(BQ34:BQ35)</f>
        <v>-2.673</v>
      </c>
      <c r="BR33" s="592">
        <f>SUM(BR34:BR35)</f>
        <v>-2.673</v>
      </c>
      <c r="BS33" s="592">
        <f>SUM(BS34:BS35)</f>
        <v>-2.673</v>
      </c>
      <c r="BT33" s="592">
        <f>SUM(BT34:BT35)</f>
        <v>-2.673</v>
      </c>
      <c r="BU33" s="584">
        <f>SUM(BQ33:BT33)</f>
        <v>-10.692</v>
      </c>
      <c r="BV33" s="601"/>
      <c r="BW33" s="594">
        <f>SUM(BW34:BW35)</f>
        <v>-2.673</v>
      </c>
      <c r="BX33" s="592">
        <f>SUM(BX34:BX35)</f>
        <v>-2.673</v>
      </c>
      <c r="BY33" s="592">
        <f>SUM(BY34:BY35)</f>
        <v>-2.673</v>
      </c>
      <c r="BZ33" s="592">
        <f>SUM(BZ34:BZ35)</f>
        <v>-2.673</v>
      </c>
      <c r="CA33" s="584">
        <f>SUM(BW33:BZ33)</f>
        <v>-10.692</v>
      </c>
      <c r="CB33" s="601"/>
      <c r="CC33" s="594">
        <f>SUM(CC34:CC35)</f>
        <v>-2.673</v>
      </c>
      <c r="CD33" s="592">
        <f>SUM(CD34:CD35)</f>
        <v>-2.673</v>
      </c>
      <c r="CE33" s="592">
        <f>SUM(CE34:CE35)</f>
        <v>-2.673</v>
      </c>
      <c r="CF33" s="592">
        <f>SUM(CF34:CF35)</f>
        <v>-2.673</v>
      </c>
      <c r="CG33" s="584">
        <f>SUM(CC33:CF33)</f>
        <v>-10.692</v>
      </c>
      <c r="CH33" s="601"/>
      <c r="CI33" s="594">
        <f>SUM(CI34:CI35)</f>
        <v>-2.673</v>
      </c>
      <c r="CJ33" s="592">
        <f>SUM(CJ34:CJ35)</f>
        <v>-2.673</v>
      </c>
      <c r="CK33" s="592">
        <f>SUM(CK34:CK35)</f>
        <v>-2.673</v>
      </c>
      <c r="CL33" s="592">
        <f>SUM(CL34:CL35)</f>
        <v>-2.673</v>
      </c>
      <c r="CM33" s="584">
        <f>SUM(CI33:CL33)</f>
        <v>-10.692</v>
      </c>
      <c r="CN33" s="36"/>
      <c r="CO33" s="36"/>
      <c r="CP33" s="36"/>
      <c r="CQ33" s="36"/>
      <c r="CR33" s="36"/>
      <c r="CY33" s="228"/>
      <c r="CZ33" s="1829"/>
      <c r="DA33" s="108"/>
    </row>
    <row r="34" spans="1:105" ht="12.75" hidden="1" customHeight="1" outlineLevel="1">
      <c r="A34" s="1614" t="s">
        <v>421</v>
      </c>
      <c r="B34" s="134" t="s">
        <v>79</v>
      </c>
      <c r="C34" s="591">
        <v>0</v>
      </c>
      <c r="D34" s="583">
        <v>0</v>
      </c>
      <c r="E34" s="583">
        <v>0</v>
      </c>
      <c r="F34" s="583">
        <v>0.77</v>
      </c>
      <c r="G34" s="584">
        <f>SUM(C34:F34)</f>
        <v>0.77</v>
      </c>
      <c r="H34" s="600"/>
      <c r="I34" s="591">
        <f>-0.232</f>
        <v>-0.23200000000000001</v>
      </c>
      <c r="J34" s="583">
        <v>0.90400000000000003</v>
      </c>
      <c r="K34" s="583">
        <v>2.0750000000000002</v>
      </c>
      <c r="L34" s="583">
        <v>-0.81100000000000005</v>
      </c>
      <c r="M34" s="584">
        <f>SUM(I34:L34)</f>
        <v>1.9360000000000004</v>
      </c>
      <c r="N34" s="600"/>
      <c r="O34" s="591">
        <v>-2.5339999999999998</v>
      </c>
      <c r="P34" s="583">
        <v>-1.3360000000000001</v>
      </c>
      <c r="Q34" s="583">
        <v>1.829</v>
      </c>
      <c r="R34" s="582">
        <f>18.883-2.991-O34-P34-Q34</f>
        <v>17.932999999999996</v>
      </c>
      <c r="S34" s="584">
        <f>SUM(O34:R34)</f>
        <v>15.891999999999996</v>
      </c>
      <c r="T34" s="600"/>
      <c r="U34" s="583">
        <f>7.314-2.337</f>
        <v>4.9770000000000003</v>
      </c>
      <c r="V34" s="583">
        <f>10.145-2.971</f>
        <v>7.1739999999999995</v>
      </c>
      <c r="W34" s="583">
        <f>4.217-0.495</f>
        <v>3.7219999999999995</v>
      </c>
      <c r="X34" s="582">
        <f>30.772+317.896-U34-V34-W34</f>
        <v>332.79500000000007</v>
      </c>
      <c r="Y34" s="584">
        <f>SUM(U34:X34)</f>
        <v>348.66800000000006</v>
      </c>
      <c r="Z34" s="600"/>
      <c r="AA34" s="591">
        <v>-0.79400000000000004</v>
      </c>
      <c r="AB34" s="583">
        <v>0.81699999999999995</v>
      </c>
      <c r="AC34" s="583">
        <v>4.8049999999999997</v>
      </c>
      <c r="AD34" s="583">
        <f>4.484-AA34-AB34-AC34</f>
        <v>-0.34399999999999942</v>
      </c>
      <c r="AE34" s="584">
        <f>SUM(AA34:AD34)</f>
        <v>4.484</v>
      </c>
      <c r="AF34" s="602"/>
      <c r="AG34" s="591">
        <v>0.53500000000000003</v>
      </c>
      <c r="AH34" s="583">
        <f>0.482</f>
        <v>0.48199999999999998</v>
      </c>
      <c r="AI34" s="621">
        <v>0.89800000000000002</v>
      </c>
      <c r="AJ34" s="622">
        <v>0.49</v>
      </c>
      <c r="AK34" s="615">
        <f>SUM(AG34:AJ34)</f>
        <v>2.4050000000000002</v>
      </c>
      <c r="AL34" s="600"/>
      <c r="AM34" s="602">
        <f>-0.092-0.164</f>
        <v>-0.25600000000000001</v>
      </c>
      <c r="AN34" s="621">
        <f>-0.552-0.59</f>
        <v>-1.1419999999999999</v>
      </c>
      <c r="AO34" s="621">
        <f>-0.758-0.257</f>
        <v>-1.0150000000000001</v>
      </c>
      <c r="AP34" s="622">
        <v>-2.2669999999999999</v>
      </c>
      <c r="AQ34" s="615">
        <f>SUM(AM34:AP34)</f>
        <v>-4.68</v>
      </c>
      <c r="AR34" s="601"/>
      <c r="AS34" s="602">
        <f>-1.03-0.375</f>
        <v>-1.405</v>
      </c>
      <c r="AT34" s="621">
        <f>-2.084-0.873</f>
        <v>-2.9569999999999999</v>
      </c>
      <c r="AU34" s="621">
        <f>-1.091-0.477</f>
        <v>-1.5680000000000001</v>
      </c>
      <c r="AV34" s="621">
        <f>-0.754-0.106</f>
        <v>-0.86</v>
      </c>
      <c r="AW34" s="615">
        <f>SUM(AS34:AV34)</f>
        <v>-6.79</v>
      </c>
      <c r="AX34" s="601"/>
      <c r="AY34" s="602">
        <v>10.573</v>
      </c>
      <c r="AZ34" s="1367">
        <f>0.035+0.047</f>
        <v>8.2000000000000003E-2</v>
      </c>
      <c r="BA34" s="1367">
        <f>0.008+0.039</f>
        <v>4.7E-2</v>
      </c>
      <c r="BB34" s="1367">
        <f>-0.009+0.219</f>
        <v>0.21</v>
      </c>
      <c r="BC34" s="615">
        <f>SUM(AY34:BB34)</f>
        <v>10.912000000000003</v>
      </c>
      <c r="BD34" s="601"/>
      <c r="BE34" s="602">
        <f>0.003-0.036</f>
        <v>-3.2999999999999995E-2</v>
      </c>
      <c r="BF34" s="1705">
        <v>2.6429999999999998</v>
      </c>
      <c r="BG34" s="1705">
        <v>0.252</v>
      </c>
      <c r="BH34" s="1705">
        <f>1.105+3.665</f>
        <v>4.7699999999999996</v>
      </c>
      <c r="BI34" s="615">
        <f>SUM(BE34:BH34)</f>
        <v>7.6319999999999997</v>
      </c>
      <c r="BJ34" s="601"/>
      <c r="BK34" s="602">
        <v>2.5409999999999999</v>
      </c>
      <c r="BL34" s="1705">
        <f>-3.109-35.925</f>
        <v>-39.033999999999999</v>
      </c>
      <c r="BM34" s="1705">
        <f>-5.262</f>
        <v>-5.2619999999999996</v>
      </c>
      <c r="BN34" s="1705">
        <f>-2.117</f>
        <v>-2.117</v>
      </c>
      <c r="BO34" s="615">
        <f>SUM(BK34:BN34)</f>
        <v>-43.872</v>
      </c>
      <c r="BP34" s="601"/>
      <c r="BQ34" s="624">
        <f>BN34</f>
        <v>-2.117</v>
      </c>
      <c r="BR34" s="623">
        <f t="shared" ref="BR34:BT35" si="39">BQ34</f>
        <v>-2.117</v>
      </c>
      <c r="BS34" s="623">
        <f t="shared" si="39"/>
        <v>-2.117</v>
      </c>
      <c r="BT34" s="623">
        <f t="shared" si="39"/>
        <v>-2.117</v>
      </c>
      <c r="BU34" s="615">
        <f>SUM(BQ34:BT34)</f>
        <v>-8.468</v>
      </c>
      <c r="BV34" s="601"/>
      <c r="BW34" s="624">
        <f>BT34</f>
        <v>-2.117</v>
      </c>
      <c r="BX34" s="623">
        <f t="shared" ref="BX34:BZ35" si="40">BW34</f>
        <v>-2.117</v>
      </c>
      <c r="BY34" s="623">
        <f t="shared" si="40"/>
        <v>-2.117</v>
      </c>
      <c r="BZ34" s="623">
        <f t="shared" si="40"/>
        <v>-2.117</v>
      </c>
      <c r="CA34" s="615">
        <f>SUM(BW34:BZ34)</f>
        <v>-8.468</v>
      </c>
      <c r="CB34" s="601"/>
      <c r="CC34" s="624">
        <f>BZ34</f>
        <v>-2.117</v>
      </c>
      <c r="CD34" s="623">
        <f t="shared" ref="CD34:CD35" si="41">CC34</f>
        <v>-2.117</v>
      </c>
      <c r="CE34" s="623">
        <f t="shared" ref="CE34:CE35" si="42">CD34</f>
        <v>-2.117</v>
      </c>
      <c r="CF34" s="623">
        <f t="shared" ref="CF34:CF35" si="43">CE34</f>
        <v>-2.117</v>
      </c>
      <c r="CG34" s="615">
        <f>SUM(CC34:CF34)</f>
        <v>-8.468</v>
      </c>
      <c r="CH34" s="601"/>
      <c r="CI34" s="624">
        <f>CF34</f>
        <v>-2.117</v>
      </c>
      <c r="CJ34" s="623">
        <f t="shared" ref="CJ34:CJ35" si="44">CI34</f>
        <v>-2.117</v>
      </c>
      <c r="CK34" s="623">
        <f t="shared" ref="CK34:CK35" si="45">CJ34</f>
        <v>-2.117</v>
      </c>
      <c r="CL34" s="623">
        <f t="shared" ref="CL34:CL35" si="46">CK34</f>
        <v>-2.117</v>
      </c>
      <c r="CM34" s="615">
        <f>SUM(CI34:CL34)</f>
        <v>-8.468</v>
      </c>
      <c r="CN34" s="36"/>
      <c r="CO34" s="36"/>
      <c r="CP34" s="36"/>
      <c r="CQ34" s="36"/>
      <c r="CR34" s="36"/>
    </row>
    <row r="35" spans="1:105" ht="12.75" hidden="1" customHeight="1" outlineLevel="1">
      <c r="A35" s="1614" t="s">
        <v>420</v>
      </c>
      <c r="B35" s="134" t="s">
        <v>79</v>
      </c>
      <c r="C35" s="591">
        <v>-0.127</v>
      </c>
      <c r="D35" s="583">
        <v>0.38400000000000001</v>
      </c>
      <c r="E35" s="583">
        <v>-0.35699999999999998</v>
      </c>
      <c r="F35" s="583">
        <v>-1.1319999999999999</v>
      </c>
      <c r="G35" s="584">
        <f>SUM(C35:F35)</f>
        <v>-1.2319999999999998</v>
      </c>
      <c r="H35" s="600"/>
      <c r="I35" s="591">
        <v>-0.36899999999999999</v>
      </c>
      <c r="J35" s="583">
        <v>-6.79</v>
      </c>
      <c r="K35" s="583">
        <v>8.1440000000000001</v>
      </c>
      <c r="L35" s="583">
        <v>-2.9820000000000002</v>
      </c>
      <c r="M35" s="584">
        <f>SUM(I35:L35)</f>
        <v>-1.9969999999999999</v>
      </c>
      <c r="N35" s="600"/>
      <c r="O35" s="591">
        <v>-1.589</v>
      </c>
      <c r="P35" s="583">
        <v>-0.39900000000000002</v>
      </c>
      <c r="Q35" s="583">
        <v>-1.5680000000000001</v>
      </c>
      <c r="R35" s="582">
        <f>-4.628-O35-P35-Q35</f>
        <v>-1.0720000000000001</v>
      </c>
      <c r="S35" s="584">
        <f>SUM(O35:R35)</f>
        <v>-4.6280000000000001</v>
      </c>
      <c r="T35" s="600"/>
      <c r="U35" s="583">
        <v>-0.222</v>
      </c>
      <c r="V35" s="583">
        <v>3.29</v>
      </c>
      <c r="W35" s="583">
        <v>-16.876000000000001</v>
      </c>
      <c r="X35" s="582">
        <f>-96.593-U35-V35-W35</f>
        <v>-82.785000000000011</v>
      </c>
      <c r="Y35" s="584">
        <f>SUM(U35:X35)</f>
        <v>-96.593000000000018</v>
      </c>
      <c r="Z35" s="600"/>
      <c r="AA35" s="591">
        <v>-1.5840000000000001</v>
      </c>
      <c r="AB35" s="583">
        <v>-0.157</v>
      </c>
      <c r="AC35" s="583">
        <v>3.8130000000000002</v>
      </c>
      <c r="AD35" s="583">
        <f>1.999-AA35-AB35-AC35</f>
        <v>-7.2999999999999954E-2</v>
      </c>
      <c r="AE35" s="584">
        <f>SUM(AA35:AD35)</f>
        <v>1.9990000000000001</v>
      </c>
      <c r="AF35" s="602"/>
      <c r="AG35" s="591">
        <v>-4.2000000000000003E-2</v>
      </c>
      <c r="AH35" s="583">
        <v>-0.41699999999999998</v>
      </c>
      <c r="AI35" s="621">
        <v>-0.29299999999999998</v>
      </c>
      <c r="AJ35" s="622">
        <v>-0.154</v>
      </c>
      <c r="AK35" s="615">
        <f>SUM(AG35:AJ35)</f>
        <v>-0.90600000000000003</v>
      </c>
      <c r="AL35" s="600"/>
      <c r="AM35" s="602">
        <v>1.9E-2</v>
      </c>
      <c r="AN35" s="621">
        <v>0.61299999999999999</v>
      </c>
      <c r="AO35" s="621">
        <v>-6.4000000000000001E-2</v>
      </c>
      <c r="AP35" s="622">
        <v>0.74</v>
      </c>
      <c r="AQ35" s="615">
        <f>SUM(AM35:AP35)</f>
        <v>1.3080000000000001</v>
      </c>
      <c r="AR35" s="601"/>
      <c r="AS35" s="602">
        <v>-7.1999999999999995E-2</v>
      </c>
      <c r="AT35" s="621">
        <v>-0.30199999999999999</v>
      </c>
      <c r="AU35" s="621">
        <v>-7.0000000000000001E-3</v>
      </c>
      <c r="AV35" s="621">
        <v>0.121</v>
      </c>
      <c r="AW35" s="615">
        <f>SUM(AS35:AV35)</f>
        <v>-0.26</v>
      </c>
      <c r="AX35" s="601"/>
      <c r="AY35" s="602">
        <f>-0.13-3.334</f>
        <v>-3.464</v>
      </c>
      <c r="AZ35" s="1367">
        <f>-0.01</f>
        <v>-0.01</v>
      </c>
      <c r="BA35" s="1367">
        <f>-0.003</f>
        <v>-3.0000000000000001E-3</v>
      </c>
      <c r="BB35" s="1367">
        <v>-2E-3</v>
      </c>
      <c r="BC35" s="615">
        <f>SUM(AY35:BB35)</f>
        <v>-3.4789999999999996</v>
      </c>
      <c r="BD35" s="601"/>
      <c r="BE35" s="602">
        <v>0</v>
      </c>
      <c r="BF35" s="1705">
        <v>8.0000000000000002E-3</v>
      </c>
      <c r="BG35" s="1705">
        <v>0.63</v>
      </c>
      <c r="BH35" s="1705">
        <v>0</v>
      </c>
      <c r="BI35" s="615">
        <f>SUM(BE35:BH35)</f>
        <v>0.63800000000000001</v>
      </c>
      <c r="BJ35" s="601"/>
      <c r="BK35" s="602">
        <v>0</v>
      </c>
      <c r="BL35" s="1705">
        <f>180.377</f>
        <v>180.37700000000001</v>
      </c>
      <c r="BM35" s="1705">
        <v>-0.20599999999999999</v>
      </c>
      <c r="BN35" s="1705">
        <v>-0.55600000000000005</v>
      </c>
      <c r="BO35" s="615">
        <f>SUM(BK35:BN35)</f>
        <v>179.61500000000001</v>
      </c>
      <c r="BP35" s="601"/>
      <c r="BQ35" s="624">
        <f>BN35</f>
        <v>-0.55600000000000005</v>
      </c>
      <c r="BR35" s="623">
        <f t="shared" si="39"/>
        <v>-0.55600000000000005</v>
      </c>
      <c r="BS35" s="623">
        <f t="shared" si="39"/>
        <v>-0.55600000000000005</v>
      </c>
      <c r="BT35" s="623">
        <f t="shared" si="39"/>
        <v>-0.55600000000000005</v>
      </c>
      <c r="BU35" s="615">
        <f>SUM(BQ35:BT35)</f>
        <v>-2.2240000000000002</v>
      </c>
      <c r="BV35" s="601"/>
      <c r="BW35" s="624">
        <f>BT35</f>
        <v>-0.55600000000000005</v>
      </c>
      <c r="BX35" s="623">
        <f t="shared" si="40"/>
        <v>-0.55600000000000005</v>
      </c>
      <c r="BY35" s="623">
        <f t="shared" si="40"/>
        <v>-0.55600000000000005</v>
      </c>
      <c r="BZ35" s="623">
        <f t="shared" si="40"/>
        <v>-0.55600000000000005</v>
      </c>
      <c r="CA35" s="615">
        <f>SUM(BW35:BZ35)</f>
        <v>-2.2240000000000002</v>
      </c>
      <c r="CB35" s="601"/>
      <c r="CC35" s="624">
        <f>BZ35</f>
        <v>-0.55600000000000005</v>
      </c>
      <c r="CD35" s="623">
        <f t="shared" si="41"/>
        <v>-0.55600000000000005</v>
      </c>
      <c r="CE35" s="623">
        <f t="shared" si="42"/>
        <v>-0.55600000000000005</v>
      </c>
      <c r="CF35" s="623">
        <f t="shared" si="43"/>
        <v>-0.55600000000000005</v>
      </c>
      <c r="CG35" s="615">
        <f>SUM(CC35:CF35)</f>
        <v>-2.2240000000000002</v>
      </c>
      <c r="CH35" s="601"/>
      <c r="CI35" s="624">
        <f>CF35</f>
        <v>-0.55600000000000005</v>
      </c>
      <c r="CJ35" s="623">
        <f t="shared" si="44"/>
        <v>-0.55600000000000005</v>
      </c>
      <c r="CK35" s="623">
        <f t="shared" si="45"/>
        <v>-0.55600000000000005</v>
      </c>
      <c r="CL35" s="623">
        <f t="shared" si="46"/>
        <v>-0.55600000000000005</v>
      </c>
      <c r="CM35" s="615">
        <f>SUM(CI35:CL35)</f>
        <v>-2.2240000000000002</v>
      </c>
      <c r="CN35" s="36"/>
      <c r="CO35" s="36"/>
      <c r="CP35" s="36"/>
      <c r="CQ35" s="36"/>
      <c r="CR35" s="36"/>
    </row>
    <row r="36" spans="1:105" hidden="1" outlineLevel="1" collapsed="1">
      <c r="A36" s="1611" t="s">
        <v>434</v>
      </c>
      <c r="B36" s="1518"/>
      <c r="C36" s="1524">
        <f>C32+C33</f>
        <v>31.205559999999981</v>
      </c>
      <c r="D36" s="1525">
        <f>D32+D33</f>
        <v>37.114779999999982</v>
      </c>
      <c r="E36" s="1525">
        <f>E32+E33</f>
        <v>40.147180000000027</v>
      </c>
      <c r="F36" s="1525">
        <f>F32+F33</f>
        <v>50.260550000000038</v>
      </c>
      <c r="G36" s="1517">
        <f>G32+G33</f>
        <v>158.72806999999995</v>
      </c>
      <c r="H36" s="600"/>
      <c r="I36" s="1524">
        <f>I32+I33</f>
        <v>29.964719999999986</v>
      </c>
      <c r="J36" s="1525">
        <f>J32+J33</f>
        <v>33.277040000000063</v>
      </c>
      <c r="K36" s="1525">
        <f>K32+K33</f>
        <v>52.643999999999998</v>
      </c>
      <c r="L36" s="1525">
        <f>L32+L33</f>
        <v>56.433890000000019</v>
      </c>
      <c r="M36" s="1517">
        <f>M32+M33</f>
        <v>172.31965000000005</v>
      </c>
      <c r="N36" s="600"/>
      <c r="O36" s="1524">
        <f>O32+O33</f>
        <v>26.436760000000021</v>
      </c>
      <c r="P36" s="1525">
        <f>P32+P33</f>
        <v>30.934439999999952</v>
      </c>
      <c r="Q36" s="1525">
        <f>Q32+Q33</f>
        <v>33.04956</v>
      </c>
      <c r="R36" s="1516">
        <f>R32+R33</f>
        <v>46.125939999999872</v>
      </c>
      <c r="S36" s="1521">
        <f>S32+S33</f>
        <v>136.54669999999984</v>
      </c>
      <c r="T36" s="1522"/>
      <c r="U36" s="1519">
        <f>U32+U33</f>
        <v>34.50479</v>
      </c>
      <c r="V36" s="1520">
        <f>V32+V33</f>
        <v>22.745679999999993</v>
      </c>
      <c r="W36" s="1520">
        <f>W32+W33</f>
        <v>26.716630000000002</v>
      </c>
      <c r="X36" s="1523">
        <f>X32+X33</f>
        <v>304.81066000000015</v>
      </c>
      <c r="Y36" s="1521">
        <f>Y32+Y33</f>
        <v>388.77776000000017</v>
      </c>
      <c r="Z36" s="1522"/>
      <c r="AA36" s="1519">
        <f>AA32+AA33</f>
        <v>75.560400000000058</v>
      </c>
      <c r="AB36" s="1520">
        <f>AB32+AB33</f>
        <v>89.095140000000086</v>
      </c>
      <c r="AC36" s="1520">
        <f>AC32+AC33</f>
        <v>94.002499999999969</v>
      </c>
      <c r="AD36" s="1520">
        <f>AD32+AD33</f>
        <v>69.573079999999791</v>
      </c>
      <c r="AE36" s="1521">
        <f>AE32+AE33</f>
        <v>328.23111999999969</v>
      </c>
      <c r="AF36" s="841"/>
      <c r="AG36" s="1519">
        <f>AG32+AG33</f>
        <v>50.060560000000073</v>
      </c>
      <c r="AH36" s="1520">
        <f>AH32+AH33</f>
        <v>60.600720000000038</v>
      </c>
      <c r="AI36" s="1520">
        <f>AI32+AI33</f>
        <v>52.679600000000015</v>
      </c>
      <c r="AJ36" s="1523">
        <f>AJ32+AJ33</f>
        <v>75.267360000000096</v>
      </c>
      <c r="AK36" s="1521">
        <f>AK32+AK33</f>
        <v>238.60823999999965</v>
      </c>
      <c r="AL36" s="1522"/>
      <c r="AM36" s="1519">
        <f>AM32+AM33</f>
        <v>41.21828</v>
      </c>
      <c r="AN36" s="1520">
        <f>AN32+AN33</f>
        <v>57.068680000000072</v>
      </c>
      <c r="AO36" s="1520">
        <f>AO32+AO33</f>
        <v>55.032082660000064</v>
      </c>
      <c r="AP36" s="1523">
        <f>AP32+AP33</f>
        <v>81.198061000000095</v>
      </c>
      <c r="AQ36" s="1521">
        <f>AQ32+AQ33</f>
        <v>234.51710365999986</v>
      </c>
      <c r="AR36" s="841"/>
      <c r="AS36" s="1519">
        <f>AS32+AS33</f>
        <v>51.927368000000314</v>
      </c>
      <c r="AT36" s="1520">
        <f>AT32+AT33</f>
        <v>64.461837000000017</v>
      </c>
      <c r="AU36" s="1520">
        <f>AU32+AU33</f>
        <v>63.032966200000075</v>
      </c>
      <c r="AV36" s="1520">
        <f>AV32+AV33</f>
        <v>95.698086116800198</v>
      </c>
      <c r="AW36" s="1521">
        <f>AW32+AW33</f>
        <v>275.12025731680075</v>
      </c>
      <c r="AX36" s="1522"/>
      <c r="AY36" s="1519">
        <f>AY32+AY33</f>
        <v>56.470460000000038</v>
      </c>
      <c r="AZ36" s="1520">
        <f>AZ32+AZ33</f>
        <v>60.988950000000003</v>
      </c>
      <c r="BA36" s="1520">
        <f>BA32+BA33</f>
        <v>60.774980000000028</v>
      </c>
      <c r="BB36" s="1520">
        <f>BB32+BB33</f>
        <v>91.504180000000076</v>
      </c>
      <c r="BC36" s="1521">
        <f>BC32+BC33</f>
        <v>269.73856999999987</v>
      </c>
      <c r="BD36" s="1522"/>
      <c r="BE36" s="1519">
        <f>BE32+BE33</f>
        <v>56.117399999999989</v>
      </c>
      <c r="BF36" s="1520">
        <f>BF32+BF33</f>
        <v>71.643400000000028</v>
      </c>
      <c r="BG36" s="1520">
        <f>BG32+BG33</f>
        <v>71.129699999999985</v>
      </c>
      <c r="BH36" s="1520">
        <f>BH32+BH33</f>
        <v>96.353989999999982</v>
      </c>
      <c r="BI36" s="1521">
        <f>BI32+BI33</f>
        <v>295.24448999999987</v>
      </c>
      <c r="BJ36" s="1522"/>
      <c r="BK36" s="1519">
        <f>BK32+BK33</f>
        <v>62.83387999999993</v>
      </c>
      <c r="BL36" s="1520">
        <f>BL32+BL33</f>
        <v>215.14420000000007</v>
      </c>
      <c r="BM36" s="1520">
        <f>BM32+BM33</f>
        <v>75.556889999999981</v>
      </c>
      <c r="BN36" s="1520">
        <f>BN32+BN33</f>
        <v>105.94063999999992</v>
      </c>
      <c r="BO36" s="1521">
        <f>BO32+BO33</f>
        <v>459.47560999999973</v>
      </c>
      <c r="BP36" s="1522"/>
      <c r="BQ36" s="1519">
        <f>BQ32+BQ33</f>
        <v>65.936013639952932</v>
      </c>
      <c r="BR36" s="1520">
        <f>BR32+BR33</f>
        <v>94.779243894468607</v>
      </c>
      <c r="BS36" s="1520">
        <f>BS32+BS33</f>
        <v>101.19264342593735</v>
      </c>
      <c r="BT36" s="1520">
        <f>BT32+BT33</f>
        <v>128.91508557044591</v>
      </c>
      <c r="BU36" s="1521">
        <f>BU32+BU33</f>
        <v>390.82298653080477</v>
      </c>
      <c r="BV36" s="1522"/>
      <c r="BW36" s="1519">
        <f>BW32+BW33</f>
        <v>80.161405264501198</v>
      </c>
      <c r="BX36" s="1520">
        <f>BX32+BX33</f>
        <v>111.14381221564055</v>
      </c>
      <c r="BY36" s="1520">
        <f>BY32+BY33</f>
        <v>118.14244441985635</v>
      </c>
      <c r="BZ36" s="1520">
        <f>BZ32+BZ33</f>
        <v>147.98979131093756</v>
      </c>
      <c r="CA36" s="1521">
        <f>CA32+CA33</f>
        <v>457.43745321093553</v>
      </c>
      <c r="CB36" s="1522"/>
      <c r="CC36" s="1519">
        <f>CC32+CC33</f>
        <v>93.478858050325002</v>
      </c>
      <c r="CD36" s="1520">
        <f>CD32+CD33</f>
        <v>136.40873863202208</v>
      </c>
      <c r="CE36" s="1520">
        <f>CE32+CE33</f>
        <v>144.72356346311301</v>
      </c>
      <c r="CF36" s="1520">
        <f>CF32+CF33</f>
        <v>179.61923786266368</v>
      </c>
      <c r="CG36" s="1521">
        <f>CG32+CG33</f>
        <v>554.23039800812364</v>
      </c>
      <c r="CH36" s="1522"/>
      <c r="CI36" s="1519">
        <f>CI32+CI33</f>
        <v>119.95410988597433</v>
      </c>
      <c r="CJ36" s="1520">
        <f>CJ32+CJ33</f>
        <v>143.4994836874765</v>
      </c>
      <c r="CK36" s="1520">
        <f>CK32+CK33</f>
        <v>151.70044630118269</v>
      </c>
      <c r="CL36" s="1520">
        <f>CL32+CL33</f>
        <v>186.84594385172164</v>
      </c>
      <c r="CM36" s="1521">
        <f>CM32+CM33</f>
        <v>601.99998372635491</v>
      </c>
      <c r="CN36" s="491"/>
      <c r="CO36" s="491"/>
      <c r="CP36" s="491"/>
      <c r="CQ36" s="491"/>
      <c r="CR36" s="491"/>
    </row>
    <row r="37" spans="1:105" collapsed="1">
      <c r="A37" s="1617" t="s">
        <v>50</v>
      </c>
      <c r="B37" s="133"/>
      <c r="C37" s="594">
        <f>SUM(C106:C113)*C49</f>
        <v>-14.79156</v>
      </c>
      <c r="D37" s="592">
        <f>SUM(D106:D113)*D49</f>
        <v>-2.4137799999999991</v>
      </c>
      <c r="E37" s="592">
        <f>SUM(E106:E113)*E49</f>
        <v>-7.1671799999999992</v>
      </c>
      <c r="F37" s="592">
        <f>SUM(F106:F113)*F49</f>
        <v>3.5704499999999997</v>
      </c>
      <c r="G37" s="584">
        <f>SUM(C37:F37)</f>
        <v>-20.802069999999997</v>
      </c>
      <c r="H37" s="615"/>
      <c r="I37" s="594">
        <f>SUM(I106:I113)*I49</f>
        <v>-9.4767200000000003</v>
      </c>
      <c r="J37" s="592">
        <f>SUM(J106:J113)*J49</f>
        <v>-9.5410400000000006</v>
      </c>
      <c r="K37" s="592">
        <f>SUM(K106:K113)*K49</f>
        <v>-8.2995416095243964E-16</v>
      </c>
      <c r="L37" s="592">
        <f>SUM(L106:L113)*L49</f>
        <v>-19.960889999999999</v>
      </c>
      <c r="M37" s="584">
        <f>SUM(I37:L37)</f>
        <v>-38.978650000000002</v>
      </c>
      <c r="N37" s="615"/>
      <c r="O37" s="594">
        <f>SUM(O106:O113)*O49</f>
        <v>-15.151760000000001</v>
      </c>
      <c r="P37" s="592">
        <f>SUM(P106:P113)*P49</f>
        <v>-9.3014399999999995</v>
      </c>
      <c r="Q37" s="592">
        <f>SUM(Q106:Q113)*Q49</f>
        <v>-18.662560000000003</v>
      </c>
      <c r="R37" s="593">
        <f>SUM(S106:S113)*S49-O37-P37-Q37</f>
        <v>-7.0179399999999923</v>
      </c>
      <c r="S37" s="584">
        <f>SUM(O37:R37)</f>
        <v>-50.133700000000005</v>
      </c>
      <c r="T37" s="615"/>
      <c r="U37" s="592">
        <f>SUM(U106:U113)*U49</f>
        <v>-10.61379</v>
      </c>
      <c r="V37" s="592">
        <f>SUM(V106:V113)*V49</f>
        <v>9.4643200000000025</v>
      </c>
      <c r="W37" s="592">
        <f>SUM(W106:W113)*W49</f>
        <v>-10.638629999999999</v>
      </c>
      <c r="X37" s="593">
        <f>SUM(Y106:Y113)*Y49-U37-V37-W37</f>
        <v>-9.4486600000000038</v>
      </c>
      <c r="Y37" s="584">
        <f>SUM(U37:X37)</f>
        <v>-21.23676</v>
      </c>
      <c r="Z37" s="615"/>
      <c r="AA37" s="592">
        <f>SUM(AA106:AA113)*AA49</f>
        <v>-12.6654</v>
      </c>
      <c r="AB37" s="592">
        <f>SUM(AB106:AB113)*AB49</f>
        <v>-20.45214</v>
      </c>
      <c r="AC37" s="592">
        <f>SUM(AC106:AC113)*AC49</f>
        <v>-20.416499999999999</v>
      </c>
      <c r="AD37" s="592">
        <f>SUM(AE106:AE113)*AE49-AA37-AB37-AC37</f>
        <v>-154.83708000000001</v>
      </c>
      <c r="AE37" s="584">
        <f>SUM(AA37:AD37)</f>
        <v>-208.37112000000002</v>
      </c>
      <c r="AF37" s="615"/>
      <c r="AG37" s="592">
        <f>SUM(AG106:AG113)*AG49</f>
        <v>-27.388560000000002</v>
      </c>
      <c r="AH37" s="592">
        <f>SUM(AH106:AH113)*AH49</f>
        <v>-27.498720000000006</v>
      </c>
      <c r="AI37" s="592">
        <f>SUM(AI106:AI113)*AI49</f>
        <v>-22.999600000000001</v>
      </c>
      <c r="AJ37" s="592">
        <f>SUM(AJ106:AJ113)*AJ49</f>
        <v>-90.86536000000001</v>
      </c>
      <c r="AK37" s="584">
        <f>SUM(AG37:AJ37)</f>
        <v>-168.75224000000003</v>
      </c>
      <c r="AL37" s="615"/>
      <c r="AM37" s="592">
        <f>SUM(AM106:AM113)*AM49</f>
        <v>-9.2242800000000003</v>
      </c>
      <c r="AN37" s="592">
        <f>SUM(AN106:AN113)*AN49</f>
        <v>-29.306680000000004</v>
      </c>
      <c r="AO37" s="592">
        <f>SUM(AO106:AO113)*AO49</f>
        <v>-14.569212000000002</v>
      </c>
      <c r="AP37" s="592">
        <f>SUM(AP106:AP113)*AP49</f>
        <v>-16.679061000000001</v>
      </c>
      <c r="AQ37" s="584">
        <f>SUM(AM37:AP37)</f>
        <v>-69.779233000000005</v>
      </c>
      <c r="AR37" s="624"/>
      <c r="AS37" s="594">
        <f>SUM(AS106:AS113)*AS49</f>
        <v>-18.039320000000004</v>
      </c>
      <c r="AT37" s="592">
        <f>SUM(AT106:AT113)*AT49</f>
        <v>-14.816230000000001</v>
      </c>
      <c r="AU37" s="592">
        <f>SUM(AU106:AU113)*AU49</f>
        <v>-20.47662</v>
      </c>
      <c r="AV37" s="592">
        <f>SUM(AV106:AV113)*AV49</f>
        <v>-65.799839999999989</v>
      </c>
      <c r="AW37" s="584">
        <f>SUM(AS37:AV37)</f>
        <v>-119.13200999999999</v>
      </c>
      <c r="AX37" s="624"/>
      <c r="AY37" s="594">
        <f>SUM(AY106:AY113)*AY49</f>
        <v>-15.881460000000001</v>
      </c>
      <c r="AZ37" s="592">
        <f>SUM(AZ106:AZ113)*AZ49</f>
        <v>-17.906949999999998</v>
      </c>
      <c r="BA37" s="592">
        <f>SUM(BA106:BA113)*BA49</f>
        <v>-12.476420000000001</v>
      </c>
      <c r="BB37" s="592">
        <f>SUM(BB106:BB113)*BB49</f>
        <v>-26.943120000000008</v>
      </c>
      <c r="BC37" s="584">
        <f>SUM(AY37:BB37)</f>
        <v>-73.207950000000011</v>
      </c>
      <c r="BD37" s="624"/>
      <c r="BE37" s="594">
        <f>SUM(BE106:BE113)*BE49</f>
        <v>-13.343400000000003</v>
      </c>
      <c r="BF37" s="592">
        <f>SUM(BF106:BF113)*BF49</f>
        <v>-10.984400000000003</v>
      </c>
      <c r="BG37" s="592">
        <f>SUM(BG106:BG113)*BG49</f>
        <v>-16.511700000000001</v>
      </c>
      <c r="BH37" s="592">
        <f>SUM(BH106:BH113)*BH49</f>
        <v>-29.736990000000002</v>
      </c>
      <c r="BI37" s="584">
        <f>SUM(BE37:BH37)</f>
        <v>-70.576490000000007</v>
      </c>
      <c r="BJ37" s="624"/>
      <c r="BK37" s="594">
        <f>SUM(BK106:BK113)*BK49</f>
        <v>-24.244879999999995</v>
      </c>
      <c r="BL37" s="592">
        <f>SUM(BL106:BL113)*BL49</f>
        <v>-11.0762</v>
      </c>
      <c r="BM37" s="592">
        <f>SUM(BM106:BM113)*BM49</f>
        <v>15.539020000000001</v>
      </c>
      <c r="BN37" s="592">
        <f>SUM(BN106:BN113)*BN49</f>
        <v>-147.14963999999992</v>
      </c>
      <c r="BO37" s="584">
        <f>SUM(BK37:BN37)</f>
        <v>-166.93169999999992</v>
      </c>
      <c r="BP37" s="624"/>
      <c r="BQ37" s="594">
        <f>SUM(BQ106:BQ113)*BQ49</f>
        <v>-15.550431206099995</v>
      </c>
      <c r="BR37" s="592">
        <f>SUM(BR106:BR113)*BR49</f>
        <v>-15.553410906493857</v>
      </c>
      <c r="BS37" s="592">
        <f>SUM(BS106:BS113)*BS49</f>
        <v>-15.550414202880434</v>
      </c>
      <c r="BT37" s="592">
        <f>SUM(BT106:BT113)*BT49</f>
        <v>-15.543019286418302</v>
      </c>
      <c r="BU37" s="584">
        <f>SUM(BQ37:BT37)</f>
        <v>-62.197275601892585</v>
      </c>
      <c r="BV37" s="624"/>
      <c r="BW37" s="594">
        <f>SUM(BW106:BW113)*BW49</f>
        <v>-15.510109191154003</v>
      </c>
      <c r="BX37" s="592">
        <f>SUM(BX106:BX113)*BX49</f>
        <v>-15.490582252020022</v>
      </c>
      <c r="BY37" s="592">
        <f>SUM(BY106:BY113)*BY49</f>
        <v>-15.465755213016321</v>
      </c>
      <c r="BZ37" s="592">
        <f>SUM(BZ106:BZ113)*BZ49</f>
        <v>-15.437207186001084</v>
      </c>
      <c r="CA37" s="584">
        <f>SUM(BW37:BZ37)</f>
        <v>-61.903653842191432</v>
      </c>
      <c r="CB37" s="624"/>
      <c r="CC37" s="594">
        <f>SUM(CC106:CC113)*CC49</f>
        <v>-15.407898970706549</v>
      </c>
      <c r="CD37" s="592">
        <f>SUM(CD106:CD113)*CD49</f>
        <v>-15.405999774294267</v>
      </c>
      <c r="CE37" s="592">
        <f>SUM(CE106:CE113)*CE49</f>
        <v>-15.395674914677569</v>
      </c>
      <c r="CF37" s="592">
        <f>SUM(CF106:CF113)*CF49</f>
        <v>-15.379337356081338</v>
      </c>
      <c r="CG37" s="584">
        <f>SUM(CC37:CF37)</f>
        <v>-61.58891101575972</v>
      </c>
      <c r="CH37" s="624"/>
      <c r="CI37" s="594">
        <f>SUM(CI106:CI113)*CI49</f>
        <v>-15.361381003723064</v>
      </c>
      <c r="CJ37" s="592">
        <f>SUM(CJ106:CJ113)*CJ49</f>
        <v>-15.394177915480693</v>
      </c>
      <c r="CK37" s="592">
        <f>SUM(CK106:CK113)*CK49</f>
        <v>-15.411579700076285</v>
      </c>
      <c r="CL37" s="592">
        <f>SUM(CL106:CL113)*CL49</f>
        <v>-15.417829494931524</v>
      </c>
      <c r="CM37" s="584">
        <f>SUM(CI37:CL37)</f>
        <v>-61.584968114211563</v>
      </c>
      <c r="CN37" s="36"/>
      <c r="CO37" s="36"/>
      <c r="CP37" s="36"/>
      <c r="CQ37" s="36"/>
      <c r="CR37" s="36"/>
      <c r="DA37" s="213"/>
    </row>
    <row r="38" spans="1:105" ht="13.5" hidden="1" customHeight="1" outlineLevel="1">
      <c r="A38" s="1615" t="s">
        <v>435</v>
      </c>
      <c r="B38" s="492"/>
      <c r="C38" s="611">
        <f>C36+C37</f>
        <v>16.41399999999998</v>
      </c>
      <c r="D38" s="607">
        <f>D36+D37</f>
        <v>34.700999999999979</v>
      </c>
      <c r="E38" s="607">
        <f>E36+E37</f>
        <v>32.980000000000025</v>
      </c>
      <c r="F38" s="607">
        <f>F36+F37</f>
        <v>53.831000000000039</v>
      </c>
      <c r="G38" s="609">
        <f>G36+G37</f>
        <v>137.92599999999996</v>
      </c>
      <c r="H38" s="610"/>
      <c r="I38" s="611">
        <f>I36+I37</f>
        <v>20.487999999999985</v>
      </c>
      <c r="J38" s="607">
        <f>J36+J37</f>
        <v>23.736000000000061</v>
      </c>
      <c r="K38" s="607">
        <f>K36+K37</f>
        <v>52.643999999999998</v>
      </c>
      <c r="L38" s="607">
        <f>L36+L37</f>
        <v>36.47300000000002</v>
      </c>
      <c r="M38" s="609">
        <f>M36+M37</f>
        <v>133.34100000000007</v>
      </c>
      <c r="N38" s="610"/>
      <c r="O38" s="611">
        <f>O36+O37</f>
        <v>11.28500000000002</v>
      </c>
      <c r="P38" s="607">
        <f>P36+P37</f>
        <v>21.632999999999953</v>
      </c>
      <c r="Q38" s="607">
        <f>Q36+Q37</f>
        <v>14.386999999999997</v>
      </c>
      <c r="R38" s="608">
        <f>R36+R37</f>
        <v>39.107999999999876</v>
      </c>
      <c r="S38" s="609">
        <f>S36+S37</f>
        <v>86.41299999999984</v>
      </c>
      <c r="T38" s="610"/>
      <c r="U38" s="607">
        <f>U36+U37</f>
        <v>23.890999999999998</v>
      </c>
      <c r="V38" s="607">
        <f>V36+V37</f>
        <v>32.209999999999994</v>
      </c>
      <c r="W38" s="607">
        <f>W36+W37</f>
        <v>16.078000000000003</v>
      </c>
      <c r="X38" s="608">
        <f>X36+X37</f>
        <v>295.36200000000014</v>
      </c>
      <c r="Y38" s="609">
        <f>Y36+Y37</f>
        <v>367.54100000000017</v>
      </c>
      <c r="Z38" s="610"/>
      <c r="AA38" s="611">
        <f>AA36+AA37</f>
        <v>62.89500000000006</v>
      </c>
      <c r="AB38" s="607">
        <f>AB36+AB37</f>
        <v>68.643000000000086</v>
      </c>
      <c r="AC38" s="607">
        <f>AC36+AC37</f>
        <v>73.58599999999997</v>
      </c>
      <c r="AD38" s="607">
        <f>AD36+AD37</f>
        <v>-85.264000000000223</v>
      </c>
      <c r="AE38" s="609">
        <f>AE36+AE37</f>
        <v>119.85999999999967</v>
      </c>
      <c r="AF38" s="610"/>
      <c r="AG38" s="611">
        <f>AG36+AG37</f>
        <v>22.672000000000072</v>
      </c>
      <c r="AH38" s="607">
        <f>AH36+AH37</f>
        <v>33.102000000000032</v>
      </c>
      <c r="AI38" s="607">
        <f>AI36+AI37</f>
        <v>29.680000000000014</v>
      </c>
      <c r="AJ38" s="607">
        <f>AJ36+AJ37</f>
        <v>-15.597999999999914</v>
      </c>
      <c r="AK38" s="609">
        <f>AK36+AK37</f>
        <v>69.855999999999625</v>
      </c>
      <c r="AL38" s="610"/>
      <c r="AM38" s="607">
        <f>AM36+AM37</f>
        <v>31.994</v>
      </c>
      <c r="AN38" s="607">
        <f>AN36+AN37</f>
        <v>27.762000000000068</v>
      </c>
      <c r="AO38" s="607">
        <f>AO36+AO37</f>
        <v>40.462870660000064</v>
      </c>
      <c r="AP38" s="607">
        <f>AP36+AP37</f>
        <v>64.519000000000091</v>
      </c>
      <c r="AQ38" s="609">
        <f>AQ36+AQ37</f>
        <v>164.73787065999986</v>
      </c>
      <c r="AR38" s="633"/>
      <c r="AS38" s="611">
        <f>AS36+AS37</f>
        <v>33.88804800000031</v>
      </c>
      <c r="AT38" s="607">
        <f>AT36+AT37</f>
        <v>49.645607000000012</v>
      </c>
      <c r="AU38" s="607">
        <f>AU36+AU37</f>
        <v>42.556346200000078</v>
      </c>
      <c r="AV38" s="607">
        <f>AV36+AV37</f>
        <v>29.898246116800209</v>
      </c>
      <c r="AW38" s="609">
        <f>AW36+AW37</f>
        <v>155.98824731680077</v>
      </c>
      <c r="AX38" s="633"/>
      <c r="AY38" s="611">
        <f>AY36+AY37</f>
        <v>40.589000000000041</v>
      </c>
      <c r="AZ38" s="607">
        <f>AZ36+AZ37</f>
        <v>43.082000000000008</v>
      </c>
      <c r="BA38" s="607">
        <f>BA36+BA37</f>
        <v>48.298560000000023</v>
      </c>
      <c r="BB38" s="607">
        <f>BB36+BB37</f>
        <v>64.561060000000069</v>
      </c>
      <c r="BC38" s="609">
        <f>BC36+BC37</f>
        <v>196.53061999999986</v>
      </c>
      <c r="BD38" s="633"/>
      <c r="BE38" s="611">
        <f>BE36+BE37</f>
        <v>42.773999999999987</v>
      </c>
      <c r="BF38" s="607">
        <f>BF36+BF37</f>
        <v>60.659000000000027</v>
      </c>
      <c r="BG38" s="607">
        <f>BG36+BG37</f>
        <v>54.617999999999981</v>
      </c>
      <c r="BH38" s="607">
        <f>BH36+BH37</f>
        <v>66.616999999999976</v>
      </c>
      <c r="BI38" s="609">
        <f>BI36+BI37</f>
        <v>224.66799999999986</v>
      </c>
      <c r="BJ38" s="633"/>
      <c r="BK38" s="611">
        <f>BK36+BK37</f>
        <v>38.588999999999935</v>
      </c>
      <c r="BL38" s="607">
        <f>BL36+BL37</f>
        <v>204.06800000000007</v>
      </c>
      <c r="BM38" s="607">
        <f>BM36+BM37</f>
        <v>91.095909999999975</v>
      </c>
      <c r="BN38" s="607">
        <f>BN36+BN37</f>
        <v>-41.209000000000003</v>
      </c>
      <c r="BO38" s="609">
        <f>BO36+BO37</f>
        <v>292.54390999999981</v>
      </c>
      <c r="BP38" s="633"/>
      <c r="BQ38" s="611">
        <f>BQ36+BQ37</f>
        <v>50.385582433852939</v>
      </c>
      <c r="BR38" s="607">
        <f>BR36+BR37</f>
        <v>79.225832987974755</v>
      </c>
      <c r="BS38" s="607">
        <f>BS36+BS37</f>
        <v>85.642229223056916</v>
      </c>
      <c r="BT38" s="607">
        <f>BT36+BT37</f>
        <v>113.37206628402761</v>
      </c>
      <c r="BU38" s="609">
        <f>BU36+BU37</f>
        <v>328.62571092891221</v>
      </c>
      <c r="BV38" s="633"/>
      <c r="BW38" s="611">
        <f>BW36+BW37</f>
        <v>64.651296073347197</v>
      </c>
      <c r="BX38" s="607">
        <f>BX36+BX37</f>
        <v>95.653229963620532</v>
      </c>
      <c r="BY38" s="607">
        <f>BY36+BY37</f>
        <v>102.67668920684002</v>
      </c>
      <c r="BZ38" s="607">
        <f>BZ36+BZ37</f>
        <v>132.55258412493649</v>
      </c>
      <c r="CA38" s="609">
        <f>CA36+CA37</f>
        <v>395.5337993687441</v>
      </c>
      <c r="CB38" s="633"/>
      <c r="CC38" s="611">
        <f>CC36+CC37</f>
        <v>78.070959079618447</v>
      </c>
      <c r="CD38" s="607">
        <f>CD36+CD37</f>
        <v>121.00273885772781</v>
      </c>
      <c r="CE38" s="607">
        <f>CE36+CE37</f>
        <v>129.32788854843545</v>
      </c>
      <c r="CF38" s="607">
        <f>CF36+CF37</f>
        <v>164.23990050658233</v>
      </c>
      <c r="CG38" s="609">
        <f>CG36+CG37</f>
        <v>492.64148699236392</v>
      </c>
      <c r="CH38" s="633"/>
      <c r="CI38" s="611">
        <f>CI36+CI37</f>
        <v>104.59272888225127</v>
      </c>
      <c r="CJ38" s="607">
        <f>CJ36+CJ37</f>
        <v>128.1053057719958</v>
      </c>
      <c r="CK38" s="607">
        <f>CK36+CK37</f>
        <v>136.28886660110641</v>
      </c>
      <c r="CL38" s="607">
        <f>CL36+CL37</f>
        <v>171.4281143567901</v>
      </c>
      <c r="CM38" s="609">
        <f>CM36+CM37</f>
        <v>540.41501561214341</v>
      </c>
      <c r="CN38" s="491"/>
      <c r="CO38" s="491"/>
      <c r="CP38" s="491"/>
      <c r="CQ38" s="491"/>
      <c r="CR38" s="491"/>
      <c r="DA38" s="213"/>
    </row>
    <row r="39" spans="1:105" hidden="1" outlineLevel="1">
      <c r="A39" s="1768" t="s">
        <v>192</v>
      </c>
      <c r="B39" s="1769"/>
      <c r="C39" s="1770">
        <f>C38/C49</f>
        <v>0.13316242505861434</v>
      </c>
      <c r="D39" s="1771">
        <f>D38/D49</f>
        <v>0.28752413227386076</v>
      </c>
      <c r="E39" s="1771">
        <f>E38/E49</f>
        <v>0.27609185202548303</v>
      </c>
      <c r="F39" s="1771">
        <f>F38/F49</f>
        <v>0.45230433138680032</v>
      </c>
      <c r="G39" s="1772">
        <f>G38/G49</f>
        <v>1.1436175946270881</v>
      </c>
      <c r="H39" s="1773"/>
      <c r="I39" s="1770">
        <f>I38/I49</f>
        <v>0.17295435551541027</v>
      </c>
      <c r="J39" s="1771">
        <f>J38/J49</f>
        <v>0.1990223288027306</v>
      </c>
      <c r="K39" s="1771">
        <f>K38/K49</f>
        <v>0.440134103620965</v>
      </c>
      <c r="L39" s="1771">
        <f>L38/L49</f>
        <v>0.31062793292283075</v>
      </c>
      <c r="M39" s="1772">
        <f t="shared" ref="M39:S39" si="47">M38/M49</f>
        <v>1.1234676080783916</v>
      </c>
      <c r="N39" s="1773"/>
      <c r="O39" s="1770">
        <f t="shared" si="47"/>
        <v>9.6823735328437258E-2</v>
      </c>
      <c r="P39" s="1771">
        <f t="shared" si="47"/>
        <v>0.18606151305604252</v>
      </c>
      <c r="Q39" s="1771">
        <f t="shared" si="47"/>
        <v>0.12334427859843448</v>
      </c>
      <c r="R39" s="1774">
        <f t="shared" si="47"/>
        <v>0.33454234388366016</v>
      </c>
      <c r="S39" s="1772">
        <f t="shared" si="47"/>
        <v>0.74116991165622981</v>
      </c>
      <c r="T39" s="1773"/>
      <c r="U39" s="1770">
        <f>U38/U49</f>
        <v>0.20258456215922868</v>
      </c>
      <c r="V39" s="1771">
        <f>V38/V49</f>
        <v>0.27226467406004862</v>
      </c>
      <c r="W39" s="1771">
        <f>W38/W49</f>
        <v>0.13601563359191929</v>
      </c>
      <c r="X39" s="1774">
        <f>X38/X49</f>
        <v>2.5139972933175598</v>
      </c>
      <c r="Y39" s="1772">
        <f t="shared" ref="Y39:AE39" si="48">Y38/Y49</f>
        <v>3.1152294417792561</v>
      </c>
      <c r="Z39" s="1773"/>
      <c r="AA39" s="1770">
        <f t="shared" si="48"/>
        <v>0.54624804585721787</v>
      </c>
      <c r="AB39" s="1771">
        <f t="shared" si="48"/>
        <v>0.60412944562280602</v>
      </c>
      <c r="AC39" s="1771">
        <f t="shared" si="48"/>
        <v>0.64876350011020478</v>
      </c>
      <c r="AD39" s="1771">
        <f t="shared" si="48"/>
        <v>-0.7565102433744153</v>
      </c>
      <c r="AE39" s="1772">
        <f t="shared" si="48"/>
        <v>1.052659312864467</v>
      </c>
      <c r="AF39" s="1775"/>
      <c r="AG39" s="1770">
        <f>AG38/AG49</f>
        <v>0.19866980958473235</v>
      </c>
      <c r="AH39" s="1771">
        <f>AH38/AH49</f>
        <v>0.28890362896891231</v>
      </c>
      <c r="AI39" s="1771">
        <f>AI38/AI49</f>
        <v>0.25809144506860998</v>
      </c>
      <c r="AJ39" s="1771">
        <f>AJ38/AJ49</f>
        <v>-0.13629849702901009</v>
      </c>
      <c r="AK39" s="1772">
        <f>AK38/AK49</f>
        <v>0.6081838760229813</v>
      </c>
      <c r="AL39" s="1773">
        <v>0.61</v>
      </c>
      <c r="AM39" s="1770">
        <f>AM38/AM49</f>
        <v>0.27889745109662123</v>
      </c>
      <c r="AN39" s="1771">
        <f>AN38/AN49</f>
        <v>0.24629606628932441</v>
      </c>
      <c r="AO39" s="1771">
        <f>AO38/AO49</f>
        <v>0.35771445573089394</v>
      </c>
      <c r="AP39" s="1771">
        <f>AP38/AP49</f>
        <v>0.56863470911222247</v>
      </c>
      <c r="AQ39" s="1772">
        <f>AQ38/AQ49</f>
        <v>1.4513966208822662</v>
      </c>
      <c r="AR39" s="1776"/>
      <c r="AS39" s="1770">
        <f>AS38/AS49</f>
        <v>0.29784620793306477</v>
      </c>
      <c r="AT39" s="1771">
        <f>AT38/AT49</f>
        <v>0.43559859086960728</v>
      </c>
      <c r="AU39" s="1771">
        <f>AU38/AU49</f>
        <v>0.37409212633725752</v>
      </c>
      <c r="AV39" s="1771">
        <f>AV38/AV49</f>
        <v>0.26354141207249321</v>
      </c>
      <c r="AW39" s="1772">
        <f>AW38/AW49</f>
        <v>1.3714578756345734</v>
      </c>
      <c r="AX39" s="1776"/>
      <c r="AY39" s="1777">
        <f>AY38/AY49</f>
        <v>0.35780463509022509</v>
      </c>
      <c r="AZ39" s="1778">
        <f>AZ38/AZ49</f>
        <v>0.37846670122020865</v>
      </c>
      <c r="BA39" s="1778">
        <f>BA38/BA49</f>
        <v>0.42583061487189455</v>
      </c>
      <c r="BB39" s="1771">
        <f>BB38/BB49</f>
        <v>0.57508760678050708</v>
      </c>
      <c r="BC39" s="1772">
        <f>BC38/BC49</f>
        <v>1.73437426642545</v>
      </c>
      <c r="BD39" s="1776"/>
      <c r="BE39" s="1777">
        <f>BE38/BE49</f>
        <v>0.38467556994469165</v>
      </c>
      <c r="BF39" s="1778">
        <f>BF38/BF49</f>
        <v>0.55222861512690757</v>
      </c>
      <c r="BG39" s="1778">
        <f>BG38/BG49</f>
        <v>0.49617543923399754</v>
      </c>
      <c r="BH39" s="1779">
        <f>BH38/BH49</f>
        <v>0.6048557705403268</v>
      </c>
      <c r="BI39" s="1772">
        <f>BI38/BI49</f>
        <v>2.036641193694305</v>
      </c>
      <c r="BJ39" s="1776"/>
      <c r="BK39" s="1777">
        <f>BK38/BK49</f>
        <v>0.35015970382200223</v>
      </c>
      <c r="BL39" s="1778">
        <f>BL38/BL49</f>
        <v>1.8424008233870828</v>
      </c>
      <c r="BM39" s="1778">
        <f>BM38/BM49</f>
        <v>0.82073563197679111</v>
      </c>
      <c r="BN39" s="1779">
        <f>BN38/BN49</f>
        <v>-0.3696636974443161</v>
      </c>
      <c r="BO39" s="1772">
        <f>BO38/BO49</f>
        <v>2.6388828151074772</v>
      </c>
      <c r="BP39" s="1776"/>
      <c r="BQ39" s="1777">
        <f>BQ38/BQ49</f>
        <v>0.4536196744159951</v>
      </c>
      <c r="BR39" s="1778">
        <f>BR38/BR49</f>
        <v>0.71313081644911047</v>
      </c>
      <c r="BS39" s="1778">
        <f>BS38/BS49</f>
        <v>0.77103490201611824</v>
      </c>
      <c r="BT39" s="1779">
        <f>BT38/BT49</f>
        <v>1.0211715617977202</v>
      </c>
      <c r="BU39" s="1772">
        <f>BU38/BU49</f>
        <v>2.9588176706986022</v>
      </c>
      <c r="BV39" s="1776"/>
      <c r="BW39" s="1777">
        <f>BW38/BW49</f>
        <v>0.58356658478141699</v>
      </c>
      <c r="BX39" s="1778">
        <f>BX38/BX49</f>
        <v>0.86448991890931559</v>
      </c>
      <c r="BY39" s="1778">
        <f>BY38/BY49</f>
        <v>0.92945583910829688</v>
      </c>
      <c r="BZ39" s="1779">
        <f>BZ38/BZ49</f>
        <v>1.2021191109179044</v>
      </c>
      <c r="CA39" s="1772">
        <f>CA38/CA49</f>
        <v>3.5781236469684852</v>
      </c>
      <c r="CB39" s="1776"/>
      <c r="CC39" s="1777">
        <f>CC38/CC49</f>
        <v>0.70937214034999441</v>
      </c>
      <c r="CD39" s="1778">
        <f>CD38/CD49</f>
        <v>1.0995965006015274</v>
      </c>
      <c r="CE39" s="1778">
        <f>CE38/CE49</f>
        <v>1.176038367731419</v>
      </c>
      <c r="CF39" s="1779">
        <f>CF38/CF49</f>
        <v>1.4950960199744456</v>
      </c>
      <c r="CG39" s="1772">
        <f>CG38/CG49</f>
        <v>4.4793653299882212</v>
      </c>
      <c r="CH39" s="1776"/>
      <c r="CI39" s="1777">
        <f>CI38/CI49</f>
        <v>0.95323343910070502</v>
      </c>
      <c r="CJ39" s="1778">
        <f>CJ38/CJ49</f>
        <v>1.1650341386560095</v>
      </c>
      <c r="CK39" s="1778">
        <f>CK38/CK49</f>
        <v>1.2380587646093444</v>
      </c>
      <c r="CL39" s="1779">
        <f>CL38/CL49</f>
        <v>1.5566351941977552</v>
      </c>
      <c r="CM39" s="1772">
        <f>CM38/CM49</f>
        <v>4.9140629281736006</v>
      </c>
      <c r="CN39" s="54"/>
      <c r="CO39" s="54"/>
      <c r="CP39" s="54"/>
      <c r="CQ39" s="54"/>
      <c r="CR39" s="54"/>
      <c r="DA39" s="213"/>
    </row>
    <row r="40" spans="1:105" collapsed="1">
      <c r="A40" s="1768" t="s">
        <v>53</v>
      </c>
      <c r="B40" s="1769"/>
      <c r="C40" s="1770">
        <f>(C32)/C49</f>
        <v>0.25419274234766293</v>
      </c>
      <c r="D40" s="1771">
        <f>(D32)/D49</f>
        <v>0.30434240071588947</v>
      </c>
      <c r="E40" s="1771">
        <f>(E32)/E49</f>
        <v>0.33908047516596507</v>
      </c>
      <c r="F40" s="1771">
        <f>(F32)/F49</f>
        <v>0.42534596479435399</v>
      </c>
      <c r="G40" s="1772">
        <f>(G32)/G49</f>
        <v>1.3199292732473773</v>
      </c>
      <c r="H40" s="1773"/>
      <c r="I40" s="1770">
        <f>(I32)/I49</f>
        <v>0.2580278408563299</v>
      </c>
      <c r="J40" s="1771">
        <f>(J32)/J49</f>
        <v>0.32837543915548045</v>
      </c>
      <c r="K40" s="1771">
        <f>(K32)/K49</f>
        <v>0.35469738899246711</v>
      </c>
      <c r="L40" s="1771">
        <f>(L32)/L49</f>
        <v>0.51293160274917615</v>
      </c>
      <c r="M40" s="1772">
        <f>(M32)/M49</f>
        <v>1.4523970611777202</v>
      </c>
      <c r="N40" s="1773"/>
      <c r="O40" s="1770">
        <f>(O32)/O49</f>
        <v>0.26219850367218078</v>
      </c>
      <c r="P40" s="1771">
        <f>(P32)/P49</f>
        <v>0.28098393367048502</v>
      </c>
      <c r="Q40" s="1771">
        <f>(Q32)/Q49</f>
        <v>0.2811066434615615</v>
      </c>
      <c r="R40" s="1771">
        <f>(R32)/R49</f>
        <v>0.25034165953806564</v>
      </c>
      <c r="S40" s="1772">
        <f>(S32)/S49</f>
        <v>1.0745578523029407</v>
      </c>
      <c r="T40" s="1773"/>
      <c r="U40" s="1770">
        <f>(U32)/U49</f>
        <v>0.25226437493110376</v>
      </c>
      <c r="V40" s="1771">
        <f>(V32)/V49</f>
        <v>0.10381457938869348</v>
      </c>
      <c r="W40" s="1771">
        <f>(W32)/W49</f>
        <v>0.33729499945011721</v>
      </c>
      <c r="X40" s="1771">
        <f>(X32)/X49</f>
        <v>0.46644020189467844</v>
      </c>
      <c r="Y40" s="1772">
        <f>(Y32)/Y49</f>
        <v>1.1586747130918287</v>
      </c>
      <c r="Z40" s="1773"/>
      <c r="AA40" s="1770">
        <f>(AA32)/AA49</f>
        <v>0.67690116380059107</v>
      </c>
      <c r="AB40" s="1771">
        <f>(AB32)/AB49</f>
        <v>0.77832076252167326</v>
      </c>
      <c r="AC40" s="1771">
        <f>(AC32)/AC49</f>
        <v>0.75278377782675754</v>
      </c>
      <c r="AD40" s="1771">
        <f>(AD32)/AD49</f>
        <v>0.62099142023121723</v>
      </c>
      <c r="AE40" s="1772">
        <f>(AE32)/AE49</f>
        <v>2.8257229677509983</v>
      </c>
      <c r="AF40" s="1775"/>
      <c r="AG40" s="1770">
        <f>(AG32)/AG49</f>
        <v>0.4343497577090587</v>
      </c>
      <c r="AH40" s="1771">
        <f>(AH32)/AH49</f>
        <v>0.52833632983644363</v>
      </c>
      <c r="AI40" s="1771">
        <f>(AI32)/AI49</f>
        <v>0.45283048400841769</v>
      </c>
      <c r="AJ40" s="1771">
        <f>(AJ32)/AJ49</f>
        <v>0.65476546662006374</v>
      </c>
      <c r="AK40" s="1772">
        <f>(AK32)/AK49</f>
        <v>2.0643325787915692</v>
      </c>
      <c r="AL40" s="1773">
        <v>2.06</v>
      </c>
      <c r="AM40" s="1770">
        <f>(AM32)/AM49</f>
        <v>0.36137313016492906</v>
      </c>
      <c r="AN40" s="1771">
        <f>(AN32)/AN49</f>
        <v>0.51098919427243272</v>
      </c>
      <c r="AO40" s="1771">
        <f>(AO32)/AO49</f>
        <v>0.49605342050126039</v>
      </c>
      <c r="AP40" s="1771">
        <f>(AP32)/AP49</f>
        <v>0.72909284083798331</v>
      </c>
      <c r="AQ40" s="1772">
        <f>(AQ32)/AQ49</f>
        <v>2.095883841484365</v>
      </c>
      <c r="AR40" s="1776"/>
      <c r="AS40" s="1770">
        <f>(AS32)/AS49</f>
        <v>0.46937753676050792</v>
      </c>
      <c r="AT40" s="1771">
        <f>(AT32)/AT49</f>
        <v>0.59419358433285674</v>
      </c>
      <c r="AU40" s="1771">
        <f>(AU32)/AU49</f>
        <v>0.56793718475021826</v>
      </c>
      <c r="AV40" s="1771">
        <f>(AV32)/AV49</f>
        <v>0.85005540967491899</v>
      </c>
      <c r="AW40" s="1772">
        <f>(AW32)/AW49</f>
        <v>2.4808575538452136</v>
      </c>
      <c r="AX40" s="1776"/>
      <c r="AY40" s="1770">
        <f>(AY32)/AY49</f>
        <v>0.4351365932351311</v>
      </c>
      <c r="AZ40" s="1771">
        <f>(AZ32)/AZ49</f>
        <v>0.53514314829618825</v>
      </c>
      <c r="BA40" s="1771">
        <f>(BA32)/BA49</f>
        <v>0.53544268307735743</v>
      </c>
      <c r="BB40" s="1771">
        <f>(BB32)/BB49</f>
        <v>0.81323481467625192</v>
      </c>
      <c r="BC40" s="1772">
        <f>(BC32)/BC49</f>
        <v>2.3148353704275682</v>
      </c>
      <c r="BD40" s="1776"/>
      <c r="BE40" s="1770">
        <f>(BE32)/BE49</f>
        <v>0.50497234587886142</v>
      </c>
      <c r="BF40" s="1771">
        <f>(BF32)/BF49</f>
        <v>0.62809438840537524</v>
      </c>
      <c r="BG40" s="1771">
        <f>(BG32)/BG49</f>
        <v>0.63816293900688581</v>
      </c>
      <c r="BH40" s="1771">
        <f>(BH32)/BH49</f>
        <v>0.83154607443456774</v>
      </c>
      <c r="BI40" s="1772">
        <f>(BI32)/BI49</f>
        <v>2.6014566732841993</v>
      </c>
      <c r="BJ40" s="1776"/>
      <c r="BK40" s="1770">
        <f>(BK32)/BK49</f>
        <v>0.5471024645203435</v>
      </c>
      <c r="BL40" s="1771">
        <f>(BL32)/BL49</f>
        <v>0.66630432819920238</v>
      </c>
      <c r="BM40" s="1771">
        <f>(BM32)/BM49</f>
        <v>0.72999999999999987</v>
      </c>
      <c r="BN40" s="1771">
        <f>(BN32)/BN49</f>
        <v>0.97431434286893237</v>
      </c>
      <c r="BO40" s="1772">
        <f>(BO32)/BO49</f>
        <v>2.9202194679728275</v>
      </c>
      <c r="BP40" s="1776"/>
      <c r="BQ40" s="1770">
        <f>(BQ32)/BQ49</f>
        <v>0.61768460194374131</v>
      </c>
      <c r="BR40" s="1771">
        <f>(BR32)/BR49</f>
        <v>0.87719113365218493</v>
      </c>
      <c r="BS40" s="1771">
        <f>(BS32)/BS49</f>
        <v>0.93509985585707012</v>
      </c>
      <c r="BT40" s="1771">
        <f>(BT32)/BT49</f>
        <v>1.1852479650437098</v>
      </c>
      <c r="BU40" s="1772">
        <f>(BU32)/BU49</f>
        <v>3.6150842666557055</v>
      </c>
      <c r="BV40" s="1776"/>
      <c r="BW40" s="1770">
        <f>(BW32)/BW49</f>
        <v>0.7476940744971845</v>
      </c>
      <c r="BX40" s="1771">
        <f>(BX32)/BX49</f>
        <v>1.0286478229772018</v>
      </c>
      <c r="BY40" s="1771">
        <f>(BY32)/BY49</f>
        <v>1.093652523644274</v>
      </c>
      <c r="BZ40" s="1771">
        <f>(BZ32)/BZ49</f>
        <v>1.3663605423822272</v>
      </c>
      <c r="CA40" s="1772">
        <f>(CA32)/CA49</f>
        <v>4.2348468551859471</v>
      </c>
      <c r="CB40" s="1776"/>
      <c r="CC40" s="1770">
        <f>(CC32)/CC49</f>
        <v>0.87365968277946304</v>
      </c>
      <c r="CD40" s="1771">
        <f>(CD32)/CD49</f>
        <v>1.2638870371121409</v>
      </c>
      <c r="CE40" s="1771">
        <f>(CE32)/CE49</f>
        <v>1.3403451942962767</v>
      </c>
      <c r="CF40" s="1771">
        <f>(CF32)/CF49</f>
        <v>1.6594286678210726</v>
      </c>
      <c r="CG40" s="1772">
        <f>(CG32)/CG49</f>
        <v>5.1365828306916823</v>
      </c>
      <c r="CH40" s="1776"/>
      <c r="CI40" s="1770">
        <f>(CI32)/CI49</f>
        <v>1.1175945300670251</v>
      </c>
      <c r="CJ40" s="1771">
        <f>(CJ32)/CJ49</f>
        <v>1.329343328926162</v>
      </c>
      <c r="CK40" s="1771">
        <f>(CK32)/CK49</f>
        <v>1.4023405064737522</v>
      </c>
      <c r="CL40" s="1771">
        <f>(CL32)/CL49</f>
        <v>1.7209070931782846</v>
      </c>
      <c r="CM40" s="1772">
        <f>(CM32)/CM49</f>
        <v>5.5712866531075145</v>
      </c>
      <c r="CN40" s="256"/>
      <c r="CO40" s="256"/>
      <c r="CP40" s="256"/>
      <c r="CQ40" s="256"/>
      <c r="CR40" s="256"/>
      <c r="CZ40" s="1558"/>
      <c r="DA40" s="213"/>
    </row>
    <row r="41" spans="1:105" ht="12.75" hidden="1" customHeight="1" outlineLevel="1">
      <c r="A41" s="1618" t="s">
        <v>52</v>
      </c>
      <c r="B41" s="218"/>
      <c r="C41" s="634">
        <f>(C32+C37)/C49</f>
        <v>0.13419274234766296</v>
      </c>
      <c r="D41" s="634">
        <f>(D32+D37)/D49</f>
        <v>0.28434240071588945</v>
      </c>
      <c r="E41" s="634">
        <f>(E32+E37)/E49</f>
        <v>0.27908047516596507</v>
      </c>
      <c r="F41" s="635">
        <f>(F32+F37)/F49</f>
        <v>0.45534596479435396</v>
      </c>
      <c r="G41" s="636">
        <f>(G32+G37)/G49</f>
        <v>1.1474482815803653</v>
      </c>
      <c r="H41" s="637"/>
      <c r="I41" s="634">
        <f>(I32+I37)/I49</f>
        <v>0.17802784085632989</v>
      </c>
      <c r="J41" s="634">
        <f>(J32+J37)/J49</f>
        <v>0.24837543915548044</v>
      </c>
      <c r="K41" s="634">
        <f>(K32+K37)/K49</f>
        <v>0.35469738899246711</v>
      </c>
      <c r="L41" s="635">
        <f>(L32+L37)/L49</f>
        <v>0.34293160274917617</v>
      </c>
      <c r="M41" s="636">
        <f>(M32+M37)/M49</f>
        <v>1.1239815649565668</v>
      </c>
      <c r="N41" s="637"/>
      <c r="O41" s="634">
        <f>(O32+O37)/O49</f>
        <v>0.13219850367218081</v>
      </c>
      <c r="P41" s="634">
        <f>(P32+P37)/P49</f>
        <v>0.20098393367048503</v>
      </c>
      <c r="Q41" s="634">
        <f>(Q32+Q37)/Q49</f>
        <v>0.12110664346156148</v>
      </c>
      <c r="R41" s="635">
        <f>(R32+R37)/R49</f>
        <v>0.19030795551753535</v>
      </c>
      <c r="S41" s="636">
        <f>(S32+S37)/S49</f>
        <v>0.6445578523029406</v>
      </c>
      <c r="T41" s="637"/>
      <c r="U41" s="634">
        <f>(U32+U37)/U49</f>
        <v>0.16226437493110374</v>
      </c>
      <c r="V41" s="634">
        <f>(V32+V37)/V49</f>
        <v>0.1838145793886935</v>
      </c>
      <c r="W41" s="634">
        <f>(W32+W37)/W49</f>
        <v>0.24729499945011724</v>
      </c>
      <c r="X41" s="635">
        <f>(X32+X37)/X49</f>
        <v>0.38601717636845001</v>
      </c>
      <c r="Y41" s="636">
        <f>(Y32+Y37)/Y49</f>
        <v>0.97867471309182863</v>
      </c>
      <c r="Z41" s="637"/>
      <c r="AA41" s="634">
        <f>(AA32+AA37)/AA49</f>
        <v>0.56690116380059108</v>
      </c>
      <c r="AB41" s="634">
        <f>(AB32+AB37)/AB49</f>
        <v>0.59832076252167332</v>
      </c>
      <c r="AC41" s="634">
        <f>(AC32+AC37)/AC49</f>
        <v>0.5727837778267576</v>
      </c>
      <c r="AD41" s="634">
        <f>(AD32+AD37)/AD49</f>
        <v>-0.75281038444817294</v>
      </c>
      <c r="AE41" s="636">
        <f>(AE32+AE37)/AE49</f>
        <v>0.99572296775099822</v>
      </c>
      <c r="AF41" s="638"/>
      <c r="AG41" s="639">
        <f>(AG32+AG37)/AG49</f>
        <v>0.19434975770905868</v>
      </c>
      <c r="AH41" s="634">
        <f>(AH32+AH37)/AH49</f>
        <v>0.28833632983644358</v>
      </c>
      <c r="AI41" s="634">
        <f>(AI32+AI37)/AI49</f>
        <v>0.25283048400841768</v>
      </c>
      <c r="AJ41" s="634">
        <f>(AJ32+AJ37)/AJ49</f>
        <v>-0.13923453337993633</v>
      </c>
      <c r="AK41" s="636">
        <f>(AK32+AK37)/AK49</f>
        <v>0.59513320564164751</v>
      </c>
      <c r="AL41" s="637">
        <v>0.6</v>
      </c>
      <c r="AM41" s="634">
        <f>(AM32+AM37)/AM49</f>
        <v>0.28096342271348379</v>
      </c>
      <c r="AN41" s="634">
        <f>(AN32+AN37)/AN49</f>
        <v>0.25098919427243266</v>
      </c>
      <c r="AO41" s="634">
        <f>(AO32+AO37)/AO49</f>
        <v>0.36725342050126036</v>
      </c>
      <c r="AP41" s="634">
        <f>(AP32+AP37)/AP49</f>
        <v>0.58209284083798329</v>
      </c>
      <c r="AQ41" s="636">
        <f>(AQ32+AQ37)/AQ49</f>
        <v>1.4811050867377944</v>
      </c>
      <c r="AR41" s="640"/>
      <c r="AS41" s="639">
        <f>(AS32+AS37)/AS49</f>
        <v>0.31082774198652019</v>
      </c>
      <c r="AT41" s="634">
        <f>(AT32+AT37)/AT49</f>
        <v>0.46419358433285668</v>
      </c>
      <c r="AU41" s="634">
        <f>(AU32+AU37)/AU49</f>
        <v>0.38793718475021827</v>
      </c>
      <c r="AV41" s="635">
        <f>(AV32+AV37)/AV49</f>
        <v>0.27005540967491903</v>
      </c>
      <c r="AW41" s="636">
        <f>(AW32+AW37)/AW49</f>
        <v>1.4334418916712892</v>
      </c>
      <c r="AX41" s="640"/>
      <c r="AY41" s="639">
        <f>(AY32+AY37)/AY49</f>
        <v>0.29513659323513108</v>
      </c>
      <c r="AZ41" s="634">
        <f>(AZ32+AZ37)/AZ49</f>
        <v>0.37783419570774734</v>
      </c>
      <c r="BA41" s="634">
        <f>(BA32+BA37)/BA49</f>
        <v>0.42544268307735739</v>
      </c>
      <c r="BB41" s="635">
        <f>(BB32+BB37)/BB49</f>
        <v>0.57323481467625192</v>
      </c>
      <c r="BC41" s="636">
        <f>(BC32+BC37)/BC49</f>
        <v>1.6687783612054881</v>
      </c>
      <c r="BD41" s="640"/>
      <c r="BE41" s="639">
        <f>(BE32+BE37)/BE49</f>
        <v>0.38497234587886137</v>
      </c>
      <c r="BF41" s="634">
        <f>(BF32+BF37)/BF49</f>
        <v>0.52809438840537526</v>
      </c>
      <c r="BG41" s="634">
        <f>(BG32+BG37)/BG49</f>
        <v>0.48816293900688579</v>
      </c>
      <c r="BH41" s="635">
        <f>(BH32+BH37)/BH49</f>
        <v>0.56154607443456772</v>
      </c>
      <c r="BI41" s="636">
        <f>(BI32+BI37)/BI49</f>
        <v>1.9616726949679537</v>
      </c>
      <c r="BJ41" s="640"/>
      <c r="BK41" s="639">
        <f>(BK32+BK37)/BK49</f>
        <v>0.32710246452034353</v>
      </c>
      <c r="BL41" s="634">
        <f>(BL32+BL37)/BL49</f>
        <v>0.5663043281992024</v>
      </c>
      <c r="BM41" s="634">
        <f>(BM32+BM37)/BM49</f>
        <v>0.87</v>
      </c>
      <c r="BN41" s="635">
        <f>(BN32+BN37)/BN49</f>
        <v>-0.34568565713106758</v>
      </c>
      <c r="BO41" s="636">
        <f>(BO32+BO37)/BO49</f>
        <v>1.4144175033150197</v>
      </c>
      <c r="BP41" s="640"/>
      <c r="BQ41" s="639">
        <f>(BQ32+BQ37)/BQ49</f>
        <v>0.4776846019437414</v>
      </c>
      <c r="BR41" s="634">
        <f>(BR32+BR37)/BR49</f>
        <v>0.73719113365218503</v>
      </c>
      <c r="BS41" s="634">
        <f>(BS32+BS37)/BS49</f>
        <v>0.7950998558570701</v>
      </c>
      <c r="BT41" s="635">
        <f>(BT32+BT37)/BT49</f>
        <v>1.0452479650437096</v>
      </c>
      <c r="BU41" s="636">
        <f>(BU32+BU37)/BU49</f>
        <v>3.0550842666557059</v>
      </c>
      <c r="BV41" s="640"/>
      <c r="BW41" s="639">
        <f>(BW32+BW37)/BW49</f>
        <v>0.60769407449718449</v>
      </c>
      <c r="BX41" s="634">
        <f>(BX32+BX37)/BX49</f>
        <v>0.8886478229772018</v>
      </c>
      <c r="BY41" s="634">
        <f>(BY32+BY37)/BY49</f>
        <v>0.95365252364427411</v>
      </c>
      <c r="BZ41" s="635">
        <f>(BZ32+BZ37)/BZ49</f>
        <v>1.2263605423822272</v>
      </c>
      <c r="CA41" s="636">
        <f>(CA32+CA37)/CA49</f>
        <v>3.6748468551859474</v>
      </c>
      <c r="CB41" s="640"/>
      <c r="CC41" s="639">
        <f>(CC32+CC37)/CC49</f>
        <v>0.73365968277946303</v>
      </c>
      <c r="CD41" s="634">
        <f>(CD32+CD37)/CD49</f>
        <v>1.123887037112141</v>
      </c>
      <c r="CE41" s="634">
        <f>(CE32+CE37)/CE49</f>
        <v>1.2003451942962768</v>
      </c>
      <c r="CF41" s="635">
        <f>(CF32+CF37)/CF49</f>
        <v>1.5194286678210724</v>
      </c>
      <c r="CG41" s="636">
        <f>(CG32+CG37)/CG49</f>
        <v>4.5765828306916827</v>
      </c>
      <c r="CH41" s="640"/>
      <c r="CI41" s="639">
        <f>(CI32+CI37)/CI49</f>
        <v>0.97759453006702524</v>
      </c>
      <c r="CJ41" s="634">
        <f>(CJ32+CJ37)/CJ49</f>
        <v>1.1893433289261621</v>
      </c>
      <c r="CK41" s="634">
        <f>(CK32+CK37)/CK49</f>
        <v>1.2623405064737521</v>
      </c>
      <c r="CL41" s="635">
        <f>(CL32+CL37)/CL49</f>
        <v>1.5809070931782845</v>
      </c>
      <c r="CM41" s="636">
        <f>(CM32+CM37)/CM49</f>
        <v>5.0112866531075149</v>
      </c>
      <c r="CN41" s="54"/>
      <c r="CO41" s="54"/>
      <c r="CP41" s="54"/>
      <c r="CQ41" s="54"/>
      <c r="CR41" s="54"/>
    </row>
    <row r="42" spans="1:105" ht="13.5" hidden="1" customHeight="1" outlineLevel="1">
      <c r="A42" s="1619" t="s">
        <v>194</v>
      </c>
      <c r="B42" s="1489" t="s">
        <v>79</v>
      </c>
      <c r="C42" s="1490">
        <f>(C32+C33)/C49</f>
        <v>0.25316242505861436</v>
      </c>
      <c r="D42" s="1490">
        <f>(D32+D33)/D49</f>
        <v>0.30752413227386077</v>
      </c>
      <c r="E42" s="1490">
        <f>(E32+E33)/E49</f>
        <v>0.33609185202548303</v>
      </c>
      <c r="F42" s="1491">
        <f>(F32+F33)/F49</f>
        <v>0.42230433138680029</v>
      </c>
      <c r="G42" s="1492">
        <f>(G32+G33)/G49</f>
        <v>1.3160985862941001</v>
      </c>
      <c r="H42" s="1493"/>
      <c r="I42" s="1490">
        <f>(I32+I33)/I49</f>
        <v>0.25295435551541029</v>
      </c>
      <c r="J42" s="1490">
        <f>(J32+J33)/J49</f>
        <v>0.27902232880273065</v>
      </c>
      <c r="K42" s="1490">
        <f>(K32+K33)/K49</f>
        <v>0.440134103620965</v>
      </c>
      <c r="L42" s="1491">
        <f>(L32+L33)/L49</f>
        <v>0.48062793292283074</v>
      </c>
      <c r="M42" s="1492">
        <f>(M32+M33)/M49</f>
        <v>1.4518831042995446</v>
      </c>
      <c r="N42" s="1493"/>
      <c r="O42" s="1490">
        <f>(O32+O33)/O49</f>
        <v>0.22682373532843725</v>
      </c>
      <c r="P42" s="1490">
        <f>(P32+P33)/P49</f>
        <v>0.26606151305604253</v>
      </c>
      <c r="Q42" s="1490">
        <f>(Q32+Q33)/Q49</f>
        <v>0.28334427859843447</v>
      </c>
      <c r="R42" s="1491">
        <f>(R32+R33)/R49</f>
        <v>0.39457604790419049</v>
      </c>
      <c r="S42" s="1492">
        <f>(S32+S33)/S49</f>
        <v>1.17116991165623</v>
      </c>
      <c r="T42" s="1493"/>
      <c r="U42" s="1490">
        <f>(U32+U33)/U49</f>
        <v>0.29258456215922873</v>
      </c>
      <c r="V42" s="1490">
        <f>(V32+V33)/V49</f>
        <v>0.19226467406004863</v>
      </c>
      <c r="W42" s="1490">
        <f>(W32+W33)/W49</f>
        <v>0.22601563359191928</v>
      </c>
      <c r="X42" s="1491">
        <f>(X32+X33)/X49</f>
        <v>2.5944203188437882</v>
      </c>
      <c r="Y42" s="1492">
        <f>(Y32+Y33)/Y49</f>
        <v>3.2952294417792558</v>
      </c>
      <c r="Z42" s="1493"/>
      <c r="AA42" s="1490">
        <f>(AA32+AA33)/AA49</f>
        <v>0.65624804585721785</v>
      </c>
      <c r="AB42" s="1490">
        <f>(AB32+AB33)/AB49</f>
        <v>0.78412944562280595</v>
      </c>
      <c r="AC42" s="1490">
        <f>(AC32+AC33)/AC49</f>
        <v>0.82876350011020472</v>
      </c>
      <c r="AD42" s="1490">
        <f>(AD32+AD33)/AD49</f>
        <v>0.61729156130497476</v>
      </c>
      <c r="AE42" s="1492">
        <f>(AE32+AE33)/AE49</f>
        <v>2.8826593128644671</v>
      </c>
      <c r="AF42" s="1494"/>
      <c r="AG42" s="1495">
        <f>(AG32+AG33)/AG49</f>
        <v>0.4386698095847324</v>
      </c>
      <c r="AH42" s="1490">
        <f>(AH32+AH33)/AH49</f>
        <v>0.5289036289689123</v>
      </c>
      <c r="AI42" s="1490">
        <f>(AI32+AI33)/AI49</f>
        <v>0.45809144506860999</v>
      </c>
      <c r="AJ42" s="1491">
        <f>(AJ32+AJ33)/AJ49</f>
        <v>0.65770150297099006</v>
      </c>
      <c r="AK42" s="1492">
        <f>(AK32+AK33)/AK49</f>
        <v>2.077383249172903</v>
      </c>
      <c r="AL42" s="1493"/>
      <c r="AM42" s="1490">
        <f>(AM32+AM33)/AM49</f>
        <v>0.35930715854806655</v>
      </c>
      <c r="AN42" s="1490">
        <f>(AN32+AN33)/AN49</f>
        <v>0.50629606628932444</v>
      </c>
      <c r="AO42" s="1490">
        <f>(AO32+AO33)/AO49</f>
        <v>0.48651445573089391</v>
      </c>
      <c r="AP42" s="1491">
        <f>(AP32+AP33)/AP49</f>
        <v>0.71563470911222249</v>
      </c>
      <c r="AQ42" s="1492">
        <f>(AQ32+AQ33)/AQ49</f>
        <v>2.0661753756288368</v>
      </c>
      <c r="AR42" s="1496"/>
      <c r="AS42" s="1495">
        <f>(AS32+AS33)/AS49</f>
        <v>0.45639600270705249</v>
      </c>
      <c r="AT42" s="1490">
        <f>(AT32+AT33)/AT49</f>
        <v>0.56559859086960729</v>
      </c>
      <c r="AU42" s="1490">
        <f>(AU32+AU33)/AU49</f>
        <v>0.55409212633725746</v>
      </c>
      <c r="AV42" s="1491">
        <f>(AV32+AV33)/AV49</f>
        <v>0.84354141207249311</v>
      </c>
      <c r="AW42" s="1492">
        <f>(AW32+AW33)/AW49</f>
        <v>2.4188735378084978</v>
      </c>
      <c r="AX42" s="1496"/>
      <c r="AY42" s="1495">
        <f>(AY32+AY33)/AY49</f>
        <v>0.49780463509022504</v>
      </c>
      <c r="AZ42" s="1490">
        <f>(AZ32+AZ33)/AZ49</f>
        <v>0.53577565380864955</v>
      </c>
      <c r="BA42" s="1490">
        <f>(BA32+BA33)/BA49</f>
        <v>0.53583061487189465</v>
      </c>
      <c r="BB42" s="1491">
        <f>(BB32+BB33)/BB49</f>
        <v>0.81508760678050718</v>
      </c>
      <c r="BC42" s="1492">
        <f>(BC32+BC33)/BC49</f>
        <v>2.3804312756475303</v>
      </c>
      <c r="BD42" s="1496"/>
      <c r="BE42" s="1495">
        <f>(BE32+BE33)/BE49</f>
        <v>0.50467556994469165</v>
      </c>
      <c r="BF42" s="1490">
        <f>(BF32+BF33)/BF49</f>
        <v>0.65222861512690755</v>
      </c>
      <c r="BG42" s="1490">
        <f>(BG32+BG33)/BG49</f>
        <v>0.64617543923399756</v>
      </c>
      <c r="BH42" s="1491">
        <f>(BH32+BH33)/BH49</f>
        <v>0.87485577054032693</v>
      </c>
      <c r="BI42" s="1492">
        <f>(BI32+BI33)/BI49</f>
        <v>2.6764251720105507</v>
      </c>
      <c r="BJ42" s="1496"/>
      <c r="BK42" s="1495">
        <f>(BK32+BK33)/BK49</f>
        <v>0.57015970382200221</v>
      </c>
      <c r="BL42" s="1490">
        <f>(BL32+BL33)/BL49</f>
        <v>1.9424008233870829</v>
      </c>
      <c r="BM42" s="1490">
        <f>(BM32+BM33)/BM49</f>
        <v>0.68073563197679121</v>
      </c>
      <c r="BN42" s="1491">
        <f>(BN32+BN33)/BN49</f>
        <v>0.9503363025556838</v>
      </c>
      <c r="BO42" s="1492">
        <f>(BO32+BO33)/BO49</f>
        <v>4.144684779765285</v>
      </c>
      <c r="BP42" s="1496"/>
      <c r="BQ42" s="1495">
        <f>(BQ32+BQ33)/BQ49</f>
        <v>0.59361967441599506</v>
      </c>
      <c r="BR42" s="1490">
        <f>(BR32+BR33)/BR49</f>
        <v>0.85313081644911049</v>
      </c>
      <c r="BS42" s="1490">
        <f>(BS32+BS33)/BS49</f>
        <v>0.91103490201611825</v>
      </c>
      <c r="BT42" s="1491">
        <f>(BT32+BT33)/BT49</f>
        <v>1.1611715617977201</v>
      </c>
      <c r="BU42" s="1492">
        <f>(BU32+BU33)/BU49</f>
        <v>3.5188176706986019</v>
      </c>
      <c r="BV42" s="1496"/>
      <c r="BW42" s="1495">
        <f>(BW32+BW33)/BW49</f>
        <v>0.72356658478141689</v>
      </c>
      <c r="BX42" s="1490">
        <f>(BX32+BX33)/BX49</f>
        <v>1.0044899189093155</v>
      </c>
      <c r="BY42" s="1490">
        <f>(BY32+BY33)/BY49</f>
        <v>1.0694558391082969</v>
      </c>
      <c r="BZ42" s="1491">
        <f>(BZ32+BZ33)/BZ49</f>
        <v>1.3421191109179043</v>
      </c>
      <c r="CA42" s="1492">
        <f>(CA32+CA33)/CA49</f>
        <v>4.1381236469684852</v>
      </c>
      <c r="CB42" s="1496"/>
      <c r="CC42" s="1495">
        <f>(CC32+CC33)/CC49</f>
        <v>0.84937214034999453</v>
      </c>
      <c r="CD42" s="1490">
        <f>(CD32+CD33)/CD49</f>
        <v>1.2395965006015273</v>
      </c>
      <c r="CE42" s="1490">
        <f>(CE32+CE33)/CE49</f>
        <v>1.3160383677314189</v>
      </c>
      <c r="CF42" s="1491">
        <f>(CF32+CF33)/CF49</f>
        <v>1.6350960199744458</v>
      </c>
      <c r="CG42" s="1492">
        <f>(CG32+CG33)/CG49</f>
        <v>5.0393653299882217</v>
      </c>
      <c r="CH42" s="1496"/>
      <c r="CI42" s="1495">
        <f>(CI32+CI33)/CI49</f>
        <v>1.093233439100705</v>
      </c>
      <c r="CJ42" s="1490">
        <f>(CJ32+CJ33)/CJ49</f>
        <v>1.3050341386560096</v>
      </c>
      <c r="CK42" s="1490">
        <f>(CK32+CK33)/CK49</f>
        <v>1.3780587646093443</v>
      </c>
      <c r="CL42" s="1491">
        <f>(CL32+CL33)/CL49</f>
        <v>1.6966351941977553</v>
      </c>
      <c r="CM42" s="1492">
        <f>(CM32+CM33)/CM49</f>
        <v>5.4740629281735993</v>
      </c>
      <c r="CN42" s="36"/>
      <c r="CO42" s="36"/>
      <c r="CP42" s="36"/>
      <c r="CQ42" s="36"/>
      <c r="CR42" s="36"/>
    </row>
    <row r="43" spans="1:105" ht="5.25" customHeight="1" collapsed="1">
      <c r="A43" s="1482"/>
      <c r="B43" s="1483"/>
      <c r="C43" s="1484"/>
      <c r="D43" s="1484"/>
      <c r="E43" s="1484"/>
      <c r="F43" s="1484"/>
      <c r="G43" s="1485"/>
      <c r="H43" s="1484"/>
      <c r="I43" s="1484"/>
      <c r="J43" s="1484"/>
      <c r="K43" s="1484"/>
      <c r="L43" s="1484"/>
      <c r="M43" s="1485"/>
      <c r="N43" s="1484"/>
      <c r="O43" s="1484"/>
      <c r="P43" s="1484"/>
      <c r="Q43" s="1484"/>
      <c r="R43" s="1484"/>
      <c r="S43" s="1485"/>
      <c r="T43" s="1484"/>
      <c r="U43" s="1484"/>
      <c r="V43" s="1484"/>
      <c r="W43" s="1484"/>
      <c r="X43" s="1484"/>
      <c r="Y43" s="1485"/>
      <c r="Z43" s="1484"/>
      <c r="AA43" s="1484"/>
      <c r="AB43" s="1484"/>
      <c r="AC43" s="1484"/>
      <c r="AD43" s="1484"/>
      <c r="AE43" s="1485"/>
      <c r="AF43" s="1484"/>
      <c r="AG43" s="1484"/>
      <c r="AH43" s="1484"/>
      <c r="AI43" s="1484"/>
      <c r="AJ43" s="1484"/>
      <c r="AK43" s="1484"/>
      <c r="AL43" s="1484"/>
      <c r="AM43" s="1484"/>
      <c r="AN43" s="1484"/>
      <c r="AO43" s="1486"/>
      <c r="AP43" s="1486"/>
      <c r="AQ43" s="1487"/>
      <c r="AR43" s="1486"/>
      <c r="AS43" s="1486"/>
      <c r="AT43" s="1486"/>
      <c r="AU43" s="1486"/>
      <c r="AV43" s="1484"/>
      <c r="AW43" s="1488"/>
      <c r="AX43" s="1484"/>
      <c r="AY43" s="1484"/>
      <c r="AZ43" s="1484"/>
      <c r="BA43" s="1484"/>
      <c r="BB43" s="1484"/>
      <c r="BC43" s="1559"/>
      <c r="BD43" s="1484"/>
      <c r="BE43" s="1484"/>
      <c r="BF43" s="1484"/>
      <c r="BG43" s="1484"/>
      <c r="BH43" s="1484"/>
      <c r="BI43" s="1721"/>
      <c r="BJ43" s="1484"/>
      <c r="BK43" s="1484"/>
      <c r="BL43" s="1484"/>
      <c r="BM43" s="1484"/>
      <c r="BN43" s="1484"/>
      <c r="BO43" s="1484"/>
      <c r="BP43" s="1484"/>
      <c r="BQ43" s="1484"/>
      <c r="BR43" s="1484"/>
      <c r="BS43" s="1484"/>
      <c r="BT43" s="1484"/>
      <c r="BU43" s="1484"/>
      <c r="BV43" s="1484"/>
      <c r="BW43" s="1484"/>
      <c r="BX43" s="1484"/>
      <c r="BY43" s="1484"/>
      <c r="BZ43" s="1484"/>
      <c r="CA43" s="1484"/>
      <c r="CB43" s="1484"/>
      <c r="CC43" s="1484"/>
      <c r="CD43" s="1484"/>
      <c r="CE43" s="1484"/>
      <c r="CF43" s="1484"/>
      <c r="CG43" s="1484"/>
      <c r="CH43" s="1484"/>
      <c r="CI43" s="1484"/>
      <c r="CJ43" s="1484"/>
      <c r="CK43" s="1484"/>
      <c r="CL43" s="1484"/>
      <c r="CM43" s="1484"/>
      <c r="CN43" s="259"/>
      <c r="CO43" s="259"/>
      <c r="CP43" s="259"/>
      <c r="CQ43" s="259"/>
      <c r="CR43" s="259"/>
      <c r="CZ43" s="1558"/>
    </row>
    <row r="44" spans="1:105" ht="12.75" hidden="1" customHeight="1" outlineLevel="1">
      <c r="A44" s="1644" t="s">
        <v>15</v>
      </c>
      <c r="B44" s="713"/>
      <c r="C44" s="1469">
        <v>121.30200000000001</v>
      </c>
      <c r="D44" s="1467">
        <v>118.29900000000001</v>
      </c>
      <c r="E44" s="1467">
        <v>118.459</v>
      </c>
      <c r="F44" s="1467">
        <v>117.58499999999999</v>
      </c>
      <c r="G44" s="1470">
        <f>F44</f>
        <v>117.58499999999999</v>
      </c>
      <c r="H44" s="713"/>
      <c r="I44" s="1469">
        <v>117.84699999999999</v>
      </c>
      <c r="J44" s="1467">
        <v>118.735</v>
      </c>
      <c r="K44" s="1467">
        <v>118.084</v>
      </c>
      <c r="L44" s="1467">
        <v>117.11199999999999</v>
      </c>
      <c r="M44" s="1470">
        <f>L44</f>
        <v>117.11199999999999</v>
      </c>
      <c r="N44" s="713"/>
      <c r="O44" s="1469">
        <v>116.45099999999999</v>
      </c>
      <c r="P44" s="1468">
        <v>116.703</v>
      </c>
      <c r="Q44" s="1468">
        <v>116.72</v>
      </c>
      <c r="R44" s="1468">
        <v>117.023</v>
      </c>
      <c r="S44" s="584">
        <f>R44</f>
        <v>117.023</v>
      </c>
      <c r="T44" s="621"/>
      <c r="U44" s="591">
        <v>117.79</v>
      </c>
      <c r="V44" s="583">
        <v>117.91</v>
      </c>
      <c r="W44" s="583">
        <v>118.03400000000001</v>
      </c>
      <c r="X44" s="583">
        <v>115.715</v>
      </c>
      <c r="Y44" s="584">
        <f>X44</f>
        <v>115.715</v>
      </c>
      <c r="Z44" s="621"/>
      <c r="AA44" s="591">
        <v>112.706</v>
      </c>
      <c r="AB44" s="583">
        <v>113.077</v>
      </c>
      <c r="AC44" s="583">
        <v>113.08499999999999</v>
      </c>
      <c r="AD44" s="583">
        <v>113.157</v>
      </c>
      <c r="AE44" s="584">
        <f>AD44</f>
        <v>113.157</v>
      </c>
      <c r="AF44" s="621"/>
      <c r="AG44" s="591">
        <v>113.831</v>
      </c>
      <c r="AH44" s="583">
        <v>114.06</v>
      </c>
      <c r="AI44" s="583">
        <v>114.595</v>
      </c>
      <c r="AJ44" s="583">
        <v>115.036</v>
      </c>
      <c r="AK44" s="584">
        <f>AJ44</f>
        <v>115.036</v>
      </c>
      <c r="AL44" s="621"/>
      <c r="AM44" s="591">
        <v>111.86499999999999</v>
      </c>
      <c r="AN44" s="583">
        <v>111.999</v>
      </c>
      <c r="AO44" s="583">
        <v>112.38200000000001</v>
      </c>
      <c r="AP44" s="583">
        <v>112.626</v>
      </c>
      <c r="AQ44" s="584">
        <f>AP44</f>
        <v>112.626</v>
      </c>
      <c r="AR44" s="616"/>
      <c r="AS44" s="591">
        <v>113.104</v>
      </c>
      <c r="AT44" s="583">
        <v>112.875</v>
      </c>
      <c r="AU44" s="583">
        <v>112.962</v>
      </c>
      <c r="AV44" s="583">
        <v>112.48099999999999</v>
      </c>
      <c r="AW44" s="1517">
        <f>+AV44</f>
        <v>112.48099999999999</v>
      </c>
      <c r="AX44" s="616"/>
      <c r="AY44" s="591">
        <v>113.19</v>
      </c>
      <c r="AZ44" s="583">
        <v>113.355</v>
      </c>
      <c r="BA44" s="583">
        <v>111.905</v>
      </c>
      <c r="BB44" s="583">
        <v>112.03400000000001</v>
      </c>
      <c r="BC44" s="1517">
        <f>BB44</f>
        <v>112.03400000000001</v>
      </c>
      <c r="BD44" s="616"/>
      <c r="BE44" s="591">
        <v>109.015</v>
      </c>
      <c r="BF44" s="1367">
        <v>109.39400000000001</v>
      </c>
      <c r="BG44" s="1367">
        <v>109.511</v>
      </c>
      <c r="BH44" s="583">
        <v>109.617</v>
      </c>
      <c r="BI44" s="1517">
        <f>BH44</f>
        <v>109.617</v>
      </c>
      <c r="BJ44" s="616"/>
      <c r="BK44" s="1994">
        <v>109.85899999999999</v>
      </c>
      <c r="BL44" s="1367">
        <v>110.196</v>
      </c>
      <c r="BM44" s="1367">
        <v>110.20699999999999</v>
      </c>
      <c r="BN44" s="583">
        <v>110.361</v>
      </c>
      <c r="BO44" s="584">
        <f>BN44</f>
        <v>110.361</v>
      </c>
      <c r="BP44" s="616"/>
      <c r="BQ44" s="594">
        <f>BN44+BQ49-BN49</f>
        <v>109.95850861500006</v>
      </c>
      <c r="BR44" s="592">
        <f t="shared" ref="BR44:BT44" si="49">BQ44+BR49-BQ49</f>
        <v>109.97979218924192</v>
      </c>
      <c r="BS44" s="592">
        <f t="shared" si="49"/>
        <v>109.95838716343175</v>
      </c>
      <c r="BT44" s="592">
        <f t="shared" si="49"/>
        <v>109.9055663315594</v>
      </c>
      <c r="BU44" s="584">
        <f>AVERAGE(BQ44:BT44)</f>
        <v>109.95056357480829</v>
      </c>
      <c r="BV44" s="616"/>
      <c r="BW44" s="594">
        <f>BT44+BW49-BT49</f>
        <v>109.6704942225287</v>
      </c>
      <c r="BX44" s="592">
        <f>BW44+BX49-BW49</f>
        <v>109.53101608585743</v>
      </c>
      <c r="BY44" s="592">
        <f>BX44+BY49-BX49</f>
        <v>109.35368009297385</v>
      </c>
      <c r="BZ44" s="592">
        <f>BY44+BZ49-BY49</f>
        <v>109.14976561429359</v>
      </c>
      <c r="CA44" s="584">
        <f>AVERAGE(BW44:BZ44)</f>
        <v>109.42623900391339</v>
      </c>
      <c r="CB44" s="616"/>
      <c r="CC44" s="594">
        <f>BZ44+CC49-BZ49</f>
        <v>108.94042121933261</v>
      </c>
      <c r="CD44" s="592">
        <f>CC44+CD49-CC49</f>
        <v>108.92685553067342</v>
      </c>
      <c r="CE44" s="592">
        <f>CD44+CE49-CD49</f>
        <v>108.85310653341132</v>
      </c>
      <c r="CF44" s="592">
        <f>CE44+CF49-CE49</f>
        <v>108.7364096862954</v>
      </c>
      <c r="CG44" s="584">
        <f>AVERAGE(CC44:CF44)</f>
        <v>108.86419824242819</v>
      </c>
      <c r="CH44" s="616"/>
      <c r="CI44" s="594">
        <f>CF44+CI49-CF49</f>
        <v>108.60815002659342</v>
      </c>
      <c r="CJ44" s="592">
        <f>CI44+CJ49-CI49</f>
        <v>108.84241368200506</v>
      </c>
      <c r="CK44" s="592">
        <f>CJ44+CK49-CJ49</f>
        <v>108.96671214340218</v>
      </c>
      <c r="CL44" s="592">
        <f>CK44+CL49-CK49</f>
        <v>109.01135353522533</v>
      </c>
      <c r="CM44" s="584">
        <f>AVERAGE(CI44:CL44)</f>
        <v>108.8571573468065</v>
      </c>
      <c r="CN44" s="167"/>
      <c r="CO44" s="167"/>
      <c r="CP44" s="167"/>
      <c r="CQ44" s="167"/>
      <c r="CR44" s="167"/>
      <c r="CY44" s="1767"/>
    </row>
    <row r="45" spans="1:105" ht="12.75" hidden="1" customHeight="1" outlineLevel="1" collapsed="1">
      <c r="A45" s="886" t="s">
        <v>189</v>
      </c>
      <c r="B45" s="32"/>
      <c r="C45" s="296">
        <v>121.685</v>
      </c>
      <c r="D45" s="64">
        <v>118.911</v>
      </c>
      <c r="E45" s="64">
        <v>117.583</v>
      </c>
      <c r="F45" s="440">
        <f>G45*4-C45-D45-E45</f>
        <v>117.48499999999999</v>
      </c>
      <c r="G45" s="281">
        <v>118.916</v>
      </c>
      <c r="H45" s="32"/>
      <c r="I45" s="296">
        <v>117.30500000000001</v>
      </c>
      <c r="J45" s="64">
        <v>117.81100000000001</v>
      </c>
      <c r="K45" s="64">
        <v>118.34699999999999</v>
      </c>
      <c r="L45" s="440">
        <f>M45*4-I45-J45-K45</f>
        <v>117.17300000000002</v>
      </c>
      <c r="M45" s="281">
        <v>117.65900000000001</v>
      </c>
      <c r="N45" s="32"/>
      <c r="O45" s="296">
        <v>116.408</v>
      </c>
      <c r="P45" s="64">
        <v>116.063</v>
      </c>
      <c r="Q45" s="64">
        <v>116.211</v>
      </c>
      <c r="R45" s="59">
        <f>(365*S45)/(365/4)-(O45+P45+Q45)</f>
        <v>116.31799999999998</v>
      </c>
      <c r="S45" s="29">
        <v>116.25</v>
      </c>
      <c r="T45" s="224"/>
      <c r="U45" s="28">
        <v>117.18899999999999</v>
      </c>
      <c r="V45" s="31">
        <v>117.361</v>
      </c>
      <c r="W45" s="31">
        <v>117.47499999999999</v>
      </c>
      <c r="X45" s="4">
        <f>4*(117.109)-(U45+V45+W45)</f>
        <v>116.411</v>
      </c>
      <c r="Y45" s="29">
        <v>117.10899999999999</v>
      </c>
      <c r="Z45" s="224"/>
      <c r="AA45" s="28">
        <v>113.998</v>
      </c>
      <c r="AB45" s="31">
        <v>112.494</v>
      </c>
      <c r="AC45" s="31">
        <v>112.703</v>
      </c>
      <c r="AD45" s="31">
        <f>CFS!AD87+AC45+CFS!AD83</f>
        <v>112.70295632441461</v>
      </c>
      <c r="AE45" s="29">
        <v>112.976</v>
      </c>
      <c r="AF45" s="5"/>
      <c r="AG45" s="28">
        <v>113.09699999999999</v>
      </c>
      <c r="AH45" s="31">
        <v>113.515</v>
      </c>
      <c r="AI45" s="31">
        <v>113.86</v>
      </c>
      <c r="AJ45" s="31">
        <f>CFS!AJ87+AI45+CFS!AJ83</f>
        <v>113.85960865371953</v>
      </c>
      <c r="AK45" s="29">
        <v>113.72799999999999</v>
      </c>
      <c r="AL45" s="5"/>
      <c r="AM45" s="28">
        <v>113.45399999999999</v>
      </c>
      <c r="AN45" s="31">
        <v>111.575</v>
      </c>
      <c r="AO45" s="31">
        <v>111.827</v>
      </c>
      <c r="AP45" s="31">
        <f>CFS!AP87+AO45+CFS!AP83</f>
        <v>111.82145710785498</v>
      </c>
      <c r="AQ45" s="29">
        <v>112.254</v>
      </c>
      <c r="AR45" s="2"/>
      <c r="AS45" s="28">
        <v>112.553</v>
      </c>
      <c r="AT45" s="31">
        <v>112.788</v>
      </c>
      <c r="AU45" s="31">
        <v>112.646</v>
      </c>
      <c r="AV45" s="31">
        <f>CFS!AV87+AU45+CFS!AV83</f>
        <v>112.10458678084585</v>
      </c>
      <c r="AW45" s="29">
        <v>112.593</v>
      </c>
      <c r="AX45" s="2"/>
      <c r="AY45" s="28">
        <v>112.64100000000001</v>
      </c>
      <c r="AZ45" s="1367">
        <v>113.018</v>
      </c>
      <c r="BA45" s="1367">
        <v>112.63200000000001</v>
      </c>
      <c r="BB45" s="31">
        <v>111.73700000000001</v>
      </c>
      <c r="BC45" s="29">
        <v>112.50700000000001</v>
      </c>
      <c r="BD45" s="2"/>
      <c r="BE45" s="28">
        <v>110.40900000000001</v>
      </c>
      <c r="BF45" s="1725">
        <v>108.97</v>
      </c>
      <c r="BG45" s="1725">
        <v>109.19199999999999</v>
      </c>
      <c r="BH45" s="31">
        <v>109.34099999999991</v>
      </c>
      <c r="BI45" s="29">
        <v>109.47799999999999</v>
      </c>
      <c r="BJ45" s="2"/>
      <c r="BK45" s="28">
        <f>109.468</f>
        <v>109.468</v>
      </c>
      <c r="BL45" s="1725">
        <v>109.89400000000001</v>
      </c>
      <c r="BM45" s="1725">
        <v>110.003</v>
      </c>
      <c r="BN45" s="1725">
        <v>110.06399999999999</v>
      </c>
      <c r="BO45" s="29">
        <v>109.857</v>
      </c>
      <c r="BP45" s="2"/>
      <c r="BQ45" s="26">
        <f>CFS!BQ87+BN45+CFS!BQ83</f>
        <v>110.07250861499999</v>
      </c>
      <c r="BR45" s="4">
        <f>CFS!BR87+BQ45+CFS!BR83</f>
        <v>110.09379218924185</v>
      </c>
      <c r="BS45" s="4">
        <f>CFS!BS87+BR45+CFS!BS83</f>
        <v>110.07238716343167</v>
      </c>
      <c r="BT45" s="4">
        <f>CFS!BT87+BS45+CFS!BT83</f>
        <v>110.01956633155932</v>
      </c>
      <c r="BU45" s="27">
        <f>AVERAGE(BQ45:BT45)</f>
        <v>110.0645635748082</v>
      </c>
      <c r="BV45" s="2"/>
      <c r="BW45" s="26">
        <f>CFS!BW87+BT45+CFS!BW83</f>
        <v>109.78449422252861</v>
      </c>
      <c r="BX45" s="4">
        <f>CFS!BX87+BW45+CFS!BX83</f>
        <v>109.64501608585732</v>
      </c>
      <c r="BY45" s="4">
        <f>CFS!BY87+BX45+CFS!BY83</f>
        <v>109.46768009297374</v>
      </c>
      <c r="BZ45" s="4">
        <f>CFS!BZ87+BY45+CFS!BZ83</f>
        <v>109.26376561429348</v>
      </c>
      <c r="CA45" s="27">
        <f>AVERAGE(BW45:BZ45)</f>
        <v>109.54023900391329</v>
      </c>
      <c r="CB45" s="2"/>
      <c r="CC45" s="26">
        <f>CFS!CC87+BZ45+CFS!CC83</f>
        <v>109.05442121933251</v>
      </c>
      <c r="CD45" s="4">
        <f>CFS!CD87+CC45+CFS!CD83</f>
        <v>109.04085553067333</v>
      </c>
      <c r="CE45" s="4">
        <f>CFS!CE87+CD45+CFS!CE83</f>
        <v>108.96710653341123</v>
      </c>
      <c r="CF45" s="4">
        <f>CFS!CF87+CE45+CFS!CF83</f>
        <v>108.85040968629529</v>
      </c>
      <c r="CG45" s="27">
        <f>AVERAGE(CC45:CF45)</f>
        <v>108.97819824242808</v>
      </c>
      <c r="CH45" s="2"/>
      <c r="CI45" s="26">
        <f>CFS!CI87+CF45+CFS!CI83</f>
        <v>108.72215002659333</v>
      </c>
      <c r="CJ45" s="4">
        <f>CFS!CJ87+CI45+CFS!CJ83</f>
        <v>108.95641368200495</v>
      </c>
      <c r="CK45" s="4">
        <f>CFS!CK87+CJ45+CFS!CK83</f>
        <v>109.08071214340205</v>
      </c>
      <c r="CL45" s="4">
        <f>CFS!CL87+CK45+CFS!CL83</f>
        <v>109.12535353522519</v>
      </c>
      <c r="CM45" s="27">
        <f>AVERAGE(CI45:CL45)</f>
        <v>108.97115734680638</v>
      </c>
      <c r="CN45" s="36"/>
      <c r="CO45" s="36"/>
      <c r="CP45" s="36"/>
      <c r="CQ45" s="36"/>
      <c r="CR45" s="36"/>
    </row>
    <row r="46" spans="1:105" ht="12.75" hidden="1" customHeight="1" outlineLevel="1">
      <c r="A46" s="1645" t="s">
        <v>187</v>
      </c>
      <c r="B46" s="324"/>
      <c r="C46" s="325">
        <v>1.5089999999999999</v>
      </c>
      <c r="D46" s="326">
        <v>1.716</v>
      </c>
      <c r="E46" s="326">
        <v>1.8160000000000001</v>
      </c>
      <c r="F46" s="327">
        <f>G46*4-SUM(C46:E46)</f>
        <v>1.4790000000000001</v>
      </c>
      <c r="G46" s="328">
        <v>1.63</v>
      </c>
      <c r="H46" s="329"/>
      <c r="I46" s="325">
        <v>1.0980000000000001</v>
      </c>
      <c r="J46" s="326">
        <v>1.38</v>
      </c>
      <c r="K46" s="326">
        <v>1.1819999999999999</v>
      </c>
      <c r="L46" s="327">
        <f>M46*4-SUM(I46:K46)</f>
        <v>0.21600000000000019</v>
      </c>
      <c r="M46" s="328">
        <v>0.96899999999999997</v>
      </c>
      <c r="N46" s="329"/>
      <c r="O46" s="325">
        <v>0.108</v>
      </c>
      <c r="P46" s="326">
        <v>0.11700000000000001</v>
      </c>
      <c r="Q46" s="326">
        <v>0.33200000000000002</v>
      </c>
      <c r="R46" s="327">
        <f>S46*4-SUM(O46:Q46)</f>
        <v>0.46299999999999997</v>
      </c>
      <c r="S46" s="25">
        <v>0.255</v>
      </c>
      <c r="T46" s="24"/>
      <c r="U46" s="23">
        <v>0.623</v>
      </c>
      <c r="V46" s="22">
        <v>0.79500000000000004</v>
      </c>
      <c r="W46" s="22">
        <v>0.55600000000000005</v>
      </c>
      <c r="X46" s="21">
        <f>Y46*4-SUM(U46:W46)</f>
        <v>0.92599999999999971</v>
      </c>
      <c r="Y46" s="25">
        <v>0.72499999999999998</v>
      </c>
      <c r="Z46" s="24"/>
      <c r="AA46" s="23">
        <v>1.02</v>
      </c>
      <c r="AB46" s="22">
        <v>0.995</v>
      </c>
      <c r="AC46" s="22">
        <v>0.56599999999999995</v>
      </c>
      <c r="AD46" s="21">
        <f>AE46*4-SUM(AA46:AC46)</f>
        <v>0.375</v>
      </c>
      <c r="AE46" s="25">
        <v>0.73899999999999999</v>
      </c>
      <c r="AF46" s="24"/>
      <c r="AG46" s="23">
        <v>0.82699999999999996</v>
      </c>
      <c r="AH46" s="22">
        <v>0.82399999999999995</v>
      </c>
      <c r="AI46" s="22">
        <v>0.83</v>
      </c>
      <c r="AJ46" s="21">
        <f>AK46*4-SUM(AG46:AI46)</f>
        <v>0.90700000000000003</v>
      </c>
      <c r="AK46" s="25">
        <v>0.84699999999999998</v>
      </c>
      <c r="AL46" s="24"/>
      <c r="AM46" s="23">
        <v>1.05</v>
      </c>
      <c r="AN46" s="22">
        <v>0.91300000000000003</v>
      </c>
      <c r="AO46" s="22">
        <v>0.997</v>
      </c>
      <c r="AP46" s="1756">
        <v>0.98199999999999998</v>
      </c>
      <c r="AQ46" s="25">
        <v>0.98199999999999998</v>
      </c>
      <c r="AR46" s="18"/>
      <c r="AS46" s="23">
        <v>1.052</v>
      </c>
      <c r="AT46" s="22">
        <v>0.97</v>
      </c>
      <c r="AU46" s="22">
        <v>0.97</v>
      </c>
      <c r="AV46" s="1756">
        <v>0.92200000000000004</v>
      </c>
      <c r="AW46" s="25">
        <v>0.92200000000000004</v>
      </c>
      <c r="AX46" s="18"/>
      <c r="AY46" s="23">
        <v>0.67700000000000005</v>
      </c>
      <c r="AZ46" s="1367">
        <v>0.63900000000000001</v>
      </c>
      <c r="BA46" s="1367">
        <v>0.57999999999999996</v>
      </c>
      <c r="BB46" s="1756">
        <v>0.621</v>
      </c>
      <c r="BC46" s="25">
        <v>0.621</v>
      </c>
      <c r="BD46" s="18"/>
      <c r="BE46" s="23">
        <v>0.66100000000000003</v>
      </c>
      <c r="BF46" s="1764">
        <v>0.68799999999999994</v>
      </c>
      <c r="BG46" s="1764">
        <v>0.66300000000000003</v>
      </c>
      <c r="BH46" s="1756">
        <v>0.64</v>
      </c>
      <c r="BI46" s="25">
        <v>0.64</v>
      </c>
      <c r="BJ46" s="18"/>
      <c r="BK46" s="23">
        <v>0.60199999999999998</v>
      </c>
      <c r="BL46" s="1764">
        <v>0.66800000000000004</v>
      </c>
      <c r="BM46" s="1764">
        <v>0.73499999999999999</v>
      </c>
      <c r="BN46" s="1756">
        <v>0.70799999999999996</v>
      </c>
      <c r="BO46" s="25">
        <v>0.70799999999999996</v>
      </c>
      <c r="BP46" s="18"/>
      <c r="BQ46" s="19">
        <f>BN46</f>
        <v>0.70799999999999996</v>
      </c>
      <c r="BR46" s="21">
        <f t="shared" ref="BR46:BT47" si="50">BQ46</f>
        <v>0.70799999999999996</v>
      </c>
      <c r="BS46" s="21">
        <f t="shared" si="50"/>
        <v>0.70799999999999996</v>
      </c>
      <c r="BT46" s="21">
        <f t="shared" si="50"/>
        <v>0.70799999999999996</v>
      </c>
      <c r="BU46" s="20">
        <f>AVERAGE(BQ46:BT46)</f>
        <v>0.70799999999999996</v>
      </c>
      <c r="BV46" s="18"/>
      <c r="BW46" s="19">
        <f>BT46</f>
        <v>0.70799999999999996</v>
      </c>
      <c r="BX46" s="21">
        <f t="shared" ref="BX46:BZ47" si="51">BW46</f>
        <v>0.70799999999999996</v>
      </c>
      <c r="BY46" s="21">
        <f t="shared" si="51"/>
        <v>0.70799999999999996</v>
      </c>
      <c r="BZ46" s="21">
        <f t="shared" si="51"/>
        <v>0.70799999999999996</v>
      </c>
      <c r="CA46" s="20">
        <f>AVERAGE(BW46:BZ46)</f>
        <v>0.70799999999999996</v>
      </c>
      <c r="CB46" s="18"/>
      <c r="CC46" s="19">
        <f>BZ46</f>
        <v>0.70799999999999996</v>
      </c>
      <c r="CD46" s="21">
        <f t="shared" ref="CD46:CD47" si="52">CC46</f>
        <v>0.70799999999999996</v>
      </c>
      <c r="CE46" s="21">
        <f t="shared" ref="CE46:CE47" si="53">CD46</f>
        <v>0.70799999999999996</v>
      </c>
      <c r="CF46" s="21">
        <f t="shared" ref="CF46:CF47" si="54">CE46</f>
        <v>0.70799999999999996</v>
      </c>
      <c r="CG46" s="20">
        <f>AVERAGE(CC46:CF46)</f>
        <v>0.70799999999999996</v>
      </c>
      <c r="CH46" s="18"/>
      <c r="CI46" s="19">
        <f>CF46</f>
        <v>0.70799999999999996</v>
      </c>
      <c r="CJ46" s="21">
        <f t="shared" ref="CJ46:CJ47" si="55">CI46</f>
        <v>0.70799999999999996</v>
      </c>
      <c r="CK46" s="21">
        <f t="shared" ref="CK46:CK47" si="56">CJ46</f>
        <v>0.70799999999999996</v>
      </c>
      <c r="CL46" s="21">
        <f t="shared" ref="CL46:CL47" si="57">CK46</f>
        <v>0.70799999999999996</v>
      </c>
      <c r="CM46" s="20">
        <f>AVERAGE(CI46:CL46)</f>
        <v>0.70799999999999996</v>
      </c>
      <c r="CN46" s="330"/>
      <c r="CO46" s="330"/>
      <c r="CP46" s="330"/>
      <c r="CQ46" s="330"/>
      <c r="CR46" s="330"/>
    </row>
    <row r="47" spans="1:105" ht="12.75" hidden="1" customHeight="1" outlineLevel="1">
      <c r="A47" s="1645" t="s">
        <v>188</v>
      </c>
      <c r="B47" s="324"/>
      <c r="C47" s="325">
        <v>6.9000000000000006E-2</v>
      </c>
      <c r="D47" s="326">
        <v>6.2E-2</v>
      </c>
      <c r="E47" s="326">
        <v>5.3999999999999999E-2</v>
      </c>
      <c r="F47" s="327">
        <f>G47*4-SUM(C47:E47)</f>
        <v>5.099999999999999E-2</v>
      </c>
      <c r="G47" s="328">
        <v>5.8999999999999997E-2</v>
      </c>
      <c r="H47" s="329"/>
      <c r="I47" s="325">
        <v>5.6000000000000001E-2</v>
      </c>
      <c r="J47" s="326">
        <v>7.1999999999999995E-2</v>
      </c>
      <c r="K47" s="326">
        <v>0.08</v>
      </c>
      <c r="L47" s="327">
        <f>M47*4-SUM(I47:K47)</f>
        <v>2.7999999999999969E-2</v>
      </c>
      <c r="M47" s="328">
        <v>5.8999999999999997E-2</v>
      </c>
      <c r="N47" s="329"/>
      <c r="O47" s="325">
        <v>3.5999999999999997E-2</v>
      </c>
      <c r="P47" s="326">
        <v>8.7999999999999995E-2</v>
      </c>
      <c r="Q47" s="326">
        <v>9.8000000000000004E-2</v>
      </c>
      <c r="R47" s="327">
        <f>S47*4-SUM(O47:Q47)</f>
        <v>0.11800000000000002</v>
      </c>
      <c r="S47" s="25">
        <v>8.5000000000000006E-2</v>
      </c>
      <c r="T47" s="24"/>
      <c r="U47" s="23">
        <v>0.11899999999999999</v>
      </c>
      <c r="V47" s="22">
        <v>0.14799999999999999</v>
      </c>
      <c r="W47" s="22">
        <v>0.17599999999999999</v>
      </c>
      <c r="X47" s="21">
        <f>Y47*4-SUM(U47:W47)</f>
        <v>0.14899999999999997</v>
      </c>
      <c r="Y47" s="25">
        <v>0.14799999999999999</v>
      </c>
      <c r="Z47" s="24"/>
      <c r="AA47" s="23">
        <v>0.122</v>
      </c>
      <c r="AB47" s="22">
        <v>0.13400000000000001</v>
      </c>
      <c r="AC47" s="22">
        <v>0.156</v>
      </c>
      <c r="AD47" s="21">
        <f>AE47*4-SUM(AA47:AC47)</f>
        <v>0.18399999999999994</v>
      </c>
      <c r="AE47" s="25">
        <v>0.14899999999999999</v>
      </c>
      <c r="AF47" s="24"/>
      <c r="AG47" s="23">
        <v>0.19500000000000001</v>
      </c>
      <c r="AH47" s="22">
        <v>0.23899999999999999</v>
      </c>
      <c r="AI47" s="22">
        <v>0.308</v>
      </c>
      <c r="AJ47" s="21">
        <f>AK47*4-SUM(AG47:AI47)</f>
        <v>0.39799999999999991</v>
      </c>
      <c r="AK47" s="25">
        <v>0.28499999999999998</v>
      </c>
      <c r="AL47" s="24"/>
      <c r="AM47" s="23">
        <v>0.21199999999999999</v>
      </c>
      <c r="AN47" s="22">
        <v>0.23</v>
      </c>
      <c r="AO47" s="22">
        <v>0.29099999999999998</v>
      </c>
      <c r="AP47" s="1756">
        <v>0.26700000000000002</v>
      </c>
      <c r="AQ47" s="25">
        <v>0.26700000000000002</v>
      </c>
      <c r="AR47" s="18"/>
      <c r="AS47" s="23">
        <v>0.17199999999999999</v>
      </c>
      <c r="AT47" s="22">
        <v>0.21299999999999999</v>
      </c>
      <c r="AU47" s="22">
        <v>0.21299999999999999</v>
      </c>
      <c r="AV47" s="1756">
        <v>0.224</v>
      </c>
      <c r="AW47" s="25">
        <v>0.224</v>
      </c>
      <c r="AX47" s="18"/>
      <c r="AY47" s="23">
        <v>0.121</v>
      </c>
      <c r="AZ47" s="1367">
        <v>0.17599999999999999</v>
      </c>
      <c r="BA47" s="1367">
        <v>0.21</v>
      </c>
      <c r="BB47" s="1756">
        <v>0.187</v>
      </c>
      <c r="BC47" s="25">
        <v>0.187</v>
      </c>
      <c r="BD47" s="18"/>
      <c r="BE47" s="23">
        <v>0.125</v>
      </c>
      <c r="BF47" s="1764">
        <v>0.186</v>
      </c>
      <c r="BG47" s="1764">
        <v>0.223</v>
      </c>
      <c r="BH47" s="1756">
        <v>0.19500000000000001</v>
      </c>
      <c r="BI47" s="25">
        <v>0.19500000000000001</v>
      </c>
      <c r="BJ47" s="18"/>
      <c r="BK47" s="23">
        <v>0.13400000000000001</v>
      </c>
      <c r="BL47" s="1764">
        <v>0.2</v>
      </c>
      <c r="BM47" s="1764">
        <v>0.255</v>
      </c>
      <c r="BN47" s="1756">
        <v>0.29399999999999998</v>
      </c>
      <c r="BO47" s="25">
        <v>0.29399999999999998</v>
      </c>
      <c r="BP47" s="18"/>
      <c r="BQ47" s="19">
        <f>BN47</f>
        <v>0.29399999999999998</v>
      </c>
      <c r="BR47" s="21">
        <f t="shared" si="50"/>
        <v>0.29399999999999998</v>
      </c>
      <c r="BS47" s="21">
        <f t="shared" si="50"/>
        <v>0.29399999999999998</v>
      </c>
      <c r="BT47" s="21">
        <f t="shared" si="50"/>
        <v>0.29399999999999998</v>
      </c>
      <c r="BU47" s="20">
        <f>AVERAGE(BQ47:BT47)</f>
        <v>0.29399999999999998</v>
      </c>
      <c r="BV47" s="18"/>
      <c r="BW47" s="19">
        <f>BT47</f>
        <v>0.29399999999999998</v>
      </c>
      <c r="BX47" s="21">
        <f t="shared" si="51"/>
        <v>0.29399999999999998</v>
      </c>
      <c r="BY47" s="21">
        <f t="shared" si="51"/>
        <v>0.29399999999999998</v>
      </c>
      <c r="BZ47" s="21">
        <f t="shared" si="51"/>
        <v>0.29399999999999998</v>
      </c>
      <c r="CA47" s="20">
        <f>AVERAGE(BW47:BZ47)</f>
        <v>0.29399999999999998</v>
      </c>
      <c r="CB47" s="18"/>
      <c r="CC47" s="19">
        <f>BZ47</f>
        <v>0.29399999999999998</v>
      </c>
      <c r="CD47" s="21">
        <f t="shared" si="52"/>
        <v>0.29399999999999998</v>
      </c>
      <c r="CE47" s="21">
        <f t="shared" si="53"/>
        <v>0.29399999999999998</v>
      </c>
      <c r="CF47" s="21">
        <f t="shared" si="54"/>
        <v>0.29399999999999998</v>
      </c>
      <c r="CG47" s="20">
        <f>AVERAGE(CC47:CF47)</f>
        <v>0.29399999999999998</v>
      </c>
      <c r="CH47" s="18"/>
      <c r="CI47" s="19">
        <f>CF47</f>
        <v>0.29399999999999998</v>
      </c>
      <c r="CJ47" s="21">
        <f t="shared" si="55"/>
        <v>0.29399999999999998</v>
      </c>
      <c r="CK47" s="21">
        <f t="shared" si="56"/>
        <v>0.29399999999999998</v>
      </c>
      <c r="CL47" s="21">
        <f t="shared" si="57"/>
        <v>0.29399999999999998</v>
      </c>
      <c r="CM47" s="20">
        <f>AVERAGE(CI47:CL47)</f>
        <v>0.29399999999999998</v>
      </c>
      <c r="CN47" s="330"/>
      <c r="CO47" s="330"/>
      <c r="CP47" s="330"/>
      <c r="CQ47" s="330"/>
      <c r="CR47" s="330"/>
    </row>
    <row r="48" spans="1:105" ht="12.75" hidden="1" customHeight="1" outlineLevel="1">
      <c r="A48" s="1646" t="s">
        <v>190</v>
      </c>
      <c r="B48" s="317"/>
      <c r="C48" s="318">
        <f>CFS!C89</f>
        <v>23.362616196721305</v>
      </c>
      <c r="D48" s="319">
        <f>CFS!D89</f>
        <v>25.553643333333341</v>
      </c>
      <c r="E48" s="319">
        <f>CFS!E89</f>
        <v>27.636818761904763</v>
      </c>
      <c r="F48" s="319">
        <f>CFS!F89</f>
        <v>27.291867781249994</v>
      </c>
      <c r="G48" s="320">
        <f>CFS!G89</f>
        <v>25.987243976095634</v>
      </c>
      <c r="H48" s="317"/>
      <c r="I48" s="318">
        <f>CFS!I89</f>
        <v>24.711468770491802</v>
      </c>
      <c r="J48" s="319">
        <f>CFS!J89</f>
        <v>27.164368609375</v>
      </c>
      <c r="K48" s="319">
        <f>CFS!K89</f>
        <v>27.787647937500008</v>
      </c>
      <c r="L48" s="319">
        <f>CFS!L89</f>
        <v>17.652339078125006</v>
      </c>
      <c r="M48" s="320">
        <f>CFS!M89</f>
        <v>24.324420375494089</v>
      </c>
      <c r="N48" s="317"/>
      <c r="O48" s="318">
        <f>CFS!O89</f>
        <v>13.242295081967212</v>
      </c>
      <c r="P48" s="319">
        <f>CFS!P89</f>
        <v>15.806344412698412</v>
      </c>
      <c r="Q48" s="319">
        <f>CFS!Q89</f>
        <v>18.049213109375</v>
      </c>
      <c r="R48" s="319">
        <f>CFS!R89</f>
        <v>19.646399078125</v>
      </c>
      <c r="S48" s="320">
        <f>CFS!S89</f>
        <v>16.730551103174623</v>
      </c>
      <c r="T48" s="317"/>
      <c r="U48" s="318">
        <f>CFS!U89</f>
        <v>22.133431484375002</v>
      </c>
      <c r="V48" s="319">
        <f>CFS!V89</f>
        <v>23.011580174603175</v>
      </c>
      <c r="W48" s="319">
        <f>CFS!W89</f>
        <v>21.071400421874998</v>
      </c>
      <c r="X48" s="319">
        <f>CFS!X89</f>
        <v>24.148431156249998</v>
      </c>
      <c r="Y48" s="320">
        <f>CFS!Y89</f>
        <v>22.5895623019608</v>
      </c>
      <c r="Z48" s="317"/>
      <c r="AA48" s="318">
        <f>CFS!AA89</f>
        <v>26.251122483870969</v>
      </c>
      <c r="AB48" s="319">
        <f>CFS!AB89</f>
        <v>27.037928507936513</v>
      </c>
      <c r="AC48" s="319">
        <f>CFS!AC89</f>
        <v>22.896086937499998</v>
      </c>
      <c r="AD48" s="319">
        <f>CFS!AD89</f>
        <v>22.896086937499998</v>
      </c>
      <c r="AE48" s="320">
        <f>CFS!AE89</f>
        <v>24.770306216701872</v>
      </c>
      <c r="AF48" s="317"/>
      <c r="AG48" s="318">
        <f>CFS!AG89</f>
        <v>25.407251209677423</v>
      </c>
      <c r="AH48" s="319">
        <f>CFS!AH89</f>
        <v>26.417769634920639</v>
      </c>
      <c r="AI48" s="319">
        <f>CFS!AI89</f>
        <v>27.087135650793648</v>
      </c>
      <c r="AJ48" s="319">
        <f>CFS!AJ89</f>
        <v>30.663380741935491</v>
      </c>
      <c r="AK48" s="320">
        <f>CFS!AK89</f>
        <v>27.388752856000007</v>
      </c>
      <c r="AL48" s="317"/>
      <c r="AM48" s="318">
        <f>CFS!AM89</f>
        <v>34.360660049999993</v>
      </c>
      <c r="AN48" s="319">
        <f>CFS!AN89</f>
        <v>32.723274703124993</v>
      </c>
      <c r="AO48" s="319">
        <f>CFS!AO89</f>
        <v>35.893430500000008</v>
      </c>
      <c r="AP48" s="319">
        <f>CFS!AP89</f>
        <v>38.247181156250008</v>
      </c>
      <c r="AQ48" s="320">
        <f>CFS!AQ89</f>
        <v>35.321144166666691</v>
      </c>
      <c r="AR48" s="317"/>
      <c r="AS48" s="318">
        <f>CFS!AS89</f>
        <v>43.889829770491815</v>
      </c>
      <c r="AT48" s="319">
        <f>CFS!AT89</f>
        <v>44.902691793650817</v>
      </c>
      <c r="AU48" s="319">
        <f>CFS!AU89</f>
        <v>45.532024109375016</v>
      </c>
      <c r="AV48" s="319">
        <f>CFS!AV89</f>
        <v>43.035244016393449</v>
      </c>
      <c r="AW48" s="320">
        <f>CFS!AW89</f>
        <v>44.339947422477778</v>
      </c>
      <c r="AX48" s="317"/>
      <c r="AY48" s="318">
        <f>CFS!AY89</f>
        <v>46.322458950819673</v>
      </c>
      <c r="AZ48" s="319">
        <f>CFS!AZ89</f>
        <v>52.132540761904764</v>
      </c>
      <c r="BA48" s="319">
        <f>CFS!BA89</f>
        <v>49.652343687500014</v>
      </c>
      <c r="BB48" s="319">
        <f>CFS!BB89</f>
        <v>50.798689000000003</v>
      </c>
      <c r="BC48" s="320">
        <f>CFS!BC89</f>
        <v>49.726508100056108</v>
      </c>
      <c r="BD48" s="317"/>
      <c r="BE48" s="318">
        <f>CFS!BE89</f>
        <v>51.904992036728657</v>
      </c>
      <c r="BF48" s="319">
        <f>CFS!BF89</f>
        <v>52.572812765625017</v>
      </c>
      <c r="BG48" s="319">
        <f>CFS!BG89</f>
        <v>54.573438875000001</v>
      </c>
      <c r="BH48" s="319">
        <f>CFS!BH89</f>
        <v>52.259048492063499</v>
      </c>
      <c r="BI48" s="320">
        <f>CFS!BI89</f>
        <v>52.827573042354295</v>
      </c>
      <c r="BJ48" s="317"/>
      <c r="BK48" s="318">
        <f>CFS!BK89</f>
        <v>54.531452838709662</v>
      </c>
      <c r="BL48" s="319">
        <f>CFS!BL89</f>
        <v>62.123334825396846</v>
      </c>
      <c r="BM48" s="319">
        <f>CFS!BM89</f>
        <v>67.076984666666689</v>
      </c>
      <c r="BN48" s="319">
        <f>CFS!BN89</f>
        <v>71.753968746031759</v>
      </c>
      <c r="BO48" s="320">
        <f>CFS!BO89</f>
        <v>63.871435269201243</v>
      </c>
      <c r="BP48" s="317"/>
      <c r="BQ48" s="318">
        <f>CFS!BQ89</f>
        <v>80</v>
      </c>
      <c r="BR48" s="319">
        <f>CFS!BR89</f>
        <v>81.605989495134494</v>
      </c>
      <c r="BS48" s="319">
        <f>CFS!BS89</f>
        <v>83.244219018500019</v>
      </c>
      <c r="BT48" s="319">
        <f>CFS!BT89</f>
        <v>84.915335784429843</v>
      </c>
      <c r="BU48" s="320">
        <f>CFS!BU89</f>
        <v>82.441386074516089</v>
      </c>
      <c r="BV48" s="317"/>
      <c r="BW48" s="318">
        <f>CFS!BW89</f>
        <v>86.62</v>
      </c>
      <c r="BX48" s="319">
        <f>CFS!BX89</f>
        <v>88.358885125856872</v>
      </c>
      <c r="BY48" s="319">
        <f>CFS!BY89</f>
        <v>90.132678142280895</v>
      </c>
      <c r="BZ48" s="319">
        <f>CFS!BZ89</f>
        <v>91.942079820591417</v>
      </c>
      <c r="CA48" s="320">
        <f>CFS!CA89</f>
        <v>89.263410772182297</v>
      </c>
      <c r="CB48" s="317"/>
      <c r="CC48" s="318">
        <f>CFS!CC89</f>
        <v>93.787805000000006</v>
      </c>
      <c r="CD48" s="319">
        <f>CFS!CD89</f>
        <v>95.670582870021533</v>
      </c>
      <c r="CE48" s="319">
        <f>CFS!CE89</f>
        <v>97.591157258554645</v>
      </c>
      <c r="CF48" s="319">
        <f>CFS!CF89</f>
        <v>99.550286925745354</v>
      </c>
      <c r="CG48" s="320">
        <f>CFS!CG89</f>
        <v>96.649958013580388</v>
      </c>
      <c r="CH48" s="317"/>
      <c r="CI48" s="318">
        <f>CFS!CI89</f>
        <v>101.54874586375</v>
      </c>
      <c r="CJ48" s="319">
        <f>CFS!CJ89</f>
        <v>103.58732360251581</v>
      </c>
      <c r="CK48" s="319">
        <f>CFS!CK89</f>
        <v>105.66682552170003</v>
      </c>
      <c r="CL48" s="319">
        <f>CFS!CL89</f>
        <v>107.78807316885079</v>
      </c>
      <c r="CM48" s="320">
        <f>CFS!CM89</f>
        <v>104.64774203920416</v>
      </c>
      <c r="CN48" s="317"/>
      <c r="CO48" s="317"/>
      <c r="CP48" s="317"/>
      <c r="CQ48" s="317"/>
      <c r="CR48" s="317"/>
    </row>
    <row r="49" spans="1:115" collapsed="1">
      <c r="A49" s="1647" t="s">
        <v>195</v>
      </c>
      <c r="B49" s="42"/>
      <c r="C49" s="1471">
        <v>123.26300000000001</v>
      </c>
      <c r="D49" s="1472">
        <v>120.68899999999999</v>
      </c>
      <c r="E49" s="1472">
        <v>119.453</v>
      </c>
      <c r="F49" s="1472">
        <v>119.015</v>
      </c>
      <c r="G49" s="1473">
        <v>120.605</v>
      </c>
      <c r="H49" s="42"/>
      <c r="I49" s="1471">
        <v>118.459</v>
      </c>
      <c r="J49" s="1472">
        <v>119.26300000000001</v>
      </c>
      <c r="K49" s="1472">
        <v>119.60899999999999</v>
      </c>
      <c r="L49" s="1472">
        <v>117.417</v>
      </c>
      <c r="M49" s="1473">
        <v>118.687</v>
      </c>
      <c r="N49" s="42"/>
      <c r="O49" s="1471">
        <v>116.55200000000001</v>
      </c>
      <c r="P49" s="1474">
        <v>116.268</v>
      </c>
      <c r="Q49" s="1474">
        <v>116.64100000000001</v>
      </c>
      <c r="R49" s="1474">
        <v>116.9</v>
      </c>
      <c r="S49" s="1755">
        <v>116.59</v>
      </c>
      <c r="T49" s="482"/>
      <c r="U49" s="1475">
        <v>117.931</v>
      </c>
      <c r="V49" s="1476">
        <v>118.304</v>
      </c>
      <c r="W49" s="1476">
        <v>118.20699999999999</v>
      </c>
      <c r="X49" s="1476">
        <v>117.48699999999999</v>
      </c>
      <c r="Y49" s="1755">
        <v>117.982</v>
      </c>
      <c r="Z49" s="482"/>
      <c r="AA49" s="1475">
        <v>115.14</v>
      </c>
      <c r="AB49" s="1476">
        <v>113.623</v>
      </c>
      <c r="AC49" s="1476">
        <v>113.425</v>
      </c>
      <c r="AD49" s="1724">
        <v>112.70699999999999</v>
      </c>
      <c r="AE49" s="1755">
        <v>113.864</v>
      </c>
      <c r="AF49" s="1478"/>
      <c r="AG49" s="1475">
        <v>114.119</v>
      </c>
      <c r="AH49" s="1476">
        <v>114.578</v>
      </c>
      <c r="AI49" s="1476">
        <v>114.998</v>
      </c>
      <c r="AJ49" s="1476">
        <v>114.44</v>
      </c>
      <c r="AK49" s="1479">
        <v>114.86</v>
      </c>
      <c r="AL49" s="1478"/>
      <c r="AM49" s="1475">
        <v>114.71599999999999</v>
      </c>
      <c r="AN49" s="1476">
        <v>112.718</v>
      </c>
      <c r="AO49" s="1476">
        <v>113.11499999999999</v>
      </c>
      <c r="AP49" s="1476">
        <v>113.46299999999999</v>
      </c>
      <c r="AQ49" s="1479">
        <v>113.503</v>
      </c>
      <c r="AR49" s="483"/>
      <c r="AS49" s="1475">
        <v>113.777</v>
      </c>
      <c r="AT49" s="1476">
        <v>113.971</v>
      </c>
      <c r="AU49" s="1476">
        <v>113.759</v>
      </c>
      <c r="AV49" s="1476">
        <v>113.44799999999999</v>
      </c>
      <c r="AW49" s="1479">
        <v>113.739</v>
      </c>
      <c r="AX49" s="483"/>
      <c r="AY49" s="1671">
        <v>113.43899999999999</v>
      </c>
      <c r="AZ49" s="1476">
        <f>113.833</f>
        <v>113.833</v>
      </c>
      <c r="BA49" s="1724">
        <v>113.422</v>
      </c>
      <c r="BB49" s="1476">
        <v>112.26300000000001</v>
      </c>
      <c r="BC49" s="1479">
        <v>113.315</v>
      </c>
      <c r="BD49" s="483"/>
      <c r="BE49" s="1671">
        <v>111.19499999999999</v>
      </c>
      <c r="BF49" s="1724">
        <v>109.84399999999999</v>
      </c>
      <c r="BG49" s="1724">
        <v>110.078</v>
      </c>
      <c r="BH49" s="1724">
        <v>110.137</v>
      </c>
      <c r="BI49" s="1479">
        <v>110.313</v>
      </c>
      <c r="BJ49" s="483"/>
      <c r="BK49" s="1671">
        <v>110.20399999999999</v>
      </c>
      <c r="BL49" s="1724">
        <v>110.762</v>
      </c>
      <c r="BM49" s="1724">
        <v>110.99299999999999</v>
      </c>
      <c r="BN49" s="1724">
        <v>111.47699999999995</v>
      </c>
      <c r="BO49" s="1479">
        <v>110.85899999999999</v>
      </c>
      <c r="BP49" s="483"/>
      <c r="BQ49" s="1481">
        <f>BQ45+BQ46+BQ47</f>
        <v>111.07450861499998</v>
      </c>
      <c r="BR49" s="1477">
        <f>BR45+BR46+BR47</f>
        <v>111.09579218924185</v>
      </c>
      <c r="BS49" s="1477">
        <f>BS45+BS46+BS47</f>
        <v>111.07438716343167</v>
      </c>
      <c r="BT49" s="1477">
        <f>BT45+BT46+BT47</f>
        <v>111.02156633155931</v>
      </c>
      <c r="BU49" s="1480">
        <f>AVERAGE(BQ49:BT49)</f>
        <v>111.0665635748082</v>
      </c>
      <c r="BV49" s="483"/>
      <c r="BW49" s="1481">
        <f>BW45+BW46+BW47</f>
        <v>110.7864942225286</v>
      </c>
      <c r="BX49" s="1477">
        <f>BX45+BX46+BX47</f>
        <v>110.64701608585732</v>
      </c>
      <c r="BY49" s="1477">
        <f>BY45+BY46+BY47</f>
        <v>110.46968009297373</v>
      </c>
      <c r="BZ49" s="1477">
        <f>BZ45+BZ46+BZ47</f>
        <v>110.26576561429347</v>
      </c>
      <c r="CA49" s="1480">
        <f>AVERAGE(BW49:BZ49)</f>
        <v>110.54223900391328</v>
      </c>
      <c r="CB49" s="483"/>
      <c r="CC49" s="1481">
        <f>CC45+CC46+CC47</f>
        <v>110.05642121933251</v>
      </c>
      <c r="CD49" s="1477">
        <f>CD45+CD46+CD47</f>
        <v>110.04285553067332</v>
      </c>
      <c r="CE49" s="1477">
        <f>CE45+CE46+CE47</f>
        <v>109.96910653341122</v>
      </c>
      <c r="CF49" s="1477">
        <f>CF45+CF46+CF47</f>
        <v>109.85240968629529</v>
      </c>
      <c r="CG49" s="1480">
        <f>AVERAGE(CC49:CF49)</f>
        <v>109.98019824242809</v>
      </c>
      <c r="CH49" s="483"/>
      <c r="CI49" s="1481">
        <f>CI45+CI46+CI47</f>
        <v>109.72415002659332</v>
      </c>
      <c r="CJ49" s="1477">
        <f>CJ45+CJ46+CJ47</f>
        <v>109.95841368200495</v>
      </c>
      <c r="CK49" s="1477">
        <f>CK45+CK46+CK47</f>
        <v>110.08271214340205</v>
      </c>
      <c r="CL49" s="1477">
        <f>CL45+CL46+CL47</f>
        <v>110.12735353522518</v>
      </c>
      <c r="CM49" s="1480">
        <f>AVERAGE(CI49:CL49)</f>
        <v>109.97315734680637</v>
      </c>
      <c r="CN49" s="36"/>
      <c r="CO49" s="36"/>
      <c r="CP49" s="36"/>
      <c r="CQ49" s="36"/>
      <c r="CR49" s="36"/>
      <c r="CY49" s="1558"/>
    </row>
    <row r="50" spans="1:115" ht="12.75" hidden="1" customHeight="1" outlineLevel="1" thickBot="1">
      <c r="A50" s="278" t="s">
        <v>191</v>
      </c>
      <c r="B50" s="279"/>
      <c r="C50" s="297">
        <f>C49/C45</f>
        <v>1.0129679089452275</v>
      </c>
      <c r="D50" s="279">
        <f>D49/D45</f>
        <v>1.0149523593275642</v>
      </c>
      <c r="E50" s="279">
        <f>E49/E45</f>
        <v>1.015903659542621</v>
      </c>
      <c r="F50" s="279">
        <f>F49/F45</f>
        <v>1.0130229390986085</v>
      </c>
      <c r="G50" s="282">
        <f>G49/G45</f>
        <v>1.014203303171987</v>
      </c>
      <c r="H50" s="279"/>
      <c r="I50" s="297">
        <f>I49/I45</f>
        <v>1.0098376028302289</v>
      </c>
      <c r="J50" s="279">
        <f>J49/J45</f>
        <v>1.0123248253558665</v>
      </c>
      <c r="K50" s="279">
        <f>K49/K45</f>
        <v>1.0106635571666371</v>
      </c>
      <c r="L50" s="279">
        <f>L49/L45</f>
        <v>1.0020823909945122</v>
      </c>
      <c r="M50" s="282">
        <f>M49/M45</f>
        <v>1.0087371131830118</v>
      </c>
      <c r="N50" s="279"/>
      <c r="O50" s="297">
        <f>O49/O45</f>
        <v>1.0012370283829291</v>
      </c>
      <c r="P50" s="279">
        <f>P49/P45</f>
        <v>1.0017662821054083</v>
      </c>
      <c r="Q50" s="279">
        <f>Q49/Q45</f>
        <v>1.0037001660772216</v>
      </c>
      <c r="R50" s="279">
        <f>R49/R45</f>
        <v>1.0050035248198905</v>
      </c>
      <c r="S50" s="15">
        <f>S49/S45</f>
        <v>1.0029247311827958</v>
      </c>
      <c r="T50" s="16"/>
      <c r="U50" s="14">
        <f>U49/U45</f>
        <v>1.006331652288184</v>
      </c>
      <c r="V50" s="16">
        <f>V49/V45</f>
        <v>1.0080350371929345</v>
      </c>
      <c r="W50" s="16">
        <f>W49/W45</f>
        <v>1.0062311130027666</v>
      </c>
      <c r="X50" s="16">
        <f>X49/X45</f>
        <v>1.0092431127642576</v>
      </c>
      <c r="Y50" s="15">
        <f>Y49/Y45</f>
        <v>1.0074545935837553</v>
      </c>
      <c r="Z50" s="16"/>
      <c r="AA50" s="14">
        <f>AA49/AA45</f>
        <v>1.010017719609116</v>
      </c>
      <c r="AB50" s="16">
        <f>AB49/AB45</f>
        <v>1.0100360908137322</v>
      </c>
      <c r="AC50" s="16">
        <f>AC49/AC45</f>
        <v>1.0064062181130937</v>
      </c>
      <c r="AD50" s="16">
        <f>AD49/AD45</f>
        <v>1.0000358790551487</v>
      </c>
      <c r="AE50" s="15">
        <f>AE49/AE45</f>
        <v>1.0078600764764198</v>
      </c>
      <c r="AF50" s="17"/>
      <c r="AG50" s="14">
        <f>AG49/AG45</f>
        <v>1.009036490799933</v>
      </c>
      <c r="AH50" s="16">
        <f>AH49/AH45</f>
        <v>1.0093644011804608</v>
      </c>
      <c r="AI50" s="16">
        <f>AI49/AI45</f>
        <v>1.0099947303706307</v>
      </c>
      <c r="AJ50" s="16">
        <f>AJ49/AJ45</f>
        <v>1.0050974296604656</v>
      </c>
      <c r="AK50" s="15">
        <f>AK49/AK45</f>
        <v>1.0099535734383793</v>
      </c>
      <c r="AL50" s="17"/>
      <c r="AM50" s="842">
        <f>AM49/AM45</f>
        <v>1.0111234509140268</v>
      </c>
      <c r="AN50" s="1022">
        <f>AN49/AN45</f>
        <v>1.0102442303383374</v>
      </c>
      <c r="AO50" s="16">
        <f>AO49/AO45</f>
        <v>1.0115177908734025</v>
      </c>
      <c r="AP50" s="16">
        <f>AP49/AP45</f>
        <v>1.0146800348931395</v>
      </c>
      <c r="AQ50" s="15">
        <f>AQ49/AQ45</f>
        <v>1.0111265522832149</v>
      </c>
      <c r="AR50" s="13"/>
      <c r="AS50" s="842">
        <f>AS49/AS45</f>
        <v>1.0108748767247431</v>
      </c>
      <c r="AT50" s="16">
        <f>AT49/AT45</f>
        <v>1.0104887044721069</v>
      </c>
      <c r="AU50" s="16">
        <f>AU49/AU45</f>
        <v>1.0098805106262094</v>
      </c>
      <c r="AV50" s="1560">
        <f>AV49/AV45</f>
        <v>1.0119835705008251</v>
      </c>
      <c r="AW50" s="1561">
        <f>AW49/AW45</f>
        <v>1.0101782526444805</v>
      </c>
      <c r="AX50" s="13"/>
      <c r="AY50" s="14">
        <f>AY49/AY45</f>
        <v>1.0070844541507975</v>
      </c>
      <c r="AZ50" s="16">
        <f>AZ49/AZ45</f>
        <v>1.0072112406873241</v>
      </c>
      <c r="BA50" s="16">
        <f>BA49/BA45</f>
        <v>1.0070139924710562</v>
      </c>
      <c r="BB50" s="1560">
        <f>BB49/BB45</f>
        <v>1.0047074827496711</v>
      </c>
      <c r="BC50" s="1561">
        <f>BC49/BC45</f>
        <v>1.0071817753562</v>
      </c>
      <c r="BD50" s="13"/>
      <c r="BE50" s="14">
        <f>BE49/BE45</f>
        <v>1.0071189848653641</v>
      </c>
      <c r="BF50" s="16">
        <f>BF49/BF45</f>
        <v>1.0080205561163622</v>
      </c>
      <c r="BG50" s="16">
        <f>BG49/BG45</f>
        <v>1.0081141475565976</v>
      </c>
      <c r="BH50" s="1560">
        <f>BH49/BH45</f>
        <v>1.0072799773186645</v>
      </c>
      <c r="BI50" s="1561">
        <f>BI49/BI45</f>
        <v>1.0076271031622792</v>
      </c>
      <c r="BJ50" s="13"/>
      <c r="BK50" s="14">
        <f>BK49/BK45</f>
        <v>1.0067234260240434</v>
      </c>
      <c r="BL50" s="16">
        <f>BL49/BL45</f>
        <v>1.007898520392378</v>
      </c>
      <c r="BM50" s="16">
        <f>BM49/BM45</f>
        <v>1.0089997545521485</v>
      </c>
      <c r="BN50" s="16">
        <f>BN49/BN45</f>
        <v>1.0128379851722631</v>
      </c>
      <c r="BO50" s="15">
        <f>BO49/BO45</f>
        <v>1.009120948141675</v>
      </c>
      <c r="BP50" s="13"/>
      <c r="BQ50" s="14">
        <f>BQ49/BQ45</f>
        <v>1.0091030904320051</v>
      </c>
      <c r="BR50" s="16">
        <f>BR49/BR45</f>
        <v>1.0091013306025252</v>
      </c>
      <c r="BS50" s="16">
        <f>BS49/BS45</f>
        <v>1.0091031004761646</v>
      </c>
      <c r="BT50" s="16">
        <f>BT49/BT45</f>
        <v>1.0091074709109498</v>
      </c>
      <c r="BU50" s="15">
        <f>BU49/BU45</f>
        <v>1.0091037475410418</v>
      </c>
      <c r="BV50" s="13"/>
      <c r="BW50" s="14">
        <f>BW49/BW45</f>
        <v>1.009126971956249</v>
      </c>
      <c r="BX50" s="16">
        <f>BX49/BX45</f>
        <v>1.0091385822700356</v>
      </c>
      <c r="BY50" s="16">
        <f>BY49/BY45</f>
        <v>1.0091533866356623</v>
      </c>
      <c r="BZ50" s="16">
        <f>BZ49/BZ45</f>
        <v>1.0091704692252426</v>
      </c>
      <c r="CA50" s="15">
        <f>CA49/CA45</f>
        <v>1.0091473234777606</v>
      </c>
      <c r="CB50" s="13"/>
      <c r="CC50" s="14">
        <f>CC49/CC45</f>
        <v>1.0091880731546385</v>
      </c>
      <c r="CD50" s="16">
        <f>CD49/CD45</f>
        <v>1.0091892162357268</v>
      </c>
      <c r="CE50" s="16">
        <f>CE49/CE45</f>
        <v>1.0091954355022978</v>
      </c>
      <c r="CF50" s="16">
        <f>CF49/CF45</f>
        <v>1.0092052937870215</v>
      </c>
      <c r="CG50" s="15">
        <f>CG49/CG45</f>
        <v>1.0091944995986353</v>
      </c>
      <c r="CH50" s="13"/>
      <c r="CI50" s="14">
        <f>CI49/CI45</f>
        <v>1.0092161532838977</v>
      </c>
      <c r="CJ50" s="16">
        <f>CJ49/CJ45</f>
        <v>1.0091963379312794</v>
      </c>
      <c r="CK50" s="16">
        <f>CK49/CK45</f>
        <v>1.0091858586207498</v>
      </c>
      <c r="CL50" s="16">
        <f>CL49/CL45</f>
        <v>1.009182100836691</v>
      </c>
      <c r="CM50" s="15">
        <f>CM49/CM45</f>
        <v>1.0091950936779637</v>
      </c>
      <c r="CN50" s="36"/>
      <c r="CO50" s="36"/>
      <c r="CP50" s="36"/>
      <c r="CQ50" s="36"/>
      <c r="CR50" s="36"/>
    </row>
    <row r="51" spans="1:115" ht="11.25" hidden="1" customHeight="1" outlineLevel="1">
      <c r="A51" s="71" t="s">
        <v>196</v>
      </c>
      <c r="B51" s="295"/>
      <c r="C51" s="298">
        <f>-CFS!C46</f>
        <v>8.6300000000000008</v>
      </c>
      <c r="D51" s="131">
        <f>-CFS!D46</f>
        <v>8.4930000000000003</v>
      </c>
      <c r="E51" s="131">
        <f>-CFS!E46</f>
        <v>8.286999999999999</v>
      </c>
      <c r="F51" s="131">
        <f>-CFS!F46</f>
        <v>8.2940000000000005</v>
      </c>
      <c r="G51" s="283">
        <f>SUM(C51:F51)</f>
        <v>33.704000000000001</v>
      </c>
      <c r="H51" s="295"/>
      <c r="I51" s="298">
        <f>-CFS!I46</f>
        <v>8.2360000000000007</v>
      </c>
      <c r="J51" s="131">
        <f>-CFS!J46</f>
        <v>8.2509999999999977</v>
      </c>
      <c r="K51" s="131">
        <f>-CFS!K46</f>
        <v>8.3180000000000014</v>
      </c>
      <c r="L51" s="131">
        <f>-CFS!L46</f>
        <v>8.267000000000003</v>
      </c>
      <c r="M51" s="283">
        <f>SUM(I51:L51)</f>
        <v>33.072000000000003</v>
      </c>
      <c r="N51" s="285"/>
      <c r="O51" s="298">
        <f>-CFS!O46</f>
        <v>8.2050000000000001</v>
      </c>
      <c r="P51" s="131">
        <f>-CFS!P46</f>
        <v>8.1530000000000005</v>
      </c>
      <c r="Q51" s="131">
        <f>-CFS!Q46</f>
        <v>8.17</v>
      </c>
      <c r="R51" s="131">
        <f>-CFS!R46</f>
        <v>8.1730000000000018</v>
      </c>
      <c r="S51" s="12">
        <f>SUM(O51:R51)</f>
        <v>32.701000000000001</v>
      </c>
      <c r="T51" s="11"/>
      <c r="U51" s="10">
        <f>-CFS!U46</f>
        <v>8.2270000000000003</v>
      </c>
      <c r="V51" s="9">
        <f>-CFS!V46</f>
        <v>8.2469999999999999</v>
      </c>
      <c r="W51" s="9">
        <f>-CFS!W46</f>
        <v>8.254999999999999</v>
      </c>
      <c r="X51" s="9">
        <f>-CFS!X46</f>
        <v>8.2629999999999981</v>
      </c>
      <c r="Y51" s="12">
        <f>SUM(U51:X51)</f>
        <v>32.991999999999997</v>
      </c>
      <c r="Z51" s="11"/>
      <c r="AA51" s="10">
        <f>-CFS!AA46</f>
        <v>8.1059999999999999</v>
      </c>
      <c r="AB51" s="9">
        <f>-CFS!AB46</f>
        <v>7.891</v>
      </c>
      <c r="AC51" s="9">
        <f>-CFS!AC46</f>
        <v>7.9160000000000004</v>
      </c>
      <c r="AD51" s="9">
        <f>-CFS!AD46</f>
        <v>7.9160000000000004</v>
      </c>
      <c r="AE51" s="12">
        <f>SUM(AA51:AD51)</f>
        <v>31.829000000000001</v>
      </c>
      <c r="AF51" s="11"/>
      <c r="AG51" s="10">
        <f>-CFS!AG46</f>
        <v>7.9219999999999997</v>
      </c>
      <c r="AH51" s="9">
        <f>AH45*AH52</f>
        <v>7.9460500000000005</v>
      </c>
      <c r="AI51" s="9">
        <f>AI45*AI52</f>
        <v>7.9702000000000011</v>
      </c>
      <c r="AJ51" s="9">
        <f>AJ45*AJ52</f>
        <v>7.9701726057603679</v>
      </c>
      <c r="AK51" s="12">
        <f>SUM(AG51:AJ51)</f>
        <v>31.80842260576037</v>
      </c>
      <c r="AL51" s="11"/>
      <c r="AM51" s="10">
        <f>AM45*AM52</f>
        <v>7.9417800000000005</v>
      </c>
      <c r="AN51" s="9">
        <f>AN45*AN52</f>
        <v>7.8102500000000008</v>
      </c>
      <c r="AO51" s="9">
        <f>AO45*AO52</f>
        <v>7.8278900000000009</v>
      </c>
      <c r="AP51" s="9">
        <f>AP45*AP52</f>
        <v>7.8275019975498497</v>
      </c>
      <c r="AQ51" s="12">
        <f>SUM(AM51:AP51)</f>
        <v>31.40742199754985</v>
      </c>
      <c r="AR51" s="8"/>
      <c r="AS51" s="10">
        <f>AS45*AS52</f>
        <v>7.8787100000000008</v>
      </c>
      <c r="AT51" s="9">
        <f>AT45*AT52</f>
        <v>7.8951600000000006</v>
      </c>
      <c r="AU51" s="9">
        <f>AU45*AU52</f>
        <v>7.8852200000000012</v>
      </c>
      <c r="AV51" s="1562">
        <f>AV45*AV52</f>
        <v>7.8473210746592104</v>
      </c>
      <c r="AW51" s="1563">
        <f>SUM(AS51:AV51)</f>
        <v>31.506411074659212</v>
      </c>
      <c r="AX51" s="8"/>
      <c r="AY51" s="10">
        <f>AY45*AY52</f>
        <v>7.8848700000000012</v>
      </c>
      <c r="AZ51" s="9">
        <f>AZ45*AZ52</f>
        <v>7.9112600000000004</v>
      </c>
      <c r="BA51" s="9">
        <f>BA45*BA52</f>
        <v>7.884240000000001</v>
      </c>
      <c r="BB51" s="1562">
        <f>BB45*BB52</f>
        <v>7.8215900000000014</v>
      </c>
      <c r="BC51" s="1563">
        <f>SUM(AY51:BB51)</f>
        <v>31.501960000000004</v>
      </c>
      <c r="BD51" s="8"/>
      <c r="BE51" s="10">
        <f>BE45*BE52</f>
        <v>7.7286300000000008</v>
      </c>
      <c r="BF51" s="9">
        <f>BF45*BF52</f>
        <v>7.6279000000000003</v>
      </c>
      <c r="BG51" s="9">
        <f>BG45*BG52</f>
        <v>7.64344</v>
      </c>
      <c r="BH51" s="1562">
        <f>BH45*BH52</f>
        <v>7.6538699999999942</v>
      </c>
      <c r="BI51" s="1563">
        <f>SUM(BE51:BH51)</f>
        <v>30.653839999999995</v>
      </c>
      <c r="BJ51" s="8"/>
      <c r="BK51" s="10">
        <f>BK45*BK52</f>
        <v>7.6627600000000013</v>
      </c>
      <c r="BL51" s="9">
        <f>BL45*BL52</f>
        <v>7.6925800000000013</v>
      </c>
      <c r="BM51" s="9">
        <f>BM45*BM52</f>
        <v>7.7002100000000011</v>
      </c>
      <c r="BN51" s="9">
        <f>BN45*BN52</f>
        <v>7.7044800000000002</v>
      </c>
      <c r="BO51" s="12">
        <f>SUM(BK51:BN51)</f>
        <v>30.760030000000004</v>
      </c>
      <c r="BP51" s="8"/>
      <c r="BQ51" s="10">
        <f>BQ45*BQ52</f>
        <v>7.7050756030500001</v>
      </c>
      <c r="BR51" s="9">
        <f>BR45*BR52</f>
        <v>7.7065654532469301</v>
      </c>
      <c r="BS51" s="9">
        <f>BS45*BS52</f>
        <v>7.7050671014402177</v>
      </c>
      <c r="BT51" s="9">
        <f>BT45*BT52</f>
        <v>7.7013696432091532</v>
      </c>
      <c r="BU51" s="12">
        <f>SUM(BQ51:BT51)</f>
        <v>30.818077800946298</v>
      </c>
      <c r="BV51" s="8"/>
      <c r="BW51" s="10">
        <f>BW45*BW52</f>
        <v>7.6849145955770028</v>
      </c>
      <c r="BX51" s="9">
        <f>BX45*BX52</f>
        <v>7.6751511260100136</v>
      </c>
      <c r="BY51" s="9">
        <f>BY45*BY52</f>
        <v>7.6627376065081627</v>
      </c>
      <c r="BZ51" s="9">
        <f>BZ45*BZ52</f>
        <v>7.6484635930005442</v>
      </c>
      <c r="CA51" s="12">
        <f>SUM(BW51:BZ51)</f>
        <v>30.671266921095722</v>
      </c>
      <c r="CB51" s="8"/>
      <c r="CC51" s="10">
        <f>CC45*CC52</f>
        <v>7.6338094853532761</v>
      </c>
      <c r="CD51" s="9">
        <f>CD45*CD52</f>
        <v>7.6328598871471334</v>
      </c>
      <c r="CE51" s="9">
        <f>CE45*CE52</f>
        <v>7.6276974573387868</v>
      </c>
      <c r="CF51" s="9">
        <f>CF45*CF52</f>
        <v>7.6195286780406715</v>
      </c>
      <c r="CG51" s="12">
        <f>SUM(CC51:CF51)</f>
        <v>30.513895507879866</v>
      </c>
      <c r="CH51" s="8"/>
      <c r="CI51" s="10">
        <f>CI45*CI52</f>
        <v>7.6105505018615336</v>
      </c>
      <c r="CJ51" s="9">
        <f>CJ45*CJ52</f>
        <v>7.6269489577403471</v>
      </c>
      <c r="CK51" s="9">
        <f>CK45*CK52</f>
        <v>7.6356498500381447</v>
      </c>
      <c r="CL51" s="9">
        <f>CL45*CL52</f>
        <v>7.6387747474657637</v>
      </c>
      <c r="CM51" s="12">
        <f>SUM(CI51:CL51)</f>
        <v>30.511924057105791</v>
      </c>
      <c r="CN51" s="36"/>
      <c r="CO51" s="36"/>
      <c r="CP51" s="36"/>
      <c r="CQ51" s="36"/>
      <c r="CR51" s="36"/>
    </row>
    <row r="52" spans="1:115" ht="12.75" hidden="1" customHeight="1" outlineLevel="1">
      <c r="A52" s="284" t="s">
        <v>197</v>
      </c>
      <c r="B52" s="285"/>
      <c r="C52" s="299"/>
      <c r="D52" s="285"/>
      <c r="E52" s="285"/>
      <c r="F52" s="285"/>
      <c r="G52" s="286"/>
      <c r="H52" s="285"/>
      <c r="I52" s="299"/>
      <c r="J52" s="287"/>
      <c r="K52" s="285"/>
      <c r="L52" s="285"/>
      <c r="M52" s="286"/>
      <c r="N52" s="285"/>
      <c r="O52" s="321"/>
      <c r="P52" s="289"/>
      <c r="Q52" s="289"/>
      <c r="R52" s="290"/>
      <c r="S52" s="286"/>
      <c r="T52" s="285"/>
      <c r="U52" s="323"/>
      <c r="V52" s="289"/>
      <c r="W52" s="289"/>
      <c r="X52" s="291"/>
      <c r="Y52" s="286"/>
      <c r="Z52" s="285"/>
      <c r="AA52" s="322"/>
      <c r="AB52" s="292"/>
      <c r="AC52" s="292"/>
      <c r="AD52" s="288"/>
      <c r="AE52" s="293"/>
      <c r="AF52" s="285"/>
      <c r="AG52" s="322">
        <v>7.0000000000000007E-2</v>
      </c>
      <c r="AH52" s="288">
        <f>AG52</f>
        <v>7.0000000000000007E-2</v>
      </c>
      <c r="AI52" s="288">
        <f>AH52</f>
        <v>7.0000000000000007E-2</v>
      </c>
      <c r="AJ52" s="288">
        <f>AI52</f>
        <v>7.0000000000000007E-2</v>
      </c>
      <c r="AK52" s="294">
        <f>SUM(AG52:AJ52)</f>
        <v>0.28000000000000003</v>
      </c>
      <c r="AL52" s="285"/>
      <c r="AM52" s="321">
        <f>AJ52</f>
        <v>7.0000000000000007E-2</v>
      </c>
      <c r="AN52" s="288">
        <f>AM52</f>
        <v>7.0000000000000007E-2</v>
      </c>
      <c r="AO52" s="288">
        <f>AN52</f>
        <v>7.0000000000000007E-2</v>
      </c>
      <c r="AP52" s="288">
        <f>AO52</f>
        <v>7.0000000000000007E-2</v>
      </c>
      <c r="AQ52" s="294">
        <f>SUM(AM52:AP52)</f>
        <v>0.28000000000000003</v>
      </c>
      <c r="AR52" s="285"/>
      <c r="AS52" s="321">
        <f>AP52</f>
        <v>7.0000000000000007E-2</v>
      </c>
      <c r="AT52" s="288">
        <f>AS52</f>
        <v>7.0000000000000007E-2</v>
      </c>
      <c r="AU52" s="288">
        <f>AT52</f>
        <v>7.0000000000000007E-2</v>
      </c>
      <c r="AV52" s="1564">
        <f>AU52</f>
        <v>7.0000000000000007E-2</v>
      </c>
      <c r="AW52" s="1565">
        <f>SUM(AS52:AV52)</f>
        <v>0.28000000000000003</v>
      </c>
      <c r="AX52" s="285"/>
      <c r="AY52" s="321">
        <f>AV52</f>
        <v>7.0000000000000007E-2</v>
      </c>
      <c r="AZ52" s="288">
        <f>AY52</f>
        <v>7.0000000000000007E-2</v>
      </c>
      <c r="BA52" s="288">
        <f>AZ52</f>
        <v>7.0000000000000007E-2</v>
      </c>
      <c r="BB52" s="1564">
        <f>BA52</f>
        <v>7.0000000000000007E-2</v>
      </c>
      <c r="BC52" s="1565">
        <f>SUM(AY52:BB52)</f>
        <v>0.28000000000000003</v>
      </c>
      <c r="BD52" s="285"/>
      <c r="BE52" s="321">
        <f>BB52</f>
        <v>7.0000000000000007E-2</v>
      </c>
      <c r="BF52" s="288">
        <f>BE52</f>
        <v>7.0000000000000007E-2</v>
      </c>
      <c r="BG52" s="288">
        <f>BF52</f>
        <v>7.0000000000000007E-2</v>
      </c>
      <c r="BH52" s="1564">
        <f>BG52</f>
        <v>7.0000000000000007E-2</v>
      </c>
      <c r="BI52" s="1565">
        <f>SUM(BE52:BH52)</f>
        <v>0.28000000000000003</v>
      </c>
      <c r="BJ52" s="285"/>
      <c r="BK52" s="321">
        <f>BH52</f>
        <v>7.0000000000000007E-2</v>
      </c>
      <c r="BL52" s="288">
        <f>BK52</f>
        <v>7.0000000000000007E-2</v>
      </c>
      <c r="BM52" s="288">
        <f>BL52</f>
        <v>7.0000000000000007E-2</v>
      </c>
      <c r="BN52" s="288">
        <f>BM52</f>
        <v>7.0000000000000007E-2</v>
      </c>
      <c r="BO52" s="294">
        <f>SUM(BK52:BN52)</f>
        <v>0.28000000000000003</v>
      </c>
      <c r="BP52" s="285"/>
      <c r="BQ52" s="321">
        <f>BN52</f>
        <v>7.0000000000000007E-2</v>
      </c>
      <c r="BR52" s="288">
        <f>BQ52</f>
        <v>7.0000000000000007E-2</v>
      </c>
      <c r="BS52" s="288">
        <f>BR52</f>
        <v>7.0000000000000007E-2</v>
      </c>
      <c r="BT52" s="288">
        <f>BS52</f>
        <v>7.0000000000000007E-2</v>
      </c>
      <c r="BU52" s="294">
        <f>SUM(BQ52:BT52)</f>
        <v>0.28000000000000003</v>
      </c>
      <c r="BV52" s="285"/>
      <c r="BW52" s="321">
        <f>BT52</f>
        <v>7.0000000000000007E-2</v>
      </c>
      <c r="BX52" s="288">
        <f>BW52</f>
        <v>7.0000000000000007E-2</v>
      </c>
      <c r="BY52" s="288">
        <f>BX52</f>
        <v>7.0000000000000007E-2</v>
      </c>
      <c r="BZ52" s="288">
        <f>BY52</f>
        <v>7.0000000000000007E-2</v>
      </c>
      <c r="CA52" s="294">
        <f>SUM(BW52:BZ52)</f>
        <v>0.28000000000000003</v>
      </c>
      <c r="CB52" s="285"/>
      <c r="CC52" s="321">
        <f>BZ52</f>
        <v>7.0000000000000007E-2</v>
      </c>
      <c r="CD52" s="288">
        <f>CC52</f>
        <v>7.0000000000000007E-2</v>
      </c>
      <c r="CE52" s="288">
        <f>CD52</f>
        <v>7.0000000000000007E-2</v>
      </c>
      <c r="CF52" s="288">
        <f>CE52</f>
        <v>7.0000000000000007E-2</v>
      </c>
      <c r="CG52" s="294">
        <f>SUM(CC52:CF52)</f>
        <v>0.28000000000000003</v>
      </c>
      <c r="CH52" s="285"/>
      <c r="CI52" s="321">
        <f>CF52</f>
        <v>7.0000000000000007E-2</v>
      </c>
      <c r="CJ52" s="288">
        <f>CI52</f>
        <v>7.0000000000000007E-2</v>
      </c>
      <c r="CK52" s="288">
        <f>CJ52</f>
        <v>7.0000000000000007E-2</v>
      </c>
      <c r="CL52" s="288">
        <f>CK52</f>
        <v>7.0000000000000007E-2</v>
      </c>
      <c r="CM52" s="294">
        <f>SUM(CI52:CL52)</f>
        <v>0.28000000000000003</v>
      </c>
      <c r="CN52" s="36"/>
      <c r="CO52" s="36"/>
      <c r="CP52" s="36"/>
      <c r="CQ52" s="36"/>
      <c r="CR52" s="36"/>
    </row>
    <row r="53" spans="1:115" ht="5.25" customHeight="1" collapsed="1">
      <c r="A53" s="36"/>
      <c r="B53" s="32"/>
      <c r="C53" s="32"/>
      <c r="D53" s="32"/>
      <c r="E53" s="34"/>
      <c r="F53" s="32"/>
      <c r="G53" s="36"/>
      <c r="H53" s="32"/>
      <c r="I53" s="34"/>
      <c r="J53" s="34"/>
      <c r="K53" s="32"/>
      <c r="L53" s="32"/>
      <c r="M53" s="36"/>
      <c r="N53" s="32"/>
      <c r="O53" s="36"/>
      <c r="P53" s="36"/>
      <c r="Q53" s="36"/>
      <c r="R53" s="36"/>
      <c r="S53" s="36"/>
      <c r="T53" s="32"/>
      <c r="U53" s="32"/>
      <c r="V53" s="34"/>
      <c r="W53" s="32"/>
      <c r="X53" s="32"/>
      <c r="Y53" s="36"/>
      <c r="Z53" s="32"/>
      <c r="AA53" s="258"/>
      <c r="AB53" s="83"/>
      <c r="AC53" s="256"/>
      <c r="AD53" s="95"/>
      <c r="AE53" s="256"/>
      <c r="AF53" s="95"/>
      <c r="AG53" s="258"/>
      <c r="AH53" s="223"/>
      <c r="AI53" s="258"/>
      <c r="AJ53" s="1023"/>
      <c r="AK53" s="1023"/>
      <c r="AL53" s="1023"/>
      <c r="AM53" s="1023"/>
      <c r="AN53" s="806"/>
      <c r="AO53" s="1024"/>
      <c r="AP53" s="1023"/>
      <c r="AQ53" s="829"/>
      <c r="AR53" s="36"/>
      <c r="AS53" s="806"/>
      <c r="AT53" s="806"/>
      <c r="AU53" s="806"/>
      <c r="AV53" s="806"/>
      <c r="AW53" s="806"/>
      <c r="AX53" s="36"/>
      <c r="AY53" s="1636"/>
      <c r="AZ53" s="1636"/>
      <c r="BA53" s="1636"/>
      <c r="BB53" s="1636"/>
      <c r="BC53" s="1673"/>
      <c r="BD53" s="1381"/>
      <c r="BE53" s="1381"/>
      <c r="BF53" s="1381"/>
      <c r="BG53" s="1381"/>
      <c r="BH53" s="1381"/>
      <c r="BI53" s="1673"/>
      <c r="BJ53" s="1381"/>
      <c r="BK53" s="1381"/>
      <c r="BL53" s="1381"/>
      <c r="BM53" s="1381"/>
      <c r="BN53" s="1381"/>
      <c r="BO53" s="1673"/>
      <c r="BP53" s="806"/>
      <c r="BQ53" s="1381"/>
      <c r="BR53" s="1381"/>
      <c r="BS53" s="1381"/>
      <c r="BT53" s="1381"/>
      <c r="BU53" s="806"/>
      <c r="BV53" s="806"/>
      <c r="BW53" s="1381"/>
      <c r="BX53" s="1381"/>
      <c r="BY53" s="1381"/>
      <c r="BZ53" s="1381"/>
      <c r="CA53" s="806"/>
      <c r="CB53" s="806"/>
      <c r="CC53" s="1381"/>
      <c r="CD53" s="1381"/>
      <c r="CE53" s="1381"/>
      <c r="CF53" s="1381"/>
      <c r="CG53" s="806"/>
      <c r="CH53" s="806"/>
      <c r="CI53" s="1381"/>
      <c r="CJ53" s="1381"/>
      <c r="CK53" s="1381"/>
      <c r="CL53" s="1381"/>
      <c r="CM53" s="806"/>
      <c r="CN53" s="36"/>
      <c r="CO53" s="36"/>
      <c r="CP53" s="36"/>
      <c r="CQ53" s="36"/>
      <c r="CR53" s="36"/>
    </row>
    <row r="54" spans="1:115">
      <c r="A54" s="1459" t="s">
        <v>494</v>
      </c>
      <c r="B54" s="1460"/>
      <c r="C54" s="1461"/>
      <c r="D54" s="1461"/>
      <c r="E54" s="1461"/>
      <c r="F54" s="1460"/>
      <c r="G54" s="1462"/>
      <c r="H54" s="1460"/>
      <c r="I54" s="1460"/>
      <c r="J54" s="1460"/>
      <c r="K54" s="1460"/>
      <c r="L54" s="1460"/>
      <c r="M54" s="1462"/>
      <c r="N54" s="1459"/>
      <c r="O54" s="1463"/>
      <c r="P54" s="1463"/>
      <c r="Q54" s="1463"/>
      <c r="R54" s="1463"/>
      <c r="S54" s="1508"/>
      <c r="T54" s="1460"/>
      <c r="U54" s="1460"/>
      <c r="V54" s="1460"/>
      <c r="W54" s="1460"/>
      <c r="X54" s="1460"/>
      <c r="Y54" s="1508"/>
      <c r="Z54" s="1460"/>
      <c r="AA54" s="1638"/>
      <c r="AB54" s="1638"/>
      <c r="AC54" s="1638"/>
      <c r="AD54" s="1638"/>
      <c r="AE54" s="1508"/>
      <c r="AF54" s="1508"/>
      <c r="AG54" s="1638"/>
      <c r="AH54" s="1638"/>
      <c r="AI54" s="1638"/>
      <c r="AJ54" s="1638"/>
      <c r="AK54" s="1508"/>
      <c r="AL54" s="1508"/>
      <c r="AM54" s="1508"/>
      <c r="AN54" s="1508"/>
      <c r="AO54" s="1508"/>
      <c r="AP54" s="1508"/>
      <c r="AQ54" s="1508"/>
      <c r="AR54" s="1508"/>
      <c r="AS54" s="1508"/>
      <c r="AT54" s="1508"/>
      <c r="AU54" s="1508"/>
      <c r="AV54" s="1508"/>
      <c r="AW54" s="1639"/>
      <c r="AX54" s="1508"/>
      <c r="AY54" s="1508"/>
      <c r="AZ54" s="1508"/>
      <c r="BA54" s="1508"/>
      <c r="BB54" s="1508"/>
      <c r="BC54" s="1931"/>
      <c r="BD54" s="1508"/>
      <c r="BE54" s="1508"/>
      <c r="BF54" s="1508"/>
      <c r="BG54" s="1508"/>
      <c r="BH54" s="1508"/>
      <c r="BI54" s="1508"/>
      <c r="BJ54" s="1508"/>
      <c r="BK54" s="1508"/>
      <c r="BL54" s="1508"/>
      <c r="BM54" s="1508"/>
      <c r="BN54" s="1508"/>
      <c r="BO54" s="1508"/>
      <c r="BP54" s="1508"/>
      <c r="BQ54" s="1508"/>
      <c r="BR54" s="1508"/>
      <c r="BS54" s="1508"/>
      <c r="BT54" s="1508"/>
      <c r="BU54" s="1462"/>
      <c r="BV54" s="1508"/>
      <c r="BW54" s="1508"/>
      <c r="BX54" s="1508"/>
      <c r="BY54" s="1508"/>
      <c r="BZ54" s="1508"/>
      <c r="CA54" s="1462"/>
      <c r="CB54" s="1508"/>
      <c r="CC54" s="1508"/>
      <c r="CD54" s="1508"/>
      <c r="CE54" s="1508"/>
      <c r="CF54" s="1508"/>
      <c r="CG54" s="1462"/>
      <c r="CH54" s="1508"/>
      <c r="CI54" s="1508"/>
      <c r="CJ54" s="1508"/>
      <c r="CK54" s="1508"/>
      <c r="CL54" s="1508"/>
      <c r="CM54" s="1462"/>
      <c r="CN54" s="53"/>
      <c r="CO54" s="53"/>
      <c r="CP54" s="53"/>
      <c r="CQ54" s="53"/>
      <c r="CR54" s="53"/>
      <c r="CY54" s="1558"/>
      <c r="DA54" s="1283"/>
    </row>
    <row r="55" spans="1:115" ht="12.75" hidden="1" customHeight="1" outlineLevel="1">
      <c r="A55" s="67" t="s">
        <v>395</v>
      </c>
      <c r="B55" s="332"/>
      <c r="C55" s="1363">
        <f>C12/C11</f>
        <v>0.58111938446264588</v>
      </c>
      <c r="D55" s="332">
        <f>D12/D11</f>
        <v>0.5802602392005306</v>
      </c>
      <c r="E55" s="332">
        <f>E12/E11</f>
        <v>0.56883223004673278</v>
      </c>
      <c r="F55" s="332">
        <f>F12/F11</f>
        <v>0.54880329522878335</v>
      </c>
      <c r="G55" s="766">
        <f>G12/G11</f>
        <v>0.56901442768877453</v>
      </c>
      <c r="H55" s="332"/>
      <c r="I55" s="1363">
        <f>I12/I11</f>
        <v>0.5581901813742588</v>
      </c>
      <c r="J55" s="332">
        <f>J12/J11</f>
        <v>0.55330369431544757</v>
      </c>
      <c r="K55" s="332">
        <f>K12/K11</f>
        <v>0.54964730849488352</v>
      </c>
      <c r="L55" s="332">
        <f>L12/L11</f>
        <v>0.54444955688479002</v>
      </c>
      <c r="M55" s="766">
        <f>M12/M11</f>
        <v>0.5512778136458697</v>
      </c>
      <c r="N55" s="332"/>
      <c r="O55" s="1363">
        <f>O12/O11</f>
        <v>0.54559388910209417</v>
      </c>
      <c r="P55" s="332">
        <f>P12/P11</f>
        <v>0.54943071622515816</v>
      </c>
      <c r="Q55" s="332">
        <f>Q12/Q11</f>
        <v>0.52668975906809967</v>
      </c>
      <c r="R55" s="332">
        <f>R12/R11</f>
        <v>0.45582295215166041</v>
      </c>
      <c r="S55" s="766">
        <f>S12/S11</f>
        <v>0.52469811693060087</v>
      </c>
      <c r="T55" s="332"/>
      <c r="U55" s="1363">
        <f>U12/U11</f>
        <v>0.52932777806005793</v>
      </c>
      <c r="V55" s="332">
        <f>V12/V11</f>
        <v>0.52594743892175111</v>
      </c>
      <c r="W55" s="332">
        <f>W12/W11</f>
        <v>0.52999940380373223</v>
      </c>
      <c r="X55" s="332">
        <f>X12/X11</f>
        <v>0.52750776034358104</v>
      </c>
      <c r="Y55" s="766">
        <f>Y12/Y11</f>
        <v>0.52815469068899989</v>
      </c>
      <c r="Z55" s="332"/>
      <c r="AA55" s="1363">
        <f>AA12/AA11</f>
        <v>0.48743038438375041</v>
      </c>
      <c r="AB55" s="332">
        <f>AB12/AB11</f>
        <v>0.48923113945373597</v>
      </c>
      <c r="AC55" s="332">
        <f>AC12/AC11</f>
        <v>0.47938583679136937</v>
      </c>
      <c r="AD55" s="332">
        <f>AD12/AD11</f>
        <v>0.50149226244319389</v>
      </c>
      <c r="AE55" s="766">
        <f>AE12/AE11</f>
        <v>0.48971652185139009</v>
      </c>
      <c r="AF55" s="332"/>
      <c r="AG55" s="1363">
        <f>AG12/AG11</f>
        <v>0.50279977501290185</v>
      </c>
      <c r="AH55" s="332">
        <f>AH12/AH11</f>
        <v>0.50689427772130913</v>
      </c>
      <c r="AI55" s="332">
        <f>AI12/AI11</f>
        <v>0.51698291317125089</v>
      </c>
      <c r="AJ55" s="332">
        <f>AJ12/AJ11</f>
        <v>0.51168203647505961</v>
      </c>
      <c r="AK55" s="766">
        <f>AK12/AK11</f>
        <v>0.50962056621342322</v>
      </c>
      <c r="AL55" s="332"/>
      <c r="AM55" s="1363">
        <f>AM12/AM11</f>
        <v>0.52723581242238471</v>
      </c>
      <c r="AN55" s="332">
        <f>AN12/AN11</f>
        <v>0.52603255998471909</v>
      </c>
      <c r="AO55" s="332">
        <f>AO12/AO11</f>
        <v>0.52511413669014506</v>
      </c>
      <c r="AP55" s="332">
        <f>AP12/AP11</f>
        <v>0.5097513715891242</v>
      </c>
      <c r="AQ55" s="766">
        <f>AQ12/AQ11</f>
        <v>0.52163323220258728</v>
      </c>
      <c r="AR55" s="332"/>
      <c r="AS55" s="1363">
        <f>AS12/AS11</f>
        <v>0.5303739727487049</v>
      </c>
      <c r="AT55" s="332">
        <f>AT12/AT11</f>
        <v>0.53164726405622531</v>
      </c>
      <c r="AU55" s="332">
        <f>AU12/AU11</f>
        <v>0.52742936027267684</v>
      </c>
      <c r="AV55" s="332">
        <f>AV12/AV11</f>
        <v>0.50526328356911598</v>
      </c>
      <c r="AW55" s="766">
        <f>AW12/AW11</f>
        <v>0.52315458262568715</v>
      </c>
      <c r="AX55" s="332"/>
      <c r="AY55" s="1363">
        <f>AY12/AY11</f>
        <v>0.51425645937755471</v>
      </c>
      <c r="AZ55" s="332">
        <f>AZ12/AZ11</f>
        <v>0.52422910842437997</v>
      </c>
      <c r="BA55" s="332">
        <f>BA12/BA11</f>
        <v>0.52289731449018684</v>
      </c>
      <c r="BB55" s="332">
        <f>BB12/BB11</f>
        <v>0.50900938828779529</v>
      </c>
      <c r="BC55" s="766">
        <f>BC12/BC11</f>
        <v>0.5174817868371312</v>
      </c>
      <c r="BD55" s="332"/>
      <c r="BE55" s="1363">
        <f>BE12/BE11</f>
        <v>0.51103090983177135</v>
      </c>
      <c r="BF55" s="332">
        <f>BF12/BF11</f>
        <v>0.51138850672423364</v>
      </c>
      <c r="BG55" s="332">
        <f>BG12/BG11</f>
        <v>0.50317196623046057</v>
      </c>
      <c r="BH55" s="332">
        <f>BH12/BH11</f>
        <v>0.49943028887705171</v>
      </c>
      <c r="BI55" s="766">
        <f>BI12/BI11</f>
        <v>0.5061023670417365</v>
      </c>
      <c r="BJ55" s="332"/>
      <c r="BK55" s="1363">
        <f>BK12/BK11</f>
        <v>0.51575734007388696</v>
      </c>
      <c r="BL55" s="332">
        <f>BL12/BL11</f>
        <v>0.5124372199112488</v>
      </c>
      <c r="BM55" s="332">
        <f>BM12/BM11</f>
        <v>0.50202539407711999</v>
      </c>
      <c r="BN55" s="1497">
        <f>BN12/BN11</f>
        <v>0.50546805251947979</v>
      </c>
      <c r="BO55" s="766">
        <f>BO12/BO11</f>
        <v>0.50865538659014131</v>
      </c>
      <c r="BP55" s="332"/>
      <c r="BQ55" s="1363">
        <f>BQ12/BQ11</f>
        <v>0.50675734007388695</v>
      </c>
      <c r="BR55" s="332">
        <f>BR12/BR11</f>
        <v>0.49343721991124878</v>
      </c>
      <c r="BS55" s="332">
        <f>BS12/BS11</f>
        <v>0.48302539407711997</v>
      </c>
      <c r="BT55" s="332">
        <f>BT12/BT11</f>
        <v>0.48646805251947978</v>
      </c>
      <c r="BU55" s="766">
        <f>BU12/BU11</f>
        <v>0.49193596035469878</v>
      </c>
      <c r="BV55" s="332"/>
      <c r="BW55" s="1363">
        <f>BW12/BW11</f>
        <v>0.50075734007388695</v>
      </c>
      <c r="BX55" s="332">
        <f>BX12/BX11</f>
        <v>0.48743721991124878</v>
      </c>
      <c r="BY55" s="332">
        <f>BY12/BY11</f>
        <v>0.47702539407711997</v>
      </c>
      <c r="BZ55" s="332">
        <f>BZ12/BZ11</f>
        <v>0.48046805251947977</v>
      </c>
      <c r="CA55" s="766">
        <f>CA12/CA11</f>
        <v>0.48589512637887755</v>
      </c>
      <c r="CB55" s="332"/>
      <c r="CC55" s="1363">
        <f>CC12/CC11</f>
        <v>0.49575734007388694</v>
      </c>
      <c r="CD55" s="332">
        <f>CD12/CD11</f>
        <v>0.48243721991124877</v>
      </c>
      <c r="CE55" s="332">
        <f>CE12/CE11</f>
        <v>0.47202539407711996</v>
      </c>
      <c r="CF55" s="332">
        <f>CF12/CF11</f>
        <v>0.47546805251947977</v>
      </c>
      <c r="CG55" s="766">
        <f>CG12/CG11</f>
        <v>0.48090428486793885</v>
      </c>
      <c r="CH55" s="332"/>
      <c r="CI55" s="1363">
        <f>CI12/CI11</f>
        <v>0.49075734007388694</v>
      </c>
      <c r="CJ55" s="332">
        <f>CJ12/CJ11</f>
        <v>0.47743721991124877</v>
      </c>
      <c r="CK55" s="332">
        <f>CK12/CK11</f>
        <v>0.46702539407711996</v>
      </c>
      <c r="CL55" s="332">
        <f>CL12/CL11</f>
        <v>0.47046805251947976</v>
      </c>
      <c r="CM55" s="766">
        <f>CM12/CM11</f>
        <v>0.47589158156198003</v>
      </c>
      <c r="CN55" s="36"/>
      <c r="CO55" s="331"/>
      <c r="CP55" s="36"/>
      <c r="CQ55" s="36"/>
      <c r="CR55" s="36"/>
      <c r="CZ55" s="108"/>
      <c r="DA55" s="108"/>
      <c r="DB55" s="108"/>
      <c r="DC55" s="108"/>
      <c r="DD55" s="108"/>
      <c r="DE55" s="108"/>
      <c r="DF55" s="108"/>
      <c r="DG55" s="108"/>
      <c r="DH55" s="108"/>
      <c r="DI55" s="108"/>
      <c r="DJ55" s="108"/>
      <c r="DK55" s="108"/>
    </row>
    <row r="56" spans="1:115" collapsed="1">
      <c r="A56" s="67" t="s">
        <v>201</v>
      </c>
      <c r="B56" s="1497"/>
      <c r="C56" s="1498">
        <f>C13/C11</f>
        <v>0.41888061553735412</v>
      </c>
      <c r="D56" s="1497">
        <f>D13/D11</f>
        <v>0.41973976079946945</v>
      </c>
      <c r="E56" s="1497">
        <f>E13/E11</f>
        <v>0.43116776995326722</v>
      </c>
      <c r="F56" s="1497">
        <f>F13/F11</f>
        <v>0.45119670477121671</v>
      </c>
      <c r="G56" s="1499">
        <f>G13/G11</f>
        <v>0.43098557231122547</v>
      </c>
      <c r="H56" s="1500"/>
      <c r="I56" s="1498">
        <f>I13/I11</f>
        <v>0.44180981862574115</v>
      </c>
      <c r="J56" s="1497">
        <f>J13/J11</f>
        <v>0.44669630568455243</v>
      </c>
      <c r="K56" s="1497">
        <f>K13/K11</f>
        <v>0.45035269150511653</v>
      </c>
      <c r="L56" s="1497">
        <f>L13/L11</f>
        <v>0.45555044311520998</v>
      </c>
      <c r="M56" s="1499">
        <f>M13/M11</f>
        <v>0.4487221863541303</v>
      </c>
      <c r="N56" s="1500"/>
      <c r="O56" s="1498">
        <f>O13/O11</f>
        <v>0.45440611089790583</v>
      </c>
      <c r="P56" s="1497">
        <f>P13/P11</f>
        <v>0.4505692837748419</v>
      </c>
      <c r="Q56" s="1497">
        <f>Q13/Q11</f>
        <v>0.47331024093190038</v>
      </c>
      <c r="R56" s="1497">
        <f>R13/R11</f>
        <v>0.54417704784833965</v>
      </c>
      <c r="S56" s="1499">
        <f>S13/S11</f>
        <v>0.47530188306939913</v>
      </c>
      <c r="T56" s="1500"/>
      <c r="U56" s="1498">
        <f>U13/U11</f>
        <v>0.47067222193994207</v>
      </c>
      <c r="V56" s="1497">
        <f>V13/V11</f>
        <v>0.47405256107824889</v>
      </c>
      <c r="W56" s="1497">
        <f>W13/W11</f>
        <v>0.47000059619626783</v>
      </c>
      <c r="X56" s="1497">
        <f>X13/X11</f>
        <v>0.4724922396564189</v>
      </c>
      <c r="Y56" s="1499">
        <f>Y13/Y11</f>
        <v>0.47184530931100016</v>
      </c>
      <c r="Z56" s="1500"/>
      <c r="AA56" s="1498">
        <f>AA13/AA11</f>
        <v>0.51256961561624959</v>
      </c>
      <c r="AB56" s="1497">
        <f>AB13/AB11</f>
        <v>0.51076886054626403</v>
      </c>
      <c r="AC56" s="1497">
        <f>AC13/AC11</f>
        <v>0.52061416320863063</v>
      </c>
      <c r="AD56" s="1497">
        <f>AD13/AD11</f>
        <v>0.49850773755680605</v>
      </c>
      <c r="AE56" s="1499">
        <f>AE13/AE11</f>
        <v>0.51028347814860997</v>
      </c>
      <c r="AF56" s="1500"/>
      <c r="AG56" s="1498">
        <f>AG13/AG11</f>
        <v>0.49720022498709809</v>
      </c>
      <c r="AH56" s="1497">
        <f>AH13/AH11</f>
        <v>0.49310572227869082</v>
      </c>
      <c r="AI56" s="1497">
        <f>AI13/AI11</f>
        <v>0.48301708682874911</v>
      </c>
      <c r="AJ56" s="1497">
        <f>AJ13/AJ11</f>
        <v>0.48831796352494045</v>
      </c>
      <c r="AK56" s="1499">
        <f>AK13/AK11</f>
        <v>0.49037943378657672</v>
      </c>
      <c r="AL56" s="1500"/>
      <c r="AM56" s="1498">
        <f>AM13/AM11</f>
        <v>0.47276418757761524</v>
      </c>
      <c r="AN56" s="1497">
        <f>AN13/AN11</f>
        <v>0.47396744001528091</v>
      </c>
      <c r="AO56" s="1497">
        <f>AO13/AO11</f>
        <v>0.47488586330985494</v>
      </c>
      <c r="AP56" s="1497">
        <f>AP13/AP11</f>
        <v>0.4902486284108758</v>
      </c>
      <c r="AQ56" s="1499">
        <f>AQ13/AQ11</f>
        <v>0.47836676779741277</v>
      </c>
      <c r="AR56" s="1501"/>
      <c r="AS56" s="1498">
        <f>AS13/AS11</f>
        <v>0.46962602725129515</v>
      </c>
      <c r="AT56" s="1497">
        <f>AT13/AT11</f>
        <v>0.46835273594377463</v>
      </c>
      <c r="AU56" s="1497">
        <f>AU13/AU11</f>
        <v>0.47257063972732316</v>
      </c>
      <c r="AV56" s="1497">
        <f>AV13/AV11</f>
        <v>0.49473671643088407</v>
      </c>
      <c r="AW56" s="1499">
        <f>AW13/AW11</f>
        <v>0.47684541737431291</v>
      </c>
      <c r="AX56" s="1501"/>
      <c r="AY56" s="1498">
        <f>AY13/AY11</f>
        <v>0.48574354062244535</v>
      </c>
      <c r="AZ56" s="1497">
        <f>AZ13/AZ11</f>
        <v>0.47577089157562003</v>
      </c>
      <c r="BA56" s="1497">
        <f>BA13/BA11</f>
        <v>0.47710268550981316</v>
      </c>
      <c r="BB56" s="1497">
        <f>BB13/BB11</f>
        <v>0.49099061171220471</v>
      </c>
      <c r="BC56" s="1499">
        <f>BC13/BC11</f>
        <v>0.4825182131628688</v>
      </c>
      <c r="BD56" s="1728"/>
      <c r="BE56" s="1498">
        <f>BE13/BE11</f>
        <v>0.48896909016822859</v>
      </c>
      <c r="BF56" s="1497">
        <f>BF13/BF11</f>
        <v>0.48861149327576631</v>
      </c>
      <c r="BG56" s="1497">
        <f>BG13/BG11</f>
        <v>0.49682803376953943</v>
      </c>
      <c r="BH56" s="1497">
        <f>BH13/BH11</f>
        <v>0.50056971112294835</v>
      </c>
      <c r="BI56" s="1499">
        <f>BI13/BI11</f>
        <v>0.4938976329582635</v>
      </c>
      <c r="BJ56" s="1501"/>
      <c r="BK56" s="1498">
        <f>BK13/BK11</f>
        <v>0.48424265992611309</v>
      </c>
      <c r="BL56" s="1497">
        <f>BL13/BL11</f>
        <v>0.4875627800887512</v>
      </c>
      <c r="BM56" s="1497">
        <f>BM13/BM11</f>
        <v>0.49797460592288006</v>
      </c>
      <c r="BN56" s="1497">
        <f>BN13/BN11</f>
        <v>0.49453194748052021</v>
      </c>
      <c r="BO56" s="1499">
        <f>BO13/BO11</f>
        <v>0.49134461340985863</v>
      </c>
      <c r="BP56" s="1501"/>
      <c r="BQ56" s="1502">
        <f>BK56+0.9%</f>
        <v>0.4932426599261131</v>
      </c>
      <c r="BR56" s="574">
        <f>BL56+1.9%</f>
        <v>0.50656278008875122</v>
      </c>
      <c r="BS56" s="574">
        <f>BM56+1.9%</f>
        <v>0.51697460592288003</v>
      </c>
      <c r="BT56" s="574">
        <f>BN56+1.9%</f>
        <v>0.51353194748052022</v>
      </c>
      <c r="BU56" s="1499">
        <f>BU13/BU11</f>
        <v>0.50806403964530122</v>
      </c>
      <c r="BV56" s="1501"/>
      <c r="BW56" s="1502">
        <f>BQ56+0.6%</f>
        <v>0.49924265992611311</v>
      </c>
      <c r="BX56" s="574">
        <f t="shared" ref="BX56:BZ56" si="58">BR56+0.6%</f>
        <v>0.51256278008875122</v>
      </c>
      <c r="BY56" s="574">
        <f t="shared" si="58"/>
        <v>0.52297460592288003</v>
      </c>
      <c r="BZ56" s="574">
        <f t="shared" si="58"/>
        <v>0.51953194748052023</v>
      </c>
      <c r="CA56" s="1499">
        <f>CA13/CA11</f>
        <v>0.51410487362112245</v>
      </c>
      <c r="CB56" s="1501"/>
      <c r="CC56" s="1502">
        <f>BW56+0.5%</f>
        <v>0.50424265992611306</v>
      </c>
      <c r="CD56" s="574">
        <f t="shared" ref="CD56" si="59">BX56+0.5%</f>
        <v>0.51756278008875123</v>
      </c>
      <c r="CE56" s="574">
        <f t="shared" ref="CE56" si="60">BY56+0.5%</f>
        <v>0.52797460592288004</v>
      </c>
      <c r="CF56" s="574">
        <f t="shared" ref="CF56" si="61">BZ56+0.5%</f>
        <v>0.52453194748052023</v>
      </c>
      <c r="CG56" s="1499">
        <f>CG13/CG11</f>
        <v>0.5190957151320611</v>
      </c>
      <c r="CH56" s="1501"/>
      <c r="CI56" s="1502">
        <f>CC56+0.5%</f>
        <v>0.50924265992611306</v>
      </c>
      <c r="CJ56" s="574">
        <f t="shared" ref="CJ56" si="62">CD56+0.5%</f>
        <v>0.52256278008875123</v>
      </c>
      <c r="CK56" s="574">
        <f t="shared" ref="CK56" si="63">CE56+0.5%</f>
        <v>0.53297460592288004</v>
      </c>
      <c r="CL56" s="574">
        <f t="shared" ref="CL56" si="64">CF56+0.5%</f>
        <v>0.52953194748052024</v>
      </c>
      <c r="CM56" s="1499">
        <f>CM13/CM11</f>
        <v>0.52410841843801992</v>
      </c>
      <c r="CN56" s="36"/>
      <c r="CO56" s="331"/>
      <c r="CP56" s="36"/>
      <c r="CQ56" s="36"/>
      <c r="CR56" s="36"/>
      <c r="CZ56" s="108"/>
      <c r="DA56" s="108"/>
      <c r="DB56" s="108"/>
      <c r="DC56" s="108"/>
      <c r="DD56" s="108"/>
      <c r="DE56" s="108"/>
      <c r="DF56" s="108"/>
      <c r="DG56" s="108"/>
      <c r="DH56" s="108"/>
      <c r="DI56" s="108"/>
      <c r="DJ56" s="108"/>
      <c r="DK56" s="108"/>
    </row>
    <row r="57" spans="1:115">
      <c r="A57" s="84" t="s">
        <v>119</v>
      </c>
      <c r="B57" s="1497"/>
      <c r="C57" s="1498">
        <f>C14/C11</f>
        <v>6.7612310747083654E-2</v>
      </c>
      <c r="D57" s="1497">
        <f>D14/D11</f>
        <v>6.1323149397425052E-2</v>
      </c>
      <c r="E57" s="1497">
        <f>E14/E11</f>
        <v>6.2412203788205695E-2</v>
      </c>
      <c r="F57" s="1497">
        <f>F14/F11</f>
        <v>5.4616752826636424E-2</v>
      </c>
      <c r="G57" s="1499">
        <f>G14/G11</f>
        <v>6.1200544475458481E-2</v>
      </c>
      <c r="H57" s="1503"/>
      <c r="I57" s="1498">
        <f>I14/I11</f>
        <v>5.9615887687478206E-2</v>
      </c>
      <c r="J57" s="1497">
        <f>J14/J11</f>
        <v>5.6091016209044185E-2</v>
      </c>
      <c r="K57" s="1497">
        <f>K14/K11</f>
        <v>5.366508824076182E-2</v>
      </c>
      <c r="L57" s="1497">
        <f>L14/L11</f>
        <v>4.9632904555184341E-2</v>
      </c>
      <c r="M57" s="1499">
        <f>M14/M11</f>
        <v>5.4663486934575574E-2</v>
      </c>
      <c r="N57" s="1500"/>
      <c r="O57" s="1498">
        <f>O14/O11</f>
        <v>5.9137276890869277E-2</v>
      </c>
      <c r="P57" s="1497">
        <f>P14/P11</f>
        <v>5.7754352339881812E-2</v>
      </c>
      <c r="Q57" s="1497">
        <f>Q14/Q11</f>
        <v>6.0474331363583315E-2</v>
      </c>
      <c r="R57" s="1497">
        <f>R14/R11</f>
        <v>4.972977292934138E-2</v>
      </c>
      <c r="S57" s="1499">
        <f>S14/S11</f>
        <v>5.7249772048136215E-2</v>
      </c>
      <c r="T57" s="1500"/>
      <c r="U57" s="1498">
        <f>U14/U11</f>
        <v>5.7570753518622023E-2</v>
      </c>
      <c r="V57" s="1497">
        <f>V14/V11</f>
        <v>5.3395606870636214E-2</v>
      </c>
      <c r="W57" s="1497">
        <f>W14/W11</f>
        <v>5.583735765814106E-2</v>
      </c>
      <c r="X57" s="1497">
        <f>X14/X11</f>
        <v>5.2332355317429961E-2</v>
      </c>
      <c r="Y57" s="1499">
        <f>Y14/Y11</f>
        <v>5.4666643207356848E-2</v>
      </c>
      <c r="Z57" s="1500"/>
      <c r="AA57" s="1498">
        <f>AA14/AA11</f>
        <v>5.3571169873486355E-2</v>
      </c>
      <c r="AB57" s="1497">
        <f>AB14/AB11</f>
        <v>5.3155790852818879E-2</v>
      </c>
      <c r="AC57" s="1497">
        <f>AC14/AC11</f>
        <v>6.0027770997314933E-2</v>
      </c>
      <c r="AD57" s="1497">
        <f>AD14/AD11</f>
        <v>5.5252529082416596E-2</v>
      </c>
      <c r="AE57" s="1499">
        <f>AE14/AE11</f>
        <v>5.5483753235351076E-2</v>
      </c>
      <c r="AF57" s="1500"/>
      <c r="AG57" s="1498">
        <f>AG14/AG11</f>
        <v>6.2864951687693169E-2</v>
      </c>
      <c r="AH57" s="1497">
        <f>AH14/AH11</f>
        <v>6.3445391571301621E-2</v>
      </c>
      <c r="AI57" s="1497">
        <f>AI14/AI11</f>
        <v>6.2753354919285756E-2</v>
      </c>
      <c r="AJ57" s="1497">
        <f>AJ14/AJ11</f>
        <v>5.7605152193165629E-2</v>
      </c>
      <c r="AK57" s="1499">
        <f>AK14/AK11</f>
        <v>6.1565179546233549E-2</v>
      </c>
      <c r="AL57" s="1500"/>
      <c r="AM57" s="1498">
        <f>AM14/AM11</f>
        <v>6.7171946147326078E-2</v>
      </c>
      <c r="AN57" s="1497">
        <f>AN14/AN11</f>
        <v>6.3004158156893281E-2</v>
      </c>
      <c r="AO57" s="1497">
        <f>AO14/AO11</f>
        <v>5.9656416822265884E-2</v>
      </c>
      <c r="AP57" s="1497">
        <f>AP14/AP11</f>
        <v>5.5388800694927243E-2</v>
      </c>
      <c r="AQ57" s="1499">
        <f>AQ14/AQ11</f>
        <v>6.1085970234572261E-2</v>
      </c>
      <c r="AR57" s="1501"/>
      <c r="AS57" s="1498">
        <f>AS14/AS11</f>
        <v>5.4839183675703167E-2</v>
      </c>
      <c r="AT57" s="1497">
        <f>AT14/AT11</f>
        <v>5.4351945957679747E-2</v>
      </c>
      <c r="AU57" s="1497">
        <f>AU14/AU11</f>
        <v>5.5811656129992691E-2</v>
      </c>
      <c r="AV57" s="1497">
        <f>AV14/AV11</f>
        <v>5.0057236873702705E-2</v>
      </c>
      <c r="AW57" s="1499">
        <f>AW14/AW11</f>
        <v>5.365462543227191E-2</v>
      </c>
      <c r="AX57" s="1501"/>
      <c r="AY57" s="1498">
        <f>AY14/AY11</f>
        <v>6.0485702253453663E-2</v>
      </c>
      <c r="AZ57" s="1497">
        <f>AZ14/AZ11</f>
        <v>5.5950656849292908E-2</v>
      </c>
      <c r="BA57" s="1497">
        <f>BA14/BA11</f>
        <v>5.1362729301295672E-2</v>
      </c>
      <c r="BB57" s="1497">
        <f>BB14/BB11</f>
        <v>4.5959106919827672E-2</v>
      </c>
      <c r="BC57" s="1499">
        <f>BC14/BC11</f>
        <v>5.3143492178075812E-2</v>
      </c>
      <c r="BD57" s="1728"/>
      <c r="BE57" s="1498">
        <f>BE14/BE11</f>
        <v>5.9816415792336673E-2</v>
      </c>
      <c r="BF57" s="1497">
        <f>BF14/BF11</f>
        <v>5.9095705214962956E-2</v>
      </c>
      <c r="BG57" s="1497">
        <f>BG14/BG11</f>
        <v>5.7124537320392875E-2</v>
      </c>
      <c r="BH57" s="1497">
        <f>BH14/BH11</f>
        <v>5.8029399210517967E-2</v>
      </c>
      <c r="BI57" s="1499">
        <f>BI14/BI11</f>
        <v>5.8500312820735763E-2</v>
      </c>
      <c r="BJ57" s="1501"/>
      <c r="BK57" s="1498">
        <f>BK14/BK11</f>
        <v>6.4724868753645734E-2</v>
      </c>
      <c r="BL57" s="1497">
        <f>BL14/BL11</f>
        <v>6.1226578549131126E-2</v>
      </c>
      <c r="BM57" s="1497">
        <f>BM14/BM11</f>
        <v>6.2763770154745144E-2</v>
      </c>
      <c r="BN57" s="1497">
        <f>BN14/BN11</f>
        <v>5.8739301890408366E-2</v>
      </c>
      <c r="BO57" s="1499">
        <f>BO14/BO11</f>
        <v>6.1693907190727676E-2</v>
      </c>
      <c r="BP57" s="1501"/>
      <c r="BQ57" s="1502">
        <f>BK57+0.5%</f>
        <v>6.9724868753645738E-2</v>
      </c>
      <c r="BR57" s="574">
        <f>BL57+0.3%</f>
        <v>6.4226578549131122E-2</v>
      </c>
      <c r="BS57" s="574">
        <f t="shared" ref="BS57:BT57" si="65">BM57+0.3%</f>
        <v>6.5763770154745146E-2</v>
      </c>
      <c r="BT57" s="574">
        <f t="shared" si="65"/>
        <v>6.1739301890408368E-2</v>
      </c>
      <c r="BU57" s="1499">
        <f>BU14/BU11</f>
        <v>6.5159545894308515E-2</v>
      </c>
      <c r="BV57" s="1501"/>
      <c r="BW57" s="1502">
        <f>BQ57-0.15%</f>
        <v>6.8224868753645737E-2</v>
      </c>
      <c r="BX57" s="574">
        <f>BR57-0.15%</f>
        <v>6.2726578549131121E-2</v>
      </c>
      <c r="BY57" s="574">
        <f>BS57-0.15%</f>
        <v>6.4263770154745145E-2</v>
      </c>
      <c r="BZ57" s="574">
        <f>BT57-0.15%</f>
        <v>6.0239301890408367E-2</v>
      </c>
      <c r="CA57" s="1499">
        <f>CA14/CA11</f>
        <v>6.3648285095172938E-2</v>
      </c>
      <c r="CB57" s="1501"/>
      <c r="CC57" s="1502">
        <f>BW57-0.15%</f>
        <v>6.6724868753645736E-2</v>
      </c>
      <c r="CD57" s="574">
        <f>BX57-0.15%</f>
        <v>6.1226578549131119E-2</v>
      </c>
      <c r="CE57" s="574">
        <f>BY57-0.15%</f>
        <v>6.2763770154745144E-2</v>
      </c>
      <c r="CF57" s="574">
        <f>BZ57-0.15%</f>
        <v>5.8739301890408366E-2</v>
      </c>
      <c r="CG57" s="1499">
        <f>CG14/CG11</f>
        <v>6.2152626117113446E-2</v>
      </c>
      <c r="CH57" s="1501"/>
      <c r="CI57" s="1502">
        <f>CC57-0.15%</f>
        <v>6.5224868753645734E-2</v>
      </c>
      <c r="CJ57" s="574">
        <f>CD57-0.15%</f>
        <v>5.9726578549131118E-2</v>
      </c>
      <c r="CK57" s="574">
        <f>CE57-0.15%</f>
        <v>6.1263770154745142E-2</v>
      </c>
      <c r="CL57" s="574">
        <f>CF57-0.15%</f>
        <v>5.7239301890408364E-2</v>
      </c>
      <c r="CM57" s="1499">
        <f>CM14/CM11</f>
        <v>6.0650357524601281E-2</v>
      </c>
      <c r="CN57" s="36"/>
      <c r="CO57" s="36"/>
      <c r="CP57" s="1631"/>
      <c r="CQ57" s="36"/>
      <c r="CR57" s="36"/>
      <c r="CZ57" s="108"/>
      <c r="DA57" s="108"/>
      <c r="DB57" s="108"/>
      <c r="DC57" s="108"/>
      <c r="DD57" s="108"/>
      <c r="DE57" s="108"/>
      <c r="DF57" s="108"/>
      <c r="DG57" s="108"/>
      <c r="DH57" s="108"/>
      <c r="DI57" s="108"/>
      <c r="DJ57" s="108"/>
      <c r="DK57" s="108"/>
    </row>
    <row r="58" spans="1:115">
      <c r="A58" s="84" t="s">
        <v>120</v>
      </c>
      <c r="B58" s="1497"/>
      <c r="C58" s="1498">
        <f>C15/C11</f>
        <v>0.24432613551749813</v>
      </c>
      <c r="D58" s="1497">
        <f>D15/D11</f>
        <v>0.2423037343639233</v>
      </c>
      <c r="E58" s="1497">
        <f>E15/E11</f>
        <v>0.23561289789472717</v>
      </c>
      <c r="F58" s="1497">
        <f>F15/F11</f>
        <v>0.24749581335358173</v>
      </c>
      <c r="G58" s="1499">
        <f>G15/G11</f>
        <v>0.24252897578382207</v>
      </c>
      <c r="H58" s="1500"/>
      <c r="I58" s="1498">
        <f>I15/I11</f>
        <v>0.27674616323683293</v>
      </c>
      <c r="J58" s="1497">
        <f>J15/J11</f>
        <v>0.27248027090986499</v>
      </c>
      <c r="K58" s="1497">
        <f>K15/K11</f>
        <v>0.26262096681545788</v>
      </c>
      <c r="L58" s="1497">
        <f>L15/L11</f>
        <v>0.23419889171184505</v>
      </c>
      <c r="M58" s="1499">
        <f>M15/M11</f>
        <v>0.26120551798844871</v>
      </c>
      <c r="N58" s="1500"/>
      <c r="O58" s="1498">
        <f>O15/O11</f>
        <v>0.2849844998471816</v>
      </c>
      <c r="P58" s="1497">
        <f>P15/P11</f>
        <v>0.27302347867752758</v>
      </c>
      <c r="Q58" s="1497">
        <f>Q15/Q11</f>
        <v>0.28672858825151976</v>
      </c>
      <c r="R58" s="1497">
        <f>R15/R11</f>
        <v>0.32966037635321671</v>
      </c>
      <c r="S58" s="1499">
        <f>S15/S11</f>
        <v>0.2906795738364138</v>
      </c>
      <c r="T58" s="1500"/>
      <c r="U58" s="1498">
        <f>U15/U11</f>
        <v>0.29669224124790411</v>
      </c>
      <c r="V58" s="1497">
        <f>V15/V11</f>
        <v>0.28806410697139606</v>
      </c>
      <c r="W58" s="1497">
        <f>W15/W11</f>
        <v>0.27701901866094319</v>
      </c>
      <c r="X58" s="1497">
        <f>X15/X11</f>
        <v>0.25348471318620569</v>
      </c>
      <c r="Y58" s="1499">
        <f>Y15/Y11</f>
        <v>0.27780104159335633</v>
      </c>
      <c r="Z58" s="1500"/>
      <c r="AA58" s="1498">
        <f>AA15/AA11</f>
        <v>0.25838336551535729</v>
      </c>
      <c r="AB58" s="1497">
        <f>AB15/AB11</f>
        <v>0.25011602523333953</v>
      </c>
      <c r="AC58" s="1497">
        <f>AC15/AC11</f>
        <v>0.2514495740313164</v>
      </c>
      <c r="AD58" s="1497">
        <f>AD15/AD11</f>
        <v>0.26055100865385861</v>
      </c>
      <c r="AE58" s="1499">
        <f>AE15/AE11</f>
        <v>0.25518323504531321</v>
      </c>
      <c r="AF58" s="1500"/>
      <c r="AG58" s="1498">
        <f>AG15/AG11</f>
        <v>0.2817209580120727</v>
      </c>
      <c r="AH58" s="1497">
        <f>AH15/AH11</f>
        <v>0.26106945381237873</v>
      </c>
      <c r="AI58" s="1497">
        <f>AI15/AI11</f>
        <v>0.26823038569189322</v>
      </c>
      <c r="AJ58" s="1497">
        <f>AJ15/AJ11</f>
        <v>0.24771705918748271</v>
      </c>
      <c r="AK58" s="1499">
        <f>AK15/AK11</f>
        <v>0.26418265346815767</v>
      </c>
      <c r="AL58" s="1500"/>
      <c r="AM58" s="1498">
        <f>AM15/AM11</f>
        <v>0.2796475527783801</v>
      </c>
      <c r="AN58" s="1497">
        <f>AN15/AN11</f>
        <v>0.25405530495599399</v>
      </c>
      <c r="AO58" s="1497">
        <f>AO15/AO11</f>
        <v>0.25831993309897822</v>
      </c>
      <c r="AP58" s="1497">
        <f>AP15/AP11</f>
        <v>0.24283566687260844</v>
      </c>
      <c r="AQ58" s="1499">
        <f>AQ15/AQ11</f>
        <v>0.25799707919478926</v>
      </c>
      <c r="AR58" s="1501"/>
      <c r="AS58" s="1498">
        <f>AS15/AS11</f>
        <v>0.26544164586878538</v>
      </c>
      <c r="AT58" s="1497">
        <f>AT15/AT11</f>
        <v>0.24647921175420226</v>
      </c>
      <c r="AU58" s="1497">
        <f>AU15/AU11</f>
        <v>0.24848159775366382</v>
      </c>
      <c r="AV58" s="1497">
        <f>AV15/AV11</f>
        <v>0.23010621380188784</v>
      </c>
      <c r="AW58" s="1499">
        <f>AW15/AW11</f>
        <v>0.24702009778911319</v>
      </c>
      <c r="AX58" s="1501"/>
      <c r="AY58" s="1498">
        <f>AY15/AY11</f>
        <v>0.27683046662758143</v>
      </c>
      <c r="AZ58" s="1497">
        <f>AZ15/AZ11</f>
        <v>0.25520350624116256</v>
      </c>
      <c r="BA58" s="1497">
        <f>BA15/BA11</f>
        <v>0.26080852545213468</v>
      </c>
      <c r="BB58" s="1497">
        <f>BB15/BB11</f>
        <v>0.23786469077590197</v>
      </c>
      <c r="BC58" s="1499">
        <f>BC15/BC11</f>
        <v>0.25688395816909032</v>
      </c>
      <c r="BD58" s="1728"/>
      <c r="BE58" s="1498">
        <f>BE15/BE11</f>
        <v>0.26616297765314906</v>
      </c>
      <c r="BF58" s="1497">
        <f>BF15/BF11</f>
        <v>0.25427931202905196</v>
      </c>
      <c r="BG58" s="1497">
        <f>BG15/BG11</f>
        <v>0.24987127548988178</v>
      </c>
      <c r="BH58" s="1497">
        <f>BH15/BH11</f>
        <v>0.2296482607054541</v>
      </c>
      <c r="BI58" s="1499">
        <f>BI15/BI11</f>
        <v>0.24940601863315298</v>
      </c>
      <c r="BJ58" s="1501"/>
      <c r="BK58" s="1498">
        <f>BK15/BK11</f>
        <v>0.2560626093719619</v>
      </c>
      <c r="BL58" s="1497">
        <f>BL15/BL11</f>
        <v>0.24435801647817412</v>
      </c>
      <c r="BM58" s="1497">
        <f>BM15/BM11</f>
        <v>0.24221765321213434</v>
      </c>
      <c r="BN58" s="1497">
        <f>BN15/BN11</f>
        <v>0.22233682704937061</v>
      </c>
      <c r="BO58" s="1499">
        <f>BO15/BO11</f>
        <v>0.24023852308095711</v>
      </c>
      <c r="BP58" s="1501"/>
      <c r="BQ58" s="1502">
        <f>BK58+0.5%</f>
        <v>0.26106260937196191</v>
      </c>
      <c r="BR58" s="574">
        <f>BL58+0.1%</f>
        <v>0.24535801647817412</v>
      </c>
      <c r="BS58" s="574">
        <f t="shared" ref="BS58:BT58" si="66">BM58+0.1%</f>
        <v>0.24321765321213434</v>
      </c>
      <c r="BT58" s="574">
        <f t="shared" si="66"/>
        <v>0.22333682704937061</v>
      </c>
      <c r="BU58" s="1499">
        <f>BU15/BU11</f>
        <v>0.24226363344633242</v>
      </c>
      <c r="BV58" s="1501"/>
      <c r="BW58" s="1502">
        <f t="shared" ref="BW58" si="67">BQ58-0.3%</f>
        <v>0.2580626093719619</v>
      </c>
      <c r="BX58" s="574">
        <f t="shared" ref="BX58" si="68">BR58-0.3%</f>
        <v>0.24235801647817412</v>
      </c>
      <c r="BY58" s="574">
        <f t="shared" ref="BY58" si="69">BS58-0.3%</f>
        <v>0.24021765321213434</v>
      </c>
      <c r="BZ58" s="574">
        <f t="shared" ref="BZ58" si="70">BT58-0.3%</f>
        <v>0.2203368270493706</v>
      </c>
      <c r="CA58" s="1499">
        <f t="shared" ref="CA58" si="71">CA15/CA11</f>
        <v>0.23920716393770036</v>
      </c>
      <c r="CB58" s="1501"/>
      <c r="CC58" s="1502">
        <f t="shared" ref="CC58" si="72">BW58-0.3%</f>
        <v>0.2550626093719619</v>
      </c>
      <c r="CD58" s="574">
        <f t="shared" ref="CD58" si="73">BX58-0.3%</f>
        <v>0.23935801647817412</v>
      </c>
      <c r="CE58" s="574">
        <f t="shared" ref="CE58" si="74">BY58-0.3%</f>
        <v>0.23721765321213434</v>
      </c>
      <c r="CF58" s="574">
        <f t="shared" ref="CF58" si="75">BZ58-0.3%</f>
        <v>0.2173368270493706</v>
      </c>
      <c r="CG58" s="1499">
        <f t="shared" ref="CG58" si="76">CG15/CG11</f>
        <v>0.23623530961803754</v>
      </c>
      <c r="CH58" s="1501"/>
      <c r="CI58" s="1502">
        <f t="shared" ref="CI58" si="77">CC58-0.3%</f>
        <v>0.2520626093719619</v>
      </c>
      <c r="CJ58" s="574">
        <f t="shared" ref="CJ58" si="78">CD58-0.3%</f>
        <v>0.23635801647817412</v>
      </c>
      <c r="CK58" s="574">
        <f t="shared" ref="CK58" si="79">CE58-0.3%</f>
        <v>0.23421765321213434</v>
      </c>
      <c r="CL58" s="574">
        <f t="shared" ref="CL58" si="80">CF58-0.3%</f>
        <v>0.2143368270493706</v>
      </c>
      <c r="CM58" s="1499">
        <f t="shared" ref="CM58" si="81">CM15/CM11</f>
        <v>0.23322071619148654</v>
      </c>
      <c r="CN58" s="36"/>
      <c r="CO58" s="36"/>
      <c r="CP58" s="36"/>
      <c r="CQ58" s="36"/>
      <c r="CR58" s="36"/>
      <c r="CZ58" s="108"/>
      <c r="DA58" s="108"/>
      <c r="DB58" s="108"/>
      <c r="DC58" s="108"/>
      <c r="DD58" s="108"/>
      <c r="DE58" s="108"/>
      <c r="DF58" s="108"/>
      <c r="DG58" s="108"/>
      <c r="DH58" s="108"/>
      <c r="DI58" s="108"/>
      <c r="DJ58" s="108"/>
      <c r="DK58" s="108"/>
    </row>
    <row r="59" spans="1:115">
      <c r="A59" s="208" t="s">
        <v>202</v>
      </c>
      <c r="B59" s="1497"/>
      <c r="C59" s="1498">
        <f>C18/C11</f>
        <v>0.10694216927277235</v>
      </c>
      <c r="D59" s="1497">
        <f>D18/D11</f>
        <v>0.11611287703812111</v>
      </c>
      <c r="E59" s="1497">
        <f>E18/E11</f>
        <v>0.13314266827033436</v>
      </c>
      <c r="F59" s="1497">
        <f>F18/F11</f>
        <v>0.14908413859099853</v>
      </c>
      <c r="G59" s="1499">
        <f>G18/G11</f>
        <v>0.12725605205194487</v>
      </c>
      <c r="H59" s="1500"/>
      <c r="I59" s="1498">
        <f>I18/I11</f>
        <v>0.10544776770143004</v>
      </c>
      <c r="J59" s="1497">
        <f>J18/J11</f>
        <v>0.11812501856564327</v>
      </c>
      <c r="K59" s="1497">
        <f>K18/K11</f>
        <v>0.1340666364488968</v>
      </c>
      <c r="L59" s="1497">
        <f>L18/L11</f>
        <v>0.17171864684818056</v>
      </c>
      <c r="M59" s="1499">
        <f>M18/M11</f>
        <v>0.132853181431106</v>
      </c>
      <c r="N59" s="1500"/>
      <c r="O59" s="1498">
        <f>O18/O11</f>
        <v>0.11028433415985499</v>
      </c>
      <c r="P59" s="1497">
        <f>P18/P11</f>
        <v>0.11979145275743251</v>
      </c>
      <c r="Q59" s="1497">
        <f>Q18/Q11</f>
        <v>0.12610732131679733</v>
      </c>
      <c r="R59" s="1497">
        <f>R18/R11</f>
        <v>0.16478689856578152</v>
      </c>
      <c r="S59" s="1499">
        <f>S18/S11</f>
        <v>0.1273725371848492</v>
      </c>
      <c r="T59" s="1500"/>
      <c r="U59" s="1498">
        <f>U18/U11</f>
        <v>0.11640922717341598</v>
      </c>
      <c r="V59" s="1497">
        <f>V18/V11</f>
        <v>0.13259284723621662</v>
      </c>
      <c r="W59" s="1497">
        <f>W18/W11</f>
        <v>0.13714421987718359</v>
      </c>
      <c r="X59" s="1497">
        <f>X18/X11</f>
        <v>0.16667517115278324</v>
      </c>
      <c r="Y59" s="1499">
        <f>Y18/Y11</f>
        <v>0.13937762451028696</v>
      </c>
      <c r="Z59" s="1500"/>
      <c r="AA59" s="1498">
        <f>AA18/AA11</f>
        <v>0.20061508022740596</v>
      </c>
      <c r="AB59" s="1497">
        <f>AB18/AB11</f>
        <v>0.20749704446010561</v>
      </c>
      <c r="AC59" s="1497">
        <f>AC18/AC11</f>
        <v>0.20913681817999924</v>
      </c>
      <c r="AD59" s="1497">
        <f>AD18/AD11</f>
        <v>0.18270419982053085</v>
      </c>
      <c r="AE59" s="1499">
        <f>AE18/AE11</f>
        <v>0.19961648986794561</v>
      </c>
      <c r="AF59" s="1500"/>
      <c r="AG59" s="1498">
        <f>AG18/AG11</f>
        <v>0.15261431528733224</v>
      </c>
      <c r="AH59" s="1497">
        <f>AH18/AH11</f>
        <v>0.16859087689501051</v>
      </c>
      <c r="AI59" s="1497">
        <f>AI18/AI11</f>
        <v>0.15203334621757014</v>
      </c>
      <c r="AJ59" s="1497">
        <f>AJ18/AJ11</f>
        <v>0.18299575214429206</v>
      </c>
      <c r="AK59" s="1499">
        <f>AK18/AK11</f>
        <v>0.1646316007721855</v>
      </c>
      <c r="AL59" s="1500"/>
      <c r="AM59" s="1498">
        <f>AM18/AM11</f>
        <v>0.12594468865190908</v>
      </c>
      <c r="AN59" s="1497">
        <f>AN18/AN11</f>
        <v>0.15690797690239361</v>
      </c>
      <c r="AO59" s="1497">
        <f>AO18/AO11</f>
        <v>0.15690951338861084</v>
      </c>
      <c r="AP59" s="1497">
        <f>AP18/AP11</f>
        <v>0.19202416084334015</v>
      </c>
      <c r="AQ59" s="1499">
        <f>AQ18/AQ11</f>
        <v>0.15928371836805122</v>
      </c>
      <c r="AR59" s="1500"/>
      <c r="AS59" s="1498">
        <f>AS18/AS11</f>
        <v>0.1493451977068066</v>
      </c>
      <c r="AT59" s="1497">
        <f>AT18/AT11</f>
        <v>0.16752157823189259</v>
      </c>
      <c r="AU59" s="1497">
        <f>AU18/AU11</f>
        <v>0.16827738584366664</v>
      </c>
      <c r="AV59" s="1497">
        <f>AV18/AV11</f>
        <v>0.21457326575529351</v>
      </c>
      <c r="AW59" s="1499">
        <f>AW18/AW11</f>
        <v>0.1761706941529278</v>
      </c>
      <c r="AX59" s="1500"/>
      <c r="AY59" s="1498">
        <f>AY18/AY11</f>
        <v>0.14842737174141027</v>
      </c>
      <c r="AZ59" s="1497">
        <f>AZ18/AZ11</f>
        <v>0.16461672848516451</v>
      </c>
      <c r="BA59" s="1497">
        <f>BA18/BA11</f>
        <v>0.16493143075638281</v>
      </c>
      <c r="BB59" s="1497">
        <f>BB18/BB11</f>
        <v>0.2071668140164751</v>
      </c>
      <c r="BC59" s="1499">
        <f>BC18/BC11</f>
        <v>0.17249076281570266</v>
      </c>
      <c r="BD59" s="2236"/>
      <c r="BE59" s="1497">
        <f>BE18/BE11</f>
        <v>0.16298969672274286</v>
      </c>
      <c r="BF59" s="1497">
        <f>BF18/BF11</f>
        <v>0.17523647603175141</v>
      </c>
      <c r="BG59" s="1497">
        <f>BG18/BG11</f>
        <v>0.18983222095926475</v>
      </c>
      <c r="BH59" s="1497">
        <f>BH18/BH11</f>
        <v>0.21289205120697621</v>
      </c>
      <c r="BI59" s="1499">
        <f>BI18/BI11</f>
        <v>0.18599130150437471</v>
      </c>
      <c r="BJ59" s="1500"/>
      <c r="BK59" s="1498">
        <f>BK18/BK11</f>
        <v>0.16345518180050544</v>
      </c>
      <c r="BL59" s="1497">
        <f>BL18/BL11</f>
        <v>0.18197818506144597</v>
      </c>
      <c r="BM59" s="1497">
        <f>BM18/BM11</f>
        <v>0.19299318255600054</v>
      </c>
      <c r="BN59" s="1497">
        <f>BN18/BN11</f>
        <v>0.21345581854074125</v>
      </c>
      <c r="BO59" s="1499">
        <f>BO18/BO11</f>
        <v>0.18941218313817387</v>
      </c>
      <c r="BP59" s="1500"/>
      <c r="BQ59" s="1498">
        <f>BQ18/BQ11</f>
        <v>0.1624551818005055</v>
      </c>
      <c r="BR59" s="1497">
        <f>BR18/BR11</f>
        <v>0.19697818506144596</v>
      </c>
      <c r="BS59" s="1497">
        <f>BS18/BS11</f>
        <v>0.20799318255600049</v>
      </c>
      <c r="BT59" s="1497">
        <f>BT18/BT11</f>
        <v>0.22845581854074126</v>
      </c>
      <c r="BU59" s="1499">
        <f>BU18/BU11</f>
        <v>0.20064086030466027</v>
      </c>
      <c r="BV59" s="1500"/>
      <c r="BW59" s="1498">
        <f>BW18/BW11</f>
        <v>0.17295518180050545</v>
      </c>
      <c r="BX59" s="1497">
        <f>BX18/BX11</f>
        <v>0.207478185061446</v>
      </c>
      <c r="BY59" s="1497">
        <f>BY18/BY11</f>
        <v>0.2184931825560005</v>
      </c>
      <c r="BZ59" s="1497">
        <f>BZ18/BZ11</f>
        <v>0.23895581854074127</v>
      </c>
      <c r="CA59" s="1499">
        <f>CA18/CA11</f>
        <v>0.21124942458824914</v>
      </c>
      <c r="CB59" s="1500"/>
      <c r="CC59" s="1498">
        <f>CC18/CC11</f>
        <v>0.18245518180050541</v>
      </c>
      <c r="CD59" s="1497">
        <f>CD18/CD11</f>
        <v>0.21697818506144598</v>
      </c>
      <c r="CE59" s="1497">
        <f>CE18/CE11</f>
        <v>0.2279931825560006</v>
      </c>
      <c r="CF59" s="1497">
        <f>CF18/CF11</f>
        <v>0.24845581854074128</v>
      </c>
      <c r="CG59" s="1499">
        <f>CG18/CG11</f>
        <v>0.22070777939691016</v>
      </c>
      <c r="CH59" s="1500"/>
      <c r="CI59" s="1498">
        <f>CI18/CI11</f>
        <v>0.19195518180050544</v>
      </c>
      <c r="CJ59" s="1497">
        <f>CJ18/CJ11</f>
        <v>0.22647818506144599</v>
      </c>
      <c r="CK59" s="1497">
        <f>CK18/CK11</f>
        <v>0.23749318255600055</v>
      </c>
      <c r="CL59" s="1497">
        <f>CL18/CL11</f>
        <v>0.25795581854074129</v>
      </c>
      <c r="CM59" s="1499">
        <f>CM18/CM11</f>
        <v>0.23023734472193214</v>
      </c>
      <c r="CN59" s="36"/>
      <c r="CO59" s="36"/>
      <c r="CP59" s="36"/>
      <c r="CQ59" s="2270"/>
      <c r="CR59" s="36"/>
      <c r="CZ59" s="108"/>
      <c r="DA59" s="108"/>
      <c r="DB59" s="108"/>
      <c r="DC59" s="108"/>
      <c r="DD59" s="108"/>
      <c r="DE59" s="108"/>
      <c r="DF59" s="108"/>
      <c r="DG59" s="108"/>
      <c r="DH59" s="108"/>
      <c r="DI59" s="108"/>
      <c r="DJ59" s="108"/>
      <c r="DK59" s="108"/>
    </row>
    <row r="60" spans="1:115">
      <c r="A60" s="2207" t="s">
        <v>675</v>
      </c>
      <c r="B60" s="2237"/>
      <c r="C60" s="2238"/>
      <c r="D60" s="2237"/>
      <c r="E60" s="2237"/>
      <c r="F60" s="2237"/>
      <c r="G60" s="2239"/>
      <c r="H60" s="2240"/>
      <c r="I60" s="2241"/>
      <c r="J60" s="2237"/>
      <c r="K60" s="2237"/>
      <c r="L60" s="2237"/>
      <c r="M60" s="2239"/>
      <c r="N60" s="2240"/>
      <c r="O60" s="2241"/>
      <c r="P60" s="2237"/>
      <c r="Q60" s="2237"/>
      <c r="R60" s="2237"/>
      <c r="S60" s="2239"/>
      <c r="T60" s="2240"/>
      <c r="U60" s="2241"/>
      <c r="V60" s="2237"/>
      <c r="W60" s="2237"/>
      <c r="X60" s="2237"/>
      <c r="Y60" s="2239"/>
      <c r="Z60" s="2240"/>
      <c r="AA60" s="2241"/>
      <c r="AB60" s="2237"/>
      <c r="AC60" s="2237"/>
      <c r="AD60" s="2237"/>
      <c r="AE60" s="2239"/>
      <c r="AF60" s="2240"/>
      <c r="AG60" s="2241"/>
      <c r="AH60" s="2237"/>
      <c r="AI60" s="2237"/>
      <c r="AJ60" s="2237"/>
      <c r="AK60" s="2239"/>
      <c r="AL60" s="2240"/>
      <c r="AM60" s="2241"/>
      <c r="AN60" s="2237"/>
      <c r="AO60" s="2237"/>
      <c r="AP60" s="2237"/>
      <c r="AQ60" s="2239"/>
      <c r="AR60" s="2240"/>
      <c r="AS60" s="2241">
        <f>AS154</f>
        <v>0.4041487927250102</v>
      </c>
      <c r="AT60" s="2237">
        <f t="shared" ref="AT60:AW60" si="82">AT154</f>
        <v>0.47993558266078257</v>
      </c>
      <c r="AU60" s="2237">
        <f t="shared" si="82"/>
        <v>0.29950903802929874</v>
      </c>
      <c r="AV60" s="2237">
        <f t="shared" si="82"/>
        <v>0.80254965772225006</v>
      </c>
      <c r="AW60" s="2239">
        <f t="shared" si="82"/>
        <v>0.52218287715688894</v>
      </c>
      <c r="AX60" s="2240"/>
      <c r="AY60" s="2241">
        <f>AY154</f>
        <v>0.50471585890692938</v>
      </c>
      <c r="AZ60" s="2237">
        <f t="shared" ref="AZ60:BC60" si="83">AZ154</f>
        <v>0.50198497733894187</v>
      </c>
      <c r="BA60" s="2237">
        <f t="shared" si="83"/>
        <v>0.65897135511679705</v>
      </c>
      <c r="BB60" s="2237">
        <f t="shared" si="83"/>
        <v>0.3530513429693693</v>
      </c>
      <c r="BC60" s="2239">
        <f t="shared" si="83"/>
        <v>0.50809035083624765</v>
      </c>
      <c r="BD60" s="2240"/>
      <c r="BE60" s="2241">
        <f>BE154</f>
        <v>0.43682379788894765</v>
      </c>
      <c r="BF60" s="2237">
        <f t="shared" ref="BF60:BI60" si="84">BF154</f>
        <v>0.38213758353011346</v>
      </c>
      <c r="BG60" s="2237">
        <f t="shared" si="84"/>
        <v>1.4586532564840564</v>
      </c>
      <c r="BH60" s="2237">
        <f t="shared" si="84"/>
        <v>1.1344413232478598</v>
      </c>
      <c r="BI60" s="2239">
        <f t="shared" si="84"/>
        <v>0.63330164460768212</v>
      </c>
      <c r="BJ60" s="2240"/>
      <c r="BK60" s="2241">
        <f>BK154</f>
        <v>0.28130554238529309</v>
      </c>
      <c r="BL60" s="2237">
        <f t="shared" ref="BL60:BO60" si="85">BL154</f>
        <v>0.41716248209467666</v>
      </c>
      <c r="BM60" s="2237">
        <f t="shared" ref="BM60:BN60" si="86">BM154</f>
        <v>0.34374050813134183</v>
      </c>
      <c r="BN60" s="2237">
        <f t="shared" si="86"/>
        <v>0.28006167863522918</v>
      </c>
      <c r="BO60" s="2239">
        <f t="shared" si="85"/>
        <v>0.33013180200332137</v>
      </c>
      <c r="BP60" s="2240"/>
      <c r="BQ60" s="2241">
        <f>BQ154</f>
        <v>0.22672572173415731</v>
      </c>
      <c r="BR60" s="2237">
        <f t="shared" ref="BR60:BU60" si="87">BR154</f>
        <v>0.36532384228650228</v>
      </c>
      <c r="BS60" s="2237">
        <f t="shared" si="87"/>
        <v>0.42108710914265385</v>
      </c>
      <c r="BT60" s="2237">
        <f t="shared" si="87"/>
        <v>0.56377953478264442</v>
      </c>
      <c r="BU60" s="2239">
        <f t="shared" si="87"/>
        <v>0.38860545892385223</v>
      </c>
      <c r="BV60" s="2240"/>
      <c r="BW60" s="2241">
        <f>BW154</f>
        <v>0.33774680390298295</v>
      </c>
      <c r="BX60" s="2237">
        <f t="shared" ref="BX60:CA60" si="88">BX154</f>
        <v>0.35700182487210197</v>
      </c>
      <c r="BY60" s="2237">
        <f t="shared" si="88"/>
        <v>0.3571867540820608</v>
      </c>
      <c r="BZ60" s="2237">
        <f t="shared" si="88"/>
        <v>0.37580888129171197</v>
      </c>
      <c r="CA60" s="2239">
        <f t="shared" si="88"/>
        <v>0.35876482114586139</v>
      </c>
      <c r="CB60" s="2240"/>
      <c r="CC60" s="2241">
        <f>CC154</f>
        <v>0.31422005320699292</v>
      </c>
      <c r="CD60" s="2237">
        <f t="shared" ref="CD60:CG60" si="89">CD154</f>
        <v>0.34510460576295748</v>
      </c>
      <c r="CE60" s="2237">
        <f t="shared" si="89"/>
        <v>0.36041675724290867</v>
      </c>
      <c r="CF60" s="2237">
        <f t="shared" si="89"/>
        <v>0.39097312888841129</v>
      </c>
      <c r="CG60" s="2239">
        <f t="shared" si="89"/>
        <v>0.35392409198397956</v>
      </c>
      <c r="CH60" s="2240"/>
      <c r="CI60" s="2241">
        <f>CI154</f>
        <v>0.36894541927139607</v>
      </c>
      <c r="CJ60" s="2237">
        <f t="shared" ref="CJ60:CM60" si="90">CJ154</f>
        <v>0.40312933927304456</v>
      </c>
      <c r="CK60" s="2237">
        <f t="shared" si="90"/>
        <v>0.4023542637070992</v>
      </c>
      <c r="CL60" s="2237">
        <f t="shared" si="90"/>
        <v>0.42518518119734205</v>
      </c>
      <c r="CM60" s="2239">
        <f t="shared" si="90"/>
        <v>0.40177727503264393</v>
      </c>
      <c r="CN60" s="36"/>
      <c r="CO60" s="36"/>
      <c r="CP60" s="36"/>
      <c r="CQ60" s="2270"/>
      <c r="CR60" s="36"/>
      <c r="CZ60" s="108"/>
      <c r="DA60" s="108"/>
      <c r="DB60" s="108"/>
      <c r="DC60" s="108"/>
      <c r="DD60" s="108"/>
      <c r="DE60" s="108"/>
      <c r="DF60" s="108"/>
      <c r="DG60" s="108"/>
      <c r="DH60" s="108"/>
      <c r="DI60" s="108"/>
      <c r="DJ60" s="108"/>
      <c r="DK60" s="108"/>
    </row>
    <row r="61" spans="1:115">
      <c r="A61" s="208" t="s">
        <v>130</v>
      </c>
      <c r="B61" s="1497"/>
      <c r="C61" s="1498">
        <f>C24/C11</f>
        <v>0.13557706626954574</v>
      </c>
      <c r="D61" s="1497">
        <f>D24/D11</f>
        <v>0.14591232362962792</v>
      </c>
      <c r="E61" s="1497">
        <f>E24/E11</f>
        <v>0.15915559554523176</v>
      </c>
      <c r="F61" s="1497">
        <f>F24/F11</f>
        <v>0.17453270785009214</v>
      </c>
      <c r="G61" s="1499">
        <f>G24/G11</f>
        <v>0.15465858417024703</v>
      </c>
      <c r="H61" s="1500"/>
      <c r="I61" s="1498">
        <f>I24/I11</f>
        <v>0.13426927101499822</v>
      </c>
      <c r="J61" s="1497">
        <f>J24/J11</f>
        <v>0.13995821492578706</v>
      </c>
      <c r="K61" s="1497">
        <f>K24/K11</f>
        <v>0.16298587771829381</v>
      </c>
      <c r="L61" s="1497">
        <f>L24/L11</f>
        <v>0.19962190169444061</v>
      </c>
      <c r="M61" s="1499">
        <f>M24/M11</f>
        <v>0.15964561638715299</v>
      </c>
      <c r="N61" s="1500"/>
      <c r="O61" s="1498">
        <f>O24/O11</f>
        <v>0.13804902598372543</v>
      </c>
      <c r="P61" s="1497">
        <f>P24/P11</f>
        <v>0.14890820726949128</v>
      </c>
      <c r="Q61" s="1497">
        <f>Q24/Q11</f>
        <v>0.1321491846932388</v>
      </c>
      <c r="R61" s="1497">
        <f>R24/R11</f>
        <v>0.24948801710272586</v>
      </c>
      <c r="S61" s="1499">
        <f>S24/S11</f>
        <v>0.16126353041013272</v>
      </c>
      <c r="T61" s="1500"/>
      <c r="U61" s="1498">
        <f>U24/U11</f>
        <v>0.13931202682790508</v>
      </c>
      <c r="V61" s="1497">
        <f>V24/V11</f>
        <v>0.16214985952891806</v>
      </c>
      <c r="W61" s="1497">
        <f>W24/W11</f>
        <v>0.16064389196923631</v>
      </c>
      <c r="X61" s="1497">
        <f>X24/X11</f>
        <v>0.18692010035293635</v>
      </c>
      <c r="Y61" s="1499">
        <f>Y24/Y11</f>
        <v>0.16334013653318324</v>
      </c>
      <c r="Z61" s="1500"/>
      <c r="AA61" s="1498">
        <f>AA24/AA11</f>
        <v>0.22259819656490534</v>
      </c>
      <c r="AB61" s="1497">
        <f>AB24/AB11</f>
        <v>0.2309026285683729</v>
      </c>
      <c r="AC61" s="1497">
        <f>AC24/AC11</f>
        <v>0.2277601930364424</v>
      </c>
      <c r="AD61" s="1497">
        <f>AD24/AD11</f>
        <v>0.20839314118987354</v>
      </c>
      <c r="AE61" s="1499">
        <f>AE24/AE11</f>
        <v>0.22214225012994776</v>
      </c>
      <c r="AF61" s="1500"/>
      <c r="AG61" s="1498">
        <f>AG24/AG11</f>
        <v>0.17983698099786818</v>
      </c>
      <c r="AH61" s="1497">
        <f>AH24/AH11</f>
        <v>0.19412572592357399</v>
      </c>
      <c r="AI61" s="1497">
        <f>AI24/AI11</f>
        <v>0.17872896680722791</v>
      </c>
      <c r="AJ61" s="1497">
        <f>AJ24/AJ11</f>
        <v>0.20944129692182126</v>
      </c>
      <c r="AK61" s="1499">
        <f>AK24/AK11</f>
        <v>0.1910986647390043</v>
      </c>
      <c r="AL61" s="1500"/>
      <c r="AM61" s="1498">
        <f>AM24/AM11</f>
        <v>0.15058248408271074</v>
      </c>
      <c r="AN61" s="1497">
        <f>AN24/AN11</f>
        <v>0.18011945517859512</v>
      </c>
      <c r="AO61" s="1497">
        <f>AO24/AO11</f>
        <v>0.18641267081064811</v>
      </c>
      <c r="AP61" s="1497">
        <f>AP24/AP11</f>
        <v>0.21247636860100444</v>
      </c>
      <c r="AQ61" s="1499">
        <f>AQ24/AQ11</f>
        <v>0.18359029360325657</v>
      </c>
      <c r="AR61" s="1500"/>
      <c r="AS61" s="1498">
        <f>AS24/AS11</f>
        <v>0.17427363707328683</v>
      </c>
      <c r="AT61" s="1497">
        <f>AT24/AT11</f>
        <v>0.19032273340011002</v>
      </c>
      <c r="AU61" s="1497">
        <f>AU24/AU11</f>
        <v>0.18812644216237295</v>
      </c>
      <c r="AV61" s="1497">
        <f>AV24/AV11</f>
        <v>0.23277171503032573</v>
      </c>
      <c r="AW61" s="1499">
        <f>AW24/AW11</f>
        <v>0.19751121578026146</v>
      </c>
      <c r="AX61" s="1500"/>
      <c r="AY61" s="1498">
        <f>AY24/AY11</f>
        <v>0.17427520375217795</v>
      </c>
      <c r="AZ61" s="1497">
        <f>AZ24/AZ11</f>
        <v>0.18852897349575518</v>
      </c>
      <c r="BA61" s="1497">
        <f>BA24/BA11</f>
        <v>0.18900342988892341</v>
      </c>
      <c r="BB61" s="1497">
        <f>BB24/BB11</f>
        <v>0.23064805849085732</v>
      </c>
      <c r="BC61" s="1499">
        <f>BC24/BC11</f>
        <v>0.19677149723121923</v>
      </c>
      <c r="BD61" s="1500"/>
      <c r="BE61" s="1498">
        <f>BE24/BE11</f>
        <v>0.1868961904169284</v>
      </c>
      <c r="BF61" s="1497">
        <f>BF24/BF11</f>
        <v>0.20039782408494869</v>
      </c>
      <c r="BG61" s="1497">
        <f>BG24/BG11</f>
        <v>0.21411792136632568</v>
      </c>
      <c r="BH61" s="1497">
        <f>BH24/BH11</f>
        <v>0.22651573143500175</v>
      </c>
      <c r="BI61" s="1499">
        <f>BI24/BI11</f>
        <v>0.20755325040591086</v>
      </c>
      <c r="BJ61" s="1500"/>
      <c r="BK61" s="1498">
        <f>BK24/BK11</f>
        <v>0.18863811048629731</v>
      </c>
      <c r="BL61" s="1497">
        <f>BL24/BL11</f>
        <v>0.20488347211757488</v>
      </c>
      <c r="BM61" s="1497">
        <f>BM24/BM11</f>
        <v>0.2175874191718607</v>
      </c>
      <c r="BN61" s="1497">
        <f>BN24/BN11</f>
        <v>0.2347764655935404</v>
      </c>
      <c r="BO61" s="1499">
        <f>BO24/BO11</f>
        <v>0.21280060832425698</v>
      </c>
      <c r="BP61" s="1500"/>
      <c r="BQ61" s="1498">
        <f>BQ24/BQ11</f>
        <v>0.19059408086725238</v>
      </c>
      <c r="BR61" s="1497">
        <f>BR24/BR11</f>
        <v>0.22304127769399315</v>
      </c>
      <c r="BS61" s="1497">
        <f>BS24/BS11</f>
        <v>0.23432867445531916</v>
      </c>
      <c r="BT61" s="1497">
        <f>BT24/BT11</f>
        <v>0.25243185582638605</v>
      </c>
      <c r="BU61" s="1499">
        <f>BU24/BU11</f>
        <v>0.22666114531819623</v>
      </c>
      <c r="BV61" s="1500"/>
      <c r="BW61" s="1498">
        <f>BW24/BW11</f>
        <v>0.20330877162264943</v>
      </c>
      <c r="BX61" s="1497">
        <f>BX24/BX11</f>
        <v>0.23545834842122007</v>
      </c>
      <c r="BY61" s="1497">
        <f>BY24/BY11</f>
        <v>0.24669093240700557</v>
      </c>
      <c r="BZ61" s="1497">
        <f>BZ24/BZ11</f>
        <v>0.26458856859869712</v>
      </c>
      <c r="CA61" s="1499">
        <f>CA24/CA11</f>
        <v>0.23916136178436861</v>
      </c>
      <c r="CB61" s="1500"/>
      <c r="CC61" s="1498">
        <f>CC24/CC11</f>
        <v>0.21235708385465069</v>
      </c>
      <c r="CD61" s="1497">
        <f>CD24/CD11</f>
        <v>0.24450201322015597</v>
      </c>
      <c r="CE61" s="1497">
        <f>CE24/CE11</f>
        <v>0.25577585760111149</v>
      </c>
      <c r="CF61" s="1497">
        <f>CF24/CF11</f>
        <v>0.27378214407520851</v>
      </c>
      <c r="CG61" s="1499">
        <f>CG24/CG11</f>
        <v>0.24821956756928501</v>
      </c>
      <c r="CH61" s="1500"/>
      <c r="CI61" s="1498">
        <f>CI24/CI11</f>
        <v>0.22176541787951384</v>
      </c>
      <c r="CJ61" s="1497">
        <f>CJ24/CJ11</f>
        <v>0.25390365227559186</v>
      </c>
      <c r="CK61" s="1497">
        <f>CK24/CK11</f>
        <v>0.26511078764659718</v>
      </c>
      <c r="CL61" s="1497">
        <f>CL24/CL11</f>
        <v>0.28313231951182571</v>
      </c>
      <c r="CM61" s="1499">
        <f>CM24/CM11</f>
        <v>0.25761979202663438</v>
      </c>
      <c r="CN61" s="36"/>
      <c r="CO61" s="36"/>
      <c r="CP61" s="36"/>
      <c r="CQ61" s="36"/>
      <c r="CR61" s="36"/>
      <c r="CZ61" s="108"/>
      <c r="DA61" s="108"/>
      <c r="DB61" s="108"/>
      <c r="DC61" s="108"/>
      <c r="DD61" s="108"/>
      <c r="DE61" s="108"/>
      <c r="DF61" s="108"/>
      <c r="DG61" s="108"/>
      <c r="DH61" s="108"/>
      <c r="DI61" s="108"/>
      <c r="DJ61" s="108"/>
      <c r="DK61" s="108"/>
    </row>
    <row r="62" spans="1:115" hidden="1" outlineLevel="1">
      <c r="A62" s="67" t="s">
        <v>203</v>
      </c>
      <c r="B62" s="1504"/>
      <c r="C62" s="1505"/>
      <c r="D62" s="1504"/>
      <c r="E62" s="1504"/>
      <c r="F62" s="1504"/>
      <c r="G62" s="1499"/>
      <c r="H62" s="1500"/>
      <c r="I62" s="1498">
        <f>(I13-C13)/(I11-C11)</f>
        <v>0.60730920816911516</v>
      </c>
      <c r="J62" s="1497">
        <f>(J13-D13)/(J11-D11)</f>
        <v>0.62087920206871094</v>
      </c>
      <c r="K62" s="1497">
        <f>(K13-E13)/(K11-E11)</f>
        <v>0.6443742890967753</v>
      </c>
      <c r="L62" s="1497">
        <f>(L13-F13)/(L11-F11)</f>
        <v>0.56469361147327246</v>
      </c>
      <c r="M62" s="1499">
        <f>(M13-G13)/(M11-G11)</f>
        <v>0.61645015585548224</v>
      </c>
      <c r="N62" s="1500"/>
      <c r="O62" s="1498">
        <f>(O13-I13)/(O11-I11)</f>
        <v>0.20918388999702822</v>
      </c>
      <c r="P62" s="1497">
        <f>(P13-J13)/(P11-J11)</f>
        <v>0.42124597046255435</v>
      </c>
      <c r="Q62" s="1497">
        <f>(Q13-K13)/(Q11-K11)</f>
        <v>0.36525056286930646</v>
      </c>
      <c r="R62" s="1497">
        <f>(R13-L13)/(R11-L11)</f>
        <v>0.32218753601547395</v>
      </c>
      <c r="S62" s="1499">
        <f>(S13-M13)/(S11-M11)</f>
        <v>0.34344734583793102</v>
      </c>
      <c r="T62" s="1500"/>
      <c r="U62" s="1498">
        <f>(U13-O13)/(U11-O11)</f>
        <v>0.30026241664058584</v>
      </c>
      <c r="V62" s="1497">
        <f>(V13-P13)/(V11-P11)</f>
        <v>-0.15065250379363043</v>
      </c>
      <c r="W62" s="1497">
        <f>(W13-Q13)/(W11-Q11)</f>
        <v>0.44049279954598175</v>
      </c>
      <c r="X62" s="1497">
        <f>(X13-R13)/(X11-R11)</f>
        <v>0.34588942406652756</v>
      </c>
      <c r="Y62" s="1499">
        <f>(Y13-S13)/(Y11-S11)</f>
        <v>0.43710875228430529</v>
      </c>
      <c r="Z62" s="1500"/>
      <c r="AA62" s="1498">
        <f>(AA13-U13)/(AA11-U11)</f>
        <v>0.69669193582601163</v>
      </c>
      <c r="AB62" s="1497">
        <f>(AB13-V13)/(AB11-V11)</f>
        <v>0.6629010393131497</v>
      </c>
      <c r="AC62" s="1497">
        <f>(AC13-W13)/(AC11-W11)</f>
        <v>0.78433589721286823</v>
      </c>
      <c r="AD62" s="1497">
        <f>(AD13-X13)/(AD11-X11)</f>
        <v>0.64501837949159879</v>
      </c>
      <c r="AE62" s="1499">
        <f>(AE13-Y13)/(AE11-Y11)</f>
        <v>0.69471607745363129</v>
      </c>
      <c r="AF62" s="1500"/>
      <c r="AG62" s="1498">
        <f>(AG13-AA13)/(AG11-AA11)</f>
        <v>0.27989114531515236</v>
      </c>
      <c r="AH62" s="1497">
        <f>(AH13-AB13)/(AH11-AB11)</f>
        <v>-0.57482678983834035</v>
      </c>
      <c r="AI62" s="1497">
        <f>(AI13-AC13)/(AI11-AC11)</f>
        <v>-0.76647383469645569</v>
      </c>
      <c r="AJ62" s="1497">
        <f>(AJ13-AD13)/(AJ11-AD11)</f>
        <v>0.24442523768367122</v>
      </c>
      <c r="AK62" s="1499">
        <f>(AK13-AE13)/(AK11-AE11)</f>
        <v>-1.5849308135732619E-2</v>
      </c>
      <c r="AL62" s="574"/>
      <c r="AM62" s="1498">
        <f>(AM13-AG13)/(AM11-AG11)</f>
        <v>1.7303292549487759</v>
      </c>
      <c r="AN62" s="1497">
        <f>(AN13-AH13)/(AN11-AH11)</f>
        <v>-0.35968573533022041</v>
      </c>
      <c r="AO62" s="1497">
        <f>(AO13-AI13)/(AO11-AI11)</f>
        <v>-3.8525180628749801E-2</v>
      </c>
      <c r="AP62" s="1497">
        <f>(AP13-AJ13)/(AP11-AJ11)</f>
        <v>0.55569263306309347</v>
      </c>
      <c r="AQ62" s="1499">
        <f>(AQ13-AK13)/(AQ11-AK11)</f>
        <v>-0.46248223090671231</v>
      </c>
      <c r="AR62" s="1501"/>
      <c r="AS62" s="1498">
        <f>(AS13-AM13)/(AS11-AM11)</f>
        <v>0.40536182709532587</v>
      </c>
      <c r="AT62" s="1497">
        <f>(AT13-AN13)/(AT11-AN11)</f>
        <v>0.21617520059835074</v>
      </c>
      <c r="AU62" s="1497">
        <f>(AU13-AO13)/(AU11-AO11)</f>
        <v>0.41173147147101147</v>
      </c>
      <c r="AV62" s="1497">
        <f>(AV13-AP13)/(AV11-AP11)</f>
        <v>0.67728651970339271</v>
      </c>
      <c r="AW62" s="1499">
        <f>(AW13-AQ13)/(AW11-AQ11)</f>
        <v>0.43063551762673075</v>
      </c>
      <c r="AX62" s="1501"/>
      <c r="AY62" s="1498">
        <f>(AY13-AS13)/(AY11-AS11)</f>
        <v>0.30584702060672625</v>
      </c>
      <c r="AZ62" s="1497">
        <f>(AZ13-AT13)/(AZ11-AT11)</f>
        <v>0.34314344903557364</v>
      </c>
      <c r="BA62" s="1497">
        <f>(BA13-AU13)/(BA11-AU11)</f>
        <v>0.33425629821583841</v>
      </c>
      <c r="BB62" s="1497">
        <f>(BB13-AV13)/(BB11-AV11)</f>
        <v>0.55013174015893329</v>
      </c>
      <c r="BC62" s="1499">
        <f>(BC13-AW13)/(BC11-AW11)</f>
        <v>0.38808851233077601</v>
      </c>
      <c r="BD62" s="1501"/>
      <c r="BE62" s="1498">
        <f>(BE13-AY13)/(BE11-AY11)</f>
        <v>0.60236591915233217</v>
      </c>
      <c r="BF62" s="1497">
        <f>(BF13-AZ13)/(BF11-AZ11)</f>
        <v>1.1045184847101759</v>
      </c>
      <c r="BG62" s="1497">
        <f>(BG13-BA13)/(BG11-BA11)</f>
        <v>-0.44513081395348475</v>
      </c>
      <c r="BH62" s="1497">
        <f>(BH13-BB13)/(BH11-BB11)</f>
        <v>-1.2508017960230819</v>
      </c>
      <c r="BI62" s="1499">
        <f>(BI13-BC13)/(BI11-BC11)</f>
        <v>2.7526395173453801</v>
      </c>
      <c r="BJ62" s="1501"/>
      <c r="BK62" s="1498">
        <f>(BK13-BE13)/(BK11-BE11)</f>
        <v>0.3380718852815176</v>
      </c>
      <c r="BL62" s="1497">
        <f>(BL13-BF13)/(BL11-BF11)</f>
        <v>0.43513513513513807</v>
      </c>
      <c r="BM62" s="1497">
        <f>(BM13-BG13)/(BM11-BG11)</f>
        <v>0.51280311596934436</v>
      </c>
      <c r="BN62" s="1497">
        <f>(BN13-BH13)/(BN11-BH11)</f>
        <v>0.44880785413744689</v>
      </c>
      <c r="BO62" s="1499">
        <f>(BO13-BI13)/(BO11-BI11)</f>
        <v>0.45316221316051658</v>
      </c>
      <c r="BP62" s="1501"/>
      <c r="BQ62" s="1498">
        <f>(BQ13-BK13)/(BQ11-BK11)</f>
        <v>0.53556812916463536</v>
      </c>
      <c r="BR62" s="1497">
        <f>(BR13-BL13)/(BR11-BL11)</f>
        <v>0.58150124255969371</v>
      </c>
      <c r="BS62" s="1497">
        <f>(BS13-BM13)/(BS11-BM11)</f>
        <v>0.59901597200537293</v>
      </c>
      <c r="BT62" s="1497">
        <f>(BT13-BN13)/(BT11-BN11)</f>
        <v>0.61172968327000454</v>
      </c>
      <c r="BU62" s="1499">
        <f>(BU13-BO13)/(BU11-BO11)</f>
        <v>0.58345794839111353</v>
      </c>
      <c r="BV62" s="1501"/>
      <c r="BW62" s="1498">
        <f>(BW13-BQ13)/(BW11-BQ11)</f>
        <v>0.59340930112752877</v>
      </c>
      <c r="BX62" s="1497">
        <f>(BX13-BR13)/(BX11-BR11)</f>
        <v>0.59800485998055442</v>
      </c>
      <c r="BY62" s="1497">
        <f>(BY13-BS13)/(BY11-BS11)</f>
        <v>0.60222807536634326</v>
      </c>
      <c r="BZ62" s="1497">
        <f>(BZ13-BT13)/(BZ11-BT11)</f>
        <v>0.59773369762393225</v>
      </c>
      <c r="CA62" s="1499">
        <f>(CA13-BU13)/(CA11-BU11)</f>
        <v>0.59810455497861725</v>
      </c>
      <c r="CB62" s="1501"/>
      <c r="CC62" s="1498">
        <f>(CC13-BW13)/(CC11-BW11)</f>
        <v>0.57359259224531667</v>
      </c>
      <c r="CD62" s="1497">
        <f>(CD13-BX13)/(CD11-BX11)</f>
        <v>0.58499773835270497</v>
      </c>
      <c r="CE62" s="1497">
        <f>(CE13-BY13)/(CE11-BY11)</f>
        <v>0.59767122417914709</v>
      </c>
      <c r="CF62" s="1497">
        <f>(CF13-BZ13)/(CF11-BZ11)</f>
        <v>0.59954105818982062</v>
      </c>
      <c r="CG62" s="1499">
        <f>(CG13-CA13)/(CG11-CA11)</f>
        <v>0.5893892826967837</v>
      </c>
      <c r="CH62" s="1501"/>
      <c r="CI62" s="1498">
        <f>(CI13-CC13)/(CI11-CC11)</f>
        <v>0.60239541648973971</v>
      </c>
      <c r="CJ62" s="1497">
        <f>(CJ13-CD13)/(CJ11-CD11)</f>
        <v>0.61553707177906569</v>
      </c>
      <c r="CK62" s="1497">
        <f>(CK13-CE13)/(CK11-CE11)</f>
        <v>0.61974359600240614</v>
      </c>
      <c r="CL62" s="1497">
        <f>(CL13-CF13)/(CL11-CF11)</f>
        <v>0.61754740151030996</v>
      </c>
      <c r="CM62" s="1499">
        <f>(CM13-CG13)/(CM11-CG11)</f>
        <v>0.61434115691504665</v>
      </c>
      <c r="CN62" s="36"/>
      <c r="CO62" s="36"/>
      <c r="CP62" s="36"/>
      <c r="CQ62" s="36"/>
      <c r="CR62" s="36"/>
      <c r="CZ62" s="108"/>
      <c r="DA62" s="108"/>
      <c r="DB62" s="108"/>
      <c r="DC62" s="108"/>
      <c r="DD62" s="108"/>
      <c r="DE62" s="108"/>
      <c r="DF62" s="108"/>
      <c r="DG62" s="108"/>
      <c r="DH62" s="108"/>
      <c r="DI62" s="108"/>
      <c r="DJ62" s="108"/>
      <c r="DK62" s="108"/>
    </row>
    <row r="63" spans="1:115" hidden="1" outlineLevel="1">
      <c r="A63" s="67" t="s">
        <v>204</v>
      </c>
      <c r="B63" s="1504"/>
      <c r="C63" s="1505"/>
      <c r="D63" s="1504"/>
      <c r="E63" s="1504"/>
      <c r="F63" s="1504"/>
      <c r="G63" s="1499"/>
      <c r="H63" s="1500"/>
      <c r="I63" s="1498">
        <f>(I18-C18)/(I11-C11)</f>
        <v>9.4661411680401403E-2</v>
      </c>
      <c r="J63" s="1497">
        <f>(J18-D18)/(J11-D11)</f>
        <v>0.13112670853343289</v>
      </c>
      <c r="K63" s="1497">
        <f>(K18-E18)/(K11-E11)</f>
        <v>0.14341094268669113</v>
      </c>
      <c r="L63" s="1497">
        <f>(L18-F18)/(L11-F11)</f>
        <v>0.73913950456323374</v>
      </c>
      <c r="M63" s="1499">
        <f>(M18-G18)/(M11-G11)</f>
        <v>0.18578296518420084</v>
      </c>
      <c r="N63" s="1500"/>
      <c r="O63" s="1498">
        <f>(O18-I18)/(O11-I11)</f>
        <v>1.6126978737850326E-2</v>
      </c>
      <c r="P63" s="1497">
        <f>(P18-J18)/(P11-J11)</f>
        <v>0.10717445085838676</v>
      </c>
      <c r="Q63" s="1497">
        <f>(Q18-K18)/(Q11-K11)</f>
        <v>0.16357129514015198</v>
      </c>
      <c r="R63" s="1497">
        <f>(R18-L18)/(R11-L11)</f>
        <v>0.1821493533500034</v>
      </c>
      <c r="S63" s="1499">
        <f>(S18-M18)/(S11-M11)</f>
        <v>0.1545605001838917</v>
      </c>
      <c r="T63" s="1500"/>
      <c r="U63" s="1498">
        <f>(U18-O18)/(U11-O11)</f>
        <v>5.2242578905554497E-2</v>
      </c>
      <c r="V63" s="1497">
        <f>(V18-P18)/(V11-P11)</f>
        <v>-0.20795144157815185</v>
      </c>
      <c r="W63" s="1497">
        <f>(W18-Q18)/(W11-Q11)</f>
        <v>0.23554588663718704</v>
      </c>
      <c r="X63" s="1497">
        <f>(X18-R18)/(X11-R11)</f>
        <v>0.17001005663473356</v>
      </c>
      <c r="Y63" s="1499">
        <f>(Y18-S18)/(Y11-S11)</f>
        <v>0.26002177378591873</v>
      </c>
      <c r="Z63" s="1500"/>
      <c r="AA63" s="1498">
        <f>(AA18-U18)/(AA11-U11)</f>
        <v>0.57066619031138066</v>
      </c>
      <c r="AB63" s="1497">
        <f>(AB18-V18)/(AB11-V11)</f>
        <v>0.51785889703137655</v>
      </c>
      <c r="AC63" s="1497">
        <f>(AC18-W18)/(AC11-W11)</f>
        <v>0.58425388620351149</v>
      </c>
      <c r="AD63" s="1497">
        <f>(AD18-X18)/(AD11-X11)</f>
        <v>0.27297436450063667</v>
      </c>
      <c r="AE63" s="1499">
        <f>(AE18-Y18)/(AE11-Y11)</f>
        <v>0.48865238447662979</v>
      </c>
      <c r="AF63" s="1500"/>
      <c r="AG63" s="1498">
        <f>(AG18-AA18)/(AG11-AA11)</f>
        <v>-0.52607245274184944</v>
      </c>
      <c r="AH63" s="1497">
        <f>(AH18-AB18)/(AH11-AB11)</f>
        <v>-2.18371824480371</v>
      </c>
      <c r="AI63" s="1497">
        <f>(AI18-AC18)/(AI11-AC11)</f>
        <v>-1.7457277744530877</v>
      </c>
      <c r="AJ63" s="1497">
        <f>(AJ18-AD18)/(AJ11-AD11)</f>
        <v>0.18997407087296184</v>
      </c>
      <c r="AK63" s="1499">
        <f>(AK18-AE18)/(AK11-AE11)</f>
        <v>-0.72515522200140736</v>
      </c>
      <c r="AL63" s="1500"/>
      <c r="AM63" s="1498">
        <f>(AM18-AG18)/(AM11-AG11)</f>
        <v>1.4984581716900509</v>
      </c>
      <c r="AN63" s="1497">
        <f>(AN18-AH18)/(AN11-AH11)</f>
        <v>-0.35199279810131284</v>
      </c>
      <c r="AO63" s="1497">
        <f>(AO18-AI18)/(AO11-AI11)</f>
        <v>0.46479406137649276</v>
      </c>
      <c r="AP63" s="1497">
        <f>(AP18-AJ18)/(AP11-AJ11)</f>
        <v>0.49806133239337069</v>
      </c>
      <c r="AQ63" s="1499">
        <f>(AQ18-AK18)/(AQ11-AK11)</f>
        <v>-0.25956999900458461</v>
      </c>
      <c r="AR63" s="1501"/>
      <c r="AS63" s="1498">
        <f>(AS18-AM18)/(AS11-AM11)</f>
        <v>0.62854792837765261</v>
      </c>
      <c r="AT63" s="1497">
        <f>(AT18-AN18)/(AT11-AN11)</f>
        <v>0.64421844245218918</v>
      </c>
      <c r="AU63" s="1497">
        <f>(AU18-AO18)/(AU11-AO11)</f>
        <v>0.46700097790950357</v>
      </c>
      <c r="AV63" s="1497">
        <f>(AV18-AP18)/(AV11-AP11)</f>
        <v>1.1317421464228088</v>
      </c>
      <c r="AW63" s="1499">
        <f>(AW18-AQ18)/(AW11-AQ11)</f>
        <v>0.68910015879854081</v>
      </c>
      <c r="AX63" s="1501"/>
      <c r="AY63" s="1498">
        <f>(AY18-AS18)/(AY11-AS11)</f>
        <v>0.15867173719361544</v>
      </c>
      <c r="AZ63" s="1497">
        <f>(AZ18-AT18)/(AZ11-AT11)</f>
        <v>0.2165518471307957</v>
      </c>
      <c r="BA63" s="1497">
        <f>(BA18-AU18)/(BA11-AU11)</f>
        <v>0.27039320656478844</v>
      </c>
      <c r="BB63" s="1497">
        <f>(BB18-AV18)/(BB11-AV11)</f>
        <v>0.32409518268588572</v>
      </c>
      <c r="BC63" s="1499">
        <f>(BC18-AW18)/(BC11-AW11)</f>
        <v>0.23374712179795867</v>
      </c>
      <c r="BD63" s="1501"/>
      <c r="BE63" s="1498">
        <f>(BE18-AY18)/(BE11-AY11)</f>
        <v>0.67494012627911726</v>
      </c>
      <c r="BF63" s="1497">
        <f>(BF18-AZ18)/(BF11-AZ11)</f>
        <v>0.68461889548151533</v>
      </c>
      <c r="BG63" s="1497">
        <f>(BG18-BA18)/(BG11-BA11)</f>
        <v>-0.99927325581394744</v>
      </c>
      <c r="BH63" s="1497">
        <f>(BH18-BB18)/(BH11-BB11)</f>
        <v>-0.83386786401537882</v>
      </c>
      <c r="BI63" s="1499">
        <f>(BI18-BC18)/(BI11-BC11)</f>
        <v>2.8657616892910625</v>
      </c>
      <c r="BJ63" s="1501"/>
      <c r="BK63" s="1498">
        <f>(BK18-BE18)/(BK11-BE11)</f>
        <v>0.17785089080637939</v>
      </c>
      <c r="BL63" s="1497">
        <f>(BL18-BF18)/(BL11-BF11)</f>
        <v>0.51901211556384041</v>
      </c>
      <c r="BM63" s="1497">
        <f>(BM18-BG18)/(BM11-BG11)</f>
        <v>0.23387360221133449</v>
      </c>
      <c r="BN63" s="1497">
        <f>(BN18-BH18)/(BN11-BH11)</f>
        <v>0.21772523876310704</v>
      </c>
      <c r="BO63" s="1499">
        <f>(BO18-BI18)/(BO11-BI11)</f>
        <v>0.24057413833313301</v>
      </c>
      <c r="BP63" s="1501"/>
      <c r="BQ63" s="1498">
        <f>(BQ18-BK18)/(BQ11-BK11)</f>
        <v>0.15775235188511438</v>
      </c>
      <c r="BR63" s="1497">
        <f>(BR18-BL18)/(BR11-BL11)</f>
        <v>0.2561401291174531</v>
      </c>
      <c r="BS63" s="1497">
        <f>(BS18-BM18)/(BS11-BM11)</f>
        <v>0.27276268209481075</v>
      </c>
      <c r="BT63" s="1497">
        <f>(BT18-BN18)/(BT11-BN11)</f>
        <v>0.30598034679559732</v>
      </c>
      <c r="BU63" s="1499">
        <f>(BU18-BO18)/(BU11-BO11)</f>
        <v>0.25127500586114221</v>
      </c>
      <c r="BV63" s="1501"/>
      <c r="BW63" s="1498">
        <f>(BW18-BQ18)/(BW11-BQ11)</f>
        <v>0.33774680390298234</v>
      </c>
      <c r="BX63" s="1497">
        <f>(BX18-BR18)/(BX11-BR11)</f>
        <v>0.35700182487210175</v>
      </c>
      <c r="BY63" s="1497">
        <f>(BY18-BS18)/(BY11-BS11)</f>
        <v>0.3571867540820608</v>
      </c>
      <c r="BZ63" s="1497">
        <f>(BZ18-BT18)/(BZ11-BT11)</f>
        <v>0.37580888129171219</v>
      </c>
      <c r="CA63" s="1499">
        <f>(CA18-BU18)/(CA11-BU11)</f>
        <v>0.35876482114586139</v>
      </c>
      <c r="CB63" s="1501"/>
      <c r="CC63" s="1498">
        <f>(CC18-BW18)/(CC11-BW11)</f>
        <v>0.31422005320699292</v>
      </c>
      <c r="CD63" s="1497">
        <f>(CD18-BX18)/(CD11-BX11)</f>
        <v>0.34510460576295748</v>
      </c>
      <c r="CE63" s="1497">
        <f>(CE18-BY18)/(CE11-BY11)</f>
        <v>0.36041675724290845</v>
      </c>
      <c r="CF63" s="1497">
        <f>(CF18-BZ18)/(CF11-BZ11)</f>
        <v>0.39097312888841157</v>
      </c>
      <c r="CG63" s="1499">
        <f>(CG18-CA18)/(CG11-CA11)</f>
        <v>0.35392409198397978</v>
      </c>
      <c r="CH63" s="1501"/>
      <c r="CI63" s="1498">
        <f>(CI18-CC18)/(CI11-CC11)</f>
        <v>0.36894541927139607</v>
      </c>
      <c r="CJ63" s="1497">
        <f>(CJ18-CD18)/(CJ11-CD11)</f>
        <v>0.40312933927304456</v>
      </c>
      <c r="CK63" s="1497">
        <f>(CK18-CE18)/(CK11-CE11)</f>
        <v>0.40235426370709954</v>
      </c>
      <c r="CL63" s="1497">
        <f>(CL18-CF18)/(CL11-CF11)</f>
        <v>0.42518518119734167</v>
      </c>
      <c r="CM63" s="1499">
        <f>(CM18-CG18)/(CM11-CG11)</f>
        <v>0.40177727503264393</v>
      </c>
      <c r="CN63" s="36"/>
      <c r="CO63" s="36"/>
      <c r="CP63" s="36"/>
      <c r="CQ63" s="36"/>
      <c r="CR63" s="36"/>
      <c r="CZ63" s="108"/>
      <c r="DA63" s="108"/>
      <c r="DB63" s="108"/>
      <c r="DC63" s="108"/>
      <c r="DD63" s="108"/>
      <c r="DE63" s="108"/>
      <c r="DF63" s="108"/>
      <c r="DG63" s="108"/>
      <c r="DH63" s="108"/>
      <c r="DI63" s="108"/>
      <c r="DJ63" s="108"/>
      <c r="DK63" s="108"/>
    </row>
    <row r="64" spans="1:115" collapsed="1">
      <c r="A64" s="67" t="s">
        <v>136</v>
      </c>
      <c r="B64" s="1497"/>
      <c r="C64" s="1498">
        <f>+C31/C30</f>
        <v>0.25474966106129449</v>
      </c>
      <c r="D64" s="1497">
        <f>+D31/D30</f>
        <v>0.24045617155028035</v>
      </c>
      <c r="E64" s="1497">
        <f>+E31/E30</f>
        <v>0.26303779043321618</v>
      </c>
      <c r="F64" s="1497">
        <f>+F31/F30</f>
        <v>0.25039166617307335</v>
      </c>
      <c r="G64" s="1499">
        <f>+G31/G30</f>
        <v>0.252260175203739</v>
      </c>
      <c r="H64" s="574"/>
      <c r="I64" s="1498">
        <f>+I31/I30</f>
        <v>0.29589919605629922</v>
      </c>
      <c r="J64" s="1497">
        <f>+J31/J30</f>
        <v>0.28443193860771021</v>
      </c>
      <c r="K64" s="1497">
        <f>+K31/K30</f>
        <v>0.27942999813169828</v>
      </c>
      <c r="L64" s="1497">
        <f>+L31/L30</f>
        <v>3.3989510153017037E-2</v>
      </c>
      <c r="M64" s="1499">
        <f>+M31/M30</f>
        <v>0.21417985631188335</v>
      </c>
      <c r="N64" s="1500"/>
      <c r="O64" s="1506">
        <f>+O31/O30</f>
        <v>0.30356061987237903</v>
      </c>
      <c r="P64" s="1507">
        <f>+P31/P30</f>
        <v>0.32568031704095146</v>
      </c>
      <c r="Q64" s="1507">
        <f>+Q31/Q30</f>
        <v>0.25131727366137679</v>
      </c>
      <c r="R64" s="1507">
        <f>+R31/R30</f>
        <v>0.36968403368584396</v>
      </c>
      <c r="S64" s="1499">
        <f>+S31/S30</f>
        <v>0.31371499627503424</v>
      </c>
      <c r="T64" s="1500"/>
      <c r="U64" s="1498">
        <f>+U31/U30</f>
        <v>0.29501196710822536</v>
      </c>
      <c r="V64" s="1497">
        <f>+V31/V30</f>
        <v>0.7644796440830729</v>
      </c>
      <c r="W64" s="1497">
        <f>+W31/W30</f>
        <v>0.25496346818648979</v>
      </c>
      <c r="X64" s="1497">
        <f>+X31/X30</f>
        <v>0.26668459788572135</v>
      </c>
      <c r="Y64" s="1499">
        <f>+Y31/Y30</f>
        <v>0.38585675072217623</v>
      </c>
      <c r="Z64" s="1500"/>
      <c r="AA64" s="1498">
        <f>+AA31/AA30</f>
        <v>0.16501430239658876</v>
      </c>
      <c r="AB64" s="1497">
        <f>+AB31/AB30</f>
        <v>0.15707017175972687</v>
      </c>
      <c r="AC64" s="1497">
        <f>+AC31/AC30</f>
        <v>0.15147525018136287</v>
      </c>
      <c r="AD64" s="1497">
        <f>+AD31/AD30</f>
        <v>0.21813644335712787</v>
      </c>
      <c r="AE64" s="1499">
        <f>+AE31/AE30</f>
        <v>0.17160414934127022</v>
      </c>
      <c r="AF64" s="1500"/>
      <c r="AG64" s="1498">
        <f>+AG31/AG30</f>
        <v>0.2515844783330814</v>
      </c>
      <c r="AH64" s="1497">
        <f>+AH31/AH30</f>
        <v>0.22234571707517589</v>
      </c>
      <c r="AI64" s="1497">
        <f>+AI31/AI30</f>
        <v>0.21677019567735045</v>
      </c>
      <c r="AJ64" s="1497">
        <f>+AJ31/AJ30</f>
        <v>0.20243363491218722</v>
      </c>
      <c r="AK64" s="1499">
        <f>+AK31/AK30</f>
        <v>0.22134425357376278</v>
      </c>
      <c r="AL64" s="1500"/>
      <c r="AM64" s="1498">
        <f>+AM31/AM30</f>
        <v>0.19668094176920836</v>
      </c>
      <c r="AN64" s="1497">
        <f>+AN31/AN30</f>
        <v>0.21724202601144266</v>
      </c>
      <c r="AO64" s="1497">
        <f>+AO31/AO30</f>
        <v>0.20384821314066623</v>
      </c>
      <c r="AP64" s="1497">
        <f>+AP31/AP30</f>
        <v>0.18428361961859291</v>
      </c>
      <c r="AQ64" s="1499">
        <f>+AQ31/AQ30</f>
        <v>0.19924193069190566</v>
      </c>
      <c r="AR64" s="1504"/>
      <c r="AS64" s="1498">
        <f>+AS31/AS30</f>
        <v>0.22081835744202238</v>
      </c>
      <c r="AT64" s="1497">
        <f>+AT31/AT30</f>
        <v>0.20528141708635803</v>
      </c>
      <c r="AU64" s="1497">
        <f>+AU31/AU30</f>
        <v>0.20802554587702571</v>
      </c>
      <c r="AV64" s="1497">
        <f>+AV31/AV30</f>
        <v>0.31783063901689296</v>
      </c>
      <c r="AW64" s="1499">
        <f>+AW31/AW30</f>
        <v>0.25094021470263772</v>
      </c>
      <c r="AX64" s="1504"/>
      <c r="AY64" s="1498">
        <f>+AY31/AY30</f>
        <v>0.21820966439126355</v>
      </c>
      <c r="AZ64" s="1497">
        <f>+AZ31/AZ30</f>
        <v>0.20116251622801842</v>
      </c>
      <c r="BA64" s="1497">
        <f>+BA31/BA30</f>
        <v>0.18380632290589821</v>
      </c>
      <c r="BB64" s="1497">
        <f>+BB31/BB30</f>
        <v>0.1652772629749957</v>
      </c>
      <c r="BC64" s="1499">
        <f>+BC31/BC30</f>
        <v>0.18835227003735608</v>
      </c>
      <c r="BD64" s="1504"/>
      <c r="BE64" s="1498">
        <f>+BE31/BE30</f>
        <v>0.21592984611947383</v>
      </c>
      <c r="BF64" s="1497">
        <f>+BF31/BF30</f>
        <v>0.23380087733910818</v>
      </c>
      <c r="BG64" s="1497">
        <f>+BG31/BG30</f>
        <v>0.19197004727561345</v>
      </c>
      <c r="BH64" s="1497">
        <f>+BH31/BH30</f>
        <v>0.15934801365839335</v>
      </c>
      <c r="BI64" s="1499">
        <f>+BI31/BI30</f>
        <v>0.19736395927728373</v>
      </c>
      <c r="BJ64" s="1504"/>
      <c r="BK64" s="1498">
        <f>+BK31/BK30</f>
        <v>0.16801832507692965</v>
      </c>
      <c r="BL64" s="1497">
        <f>+BL31/BL30</f>
        <v>0.21790937221821874</v>
      </c>
      <c r="BM64" s="1497">
        <f>+BM31/BM30</f>
        <v>0.20010075634389327</v>
      </c>
      <c r="BN64" s="1497">
        <f>+BN31/BN30</f>
        <v>9.7870877181325727E-2</v>
      </c>
      <c r="BO64" s="1499">
        <f>+BO31/BO30</f>
        <v>0.16676262387688076</v>
      </c>
      <c r="BP64" s="1504"/>
      <c r="BQ64" s="2282">
        <v>0.185</v>
      </c>
      <c r="BR64" s="2283">
        <f>BQ64</f>
        <v>0.185</v>
      </c>
      <c r="BS64" s="2283">
        <f>BR64</f>
        <v>0.185</v>
      </c>
      <c r="BT64" s="2283">
        <f>BS64</f>
        <v>0.185</v>
      </c>
      <c r="BU64" s="1499">
        <f>+BU31/BU30</f>
        <v>0.18500000000000003</v>
      </c>
      <c r="BV64" s="1504"/>
      <c r="BW64" s="2282">
        <v>0.185</v>
      </c>
      <c r="BX64" s="2283">
        <f>BW64</f>
        <v>0.185</v>
      </c>
      <c r="BY64" s="2283">
        <f>BX64</f>
        <v>0.185</v>
      </c>
      <c r="BZ64" s="2283">
        <f>BY64</f>
        <v>0.185</v>
      </c>
      <c r="CA64" s="1499">
        <f>+CA31/CA30</f>
        <v>0.18500000000000003</v>
      </c>
      <c r="CB64" s="1504"/>
      <c r="CC64" s="2282">
        <v>0.185</v>
      </c>
      <c r="CD64" s="2283">
        <f>CC64</f>
        <v>0.185</v>
      </c>
      <c r="CE64" s="2283">
        <f>CD64</f>
        <v>0.185</v>
      </c>
      <c r="CF64" s="2283">
        <f>CE64</f>
        <v>0.185</v>
      </c>
      <c r="CG64" s="1499">
        <f>+CG31/CG30</f>
        <v>0.18500000000000003</v>
      </c>
      <c r="CH64" s="1504"/>
      <c r="CI64" s="2282">
        <v>0.185</v>
      </c>
      <c r="CJ64" s="2283">
        <f>CI64</f>
        <v>0.185</v>
      </c>
      <c r="CK64" s="2283">
        <f>CJ64</f>
        <v>0.185</v>
      </c>
      <c r="CL64" s="2283">
        <f>CK64</f>
        <v>0.185</v>
      </c>
      <c r="CM64" s="1499">
        <f>+CM31/CM30</f>
        <v>0.18500000000000008</v>
      </c>
      <c r="CN64" s="36"/>
      <c r="CO64" s="36"/>
      <c r="CP64" s="36"/>
      <c r="CQ64" s="36"/>
      <c r="CR64" s="36"/>
      <c r="CZ64" s="108"/>
      <c r="DA64" s="108"/>
      <c r="DB64" s="108"/>
      <c r="DC64" s="108"/>
      <c r="DD64" s="108"/>
      <c r="DE64" s="108"/>
      <c r="DF64" s="108"/>
      <c r="DG64" s="108"/>
      <c r="DH64" s="108"/>
      <c r="DI64" s="108"/>
      <c r="DJ64" s="108"/>
      <c r="DK64" s="108"/>
    </row>
    <row r="65" spans="1:115">
      <c r="A65" s="67" t="s">
        <v>205</v>
      </c>
      <c r="B65" s="1497"/>
      <c r="C65" s="1498">
        <f>C32/C11</f>
        <v>7.7767585008686968E-2</v>
      </c>
      <c r="D65" s="1497">
        <f>D32/D11</f>
        <v>8.3996386837110346E-2</v>
      </c>
      <c r="E65" s="1497">
        <f>E32/E11</f>
        <v>9.2970289302863704E-2</v>
      </c>
      <c r="F65" s="1497">
        <f>F32/F11</f>
        <v>0.10531116404372842</v>
      </c>
      <c r="G65" s="1499">
        <f>G32/G11</f>
        <v>9.0626397267830769E-2</v>
      </c>
      <c r="H65" s="1500"/>
      <c r="I65" s="1498">
        <f>I32/I11</f>
        <v>6.6632629926752673E-2</v>
      </c>
      <c r="J65" s="1497">
        <f>J32/J11</f>
        <v>7.7555949422237314E-2</v>
      </c>
      <c r="K65" s="1497">
        <f>K32/K11</f>
        <v>8.8616743290297367E-2</v>
      </c>
      <c r="L65" s="1497">
        <f>L32/L11</f>
        <v>0.12048510612759321</v>
      </c>
      <c r="M65" s="1499">
        <f>M32/M11</f>
        <v>8.8750693764409486E-2</v>
      </c>
      <c r="N65" s="1500"/>
      <c r="O65" s="1498">
        <f>O32/O11</f>
        <v>7.022697555135278E-2</v>
      </c>
      <c r="P65" s="1497">
        <f>P32/P11</f>
        <v>7.4541812124945706E-2</v>
      </c>
      <c r="Q65" s="1497">
        <f>Q32/Q11</f>
        <v>8.6964003437337539E-2</v>
      </c>
      <c r="R65" s="1497">
        <f>R32/R11</f>
        <v>9.7451374112146341E-2</v>
      </c>
      <c r="S65" s="1499">
        <f>S32/S11</f>
        <v>8.0787623664692054E-2</v>
      </c>
      <c r="T65" s="1500"/>
      <c r="U65" s="1498">
        <f>U32/U11</f>
        <v>7.5579975610995373E-2</v>
      </c>
      <c r="V65" s="1497">
        <f>V32/V11</f>
        <v>2.9117651939923408E-2</v>
      </c>
      <c r="W65" s="1497">
        <f>W32/W11</f>
        <v>9.5082883205151139E-2</v>
      </c>
      <c r="X65" s="1497">
        <f>X32/X11</f>
        <v>0.1165128630352513</v>
      </c>
      <c r="Y65" s="1499">
        <f>Y32/Y11</f>
        <v>8.0173810026509099E-2</v>
      </c>
      <c r="Z65" s="1500"/>
      <c r="AA65" s="1498">
        <f>AA32/AA11</f>
        <v>0.16130002959504469</v>
      </c>
      <c r="AB65" s="1497">
        <f>AB32/AB11</f>
        <v>0.16890053915923262</v>
      </c>
      <c r="AC65" s="1497">
        <f>AC32/AC11</f>
        <v>0.17083665131392026</v>
      </c>
      <c r="AD65" s="1497">
        <f>AD32/AD11</f>
        <v>0.12636850306125913</v>
      </c>
      <c r="AE65" s="1499">
        <f>AE32/AE11</f>
        <v>0.1561549784730549</v>
      </c>
      <c r="AF65" s="1500"/>
      <c r="AG65" s="1498">
        <f>AG32/AG11</f>
        <v>9.5808088324832022E-2</v>
      </c>
      <c r="AH65" s="1497">
        <f>AH32/AH11</f>
        <v>0.11373485917411463</v>
      </c>
      <c r="AI65" s="1497">
        <f>AI32/AI11</f>
        <v>0.10114695605050883</v>
      </c>
      <c r="AJ65" s="1497">
        <f>AJ32/AJ11</f>
        <v>0.12986438404359138</v>
      </c>
      <c r="AK65" s="1499">
        <f>AK32/AK11</f>
        <v>0.11072348040163352</v>
      </c>
      <c r="AL65" s="1500"/>
      <c r="AM65" s="1498">
        <f>AM32/AM11</f>
        <v>8.1715873923242199E-2</v>
      </c>
      <c r="AN65" s="1497">
        <f>AN32/AN11</f>
        <v>0.1057863030605799</v>
      </c>
      <c r="AO65" s="1497">
        <f>AO32/AO11</f>
        <v>0.10728801716389678</v>
      </c>
      <c r="AP65" s="1497">
        <f>AP32/AP11</f>
        <v>0.13926332491048279</v>
      </c>
      <c r="AQ65" s="1499">
        <f>AQ32/AQ11</f>
        <v>0.10968718028202733</v>
      </c>
      <c r="AR65" s="1500"/>
      <c r="AS65" s="1498">
        <f>AS32/AS11</f>
        <v>0.10036848232759386</v>
      </c>
      <c r="AT65" s="1497">
        <f>AT32/AT11</f>
        <v>0.12166994819624621</v>
      </c>
      <c r="AU65" s="1497">
        <f>AU32/AU11</f>
        <v>0.11900586114893053</v>
      </c>
      <c r="AV65" s="1497">
        <f>AV32/AV11</f>
        <v>0.15845119356523121</v>
      </c>
      <c r="AW65" s="1499">
        <f>AW32/AW11</f>
        <v>0.1259577149551214</v>
      </c>
      <c r="AX65" s="1500"/>
      <c r="AY65" s="1498">
        <f>AY32/AY11</f>
        <v>0.10189974649678379</v>
      </c>
      <c r="AZ65" s="1497">
        <f>AZ32/AZ11</f>
        <v>0.11593004645426987</v>
      </c>
      <c r="BA65" s="1497">
        <f>BA32/BA11</f>
        <v>0.11552995873860752</v>
      </c>
      <c r="BB65" s="1497">
        <f>BB32/BB11</f>
        <v>0.16014850755694032</v>
      </c>
      <c r="BC65" s="1499">
        <f>BC32/BC11</f>
        <v>0.12457403045183836</v>
      </c>
      <c r="BD65" s="1500"/>
      <c r="BE65" s="1498">
        <f>BE32/BE11</f>
        <v>0.11270857964114163</v>
      </c>
      <c r="BF65" s="1497">
        <f>BF32/BF11</f>
        <v>0.12861686222311711</v>
      </c>
      <c r="BG65" s="1497">
        <f>BG32/BG11</f>
        <v>0.13649208708577421</v>
      </c>
      <c r="BH65" s="1497">
        <f>BH32/BH11</f>
        <v>0.16153689717331562</v>
      </c>
      <c r="BI65" s="1499">
        <f>BI32/BI11</f>
        <v>0.13560660288021889</v>
      </c>
      <c r="BJ65" s="1500"/>
      <c r="BK65" s="1498">
        <f>BK32/BK11</f>
        <v>0.11723289908613638</v>
      </c>
      <c r="BL65" s="1497">
        <f>BL32/BL11</f>
        <v>0.13488343190507879</v>
      </c>
      <c r="BM65" s="1497">
        <f>BM32/BM11</f>
        <v>0.1461329762291238</v>
      </c>
      <c r="BN65" s="1497">
        <f>BN32/BN11</f>
        <v>0.16922783526196628</v>
      </c>
      <c r="BO65" s="1499">
        <f>BO32/BO11</f>
        <v>0.14338873123278398</v>
      </c>
      <c r="BP65" s="1500"/>
      <c r="BQ65" s="1498">
        <f>BQ32/BQ11</f>
        <v>0.11001033936771486</v>
      </c>
      <c r="BR65" s="1497">
        <f>BR32/BR11</f>
        <v>0.14208504137380915</v>
      </c>
      <c r="BS65" s="1497">
        <f>BS32/BS11</f>
        <v>0.15210215568378774</v>
      </c>
      <c r="BT65" s="1497">
        <f>BT32/BT11</f>
        <v>0.17178540050267371</v>
      </c>
      <c r="BU65" s="1499">
        <f>BU32/BU11</f>
        <v>0.14556068360539601</v>
      </c>
      <c r="BV65" s="1500"/>
      <c r="BW65" s="1498">
        <f>BW32/BW11</f>
        <v>0.1248639461054751</v>
      </c>
      <c r="BX65" s="1497">
        <f>BX32/BX11</f>
        <v>0.1550560257428415</v>
      </c>
      <c r="BY65" s="1497">
        <f>BY32/BY11</f>
        <v>0.16447205943273802</v>
      </c>
      <c r="BZ65" s="1497">
        <f>BZ32/BZ11</f>
        <v>0.18267160584781814</v>
      </c>
      <c r="CA65" s="1499">
        <f>CA32/CA11</f>
        <v>0.15832443966213153</v>
      </c>
      <c r="CB65" s="1500"/>
      <c r="CC65" s="1498">
        <f>CC32/CC11</f>
        <v>0.13519151737605445</v>
      </c>
      <c r="CD65" s="1497">
        <f>CD32/CD11</f>
        <v>0.17639619812116022</v>
      </c>
      <c r="CE65" s="1497">
        <f>CE32/CE11</f>
        <v>0.1872267068858732</v>
      </c>
      <c r="CF65" s="1497">
        <f>CF32/CF11</f>
        <v>0.20720860508691333</v>
      </c>
      <c r="CG65" s="1499">
        <f>CG32/CG11</f>
        <v>0.17839444494411308</v>
      </c>
      <c r="CH65" s="1500"/>
      <c r="CI65" s="1498">
        <f>CI32/CI11</f>
        <v>0.16363321537763456</v>
      </c>
      <c r="CJ65" s="1497">
        <f>CJ32/CJ11</f>
        <v>0.17592820913726018</v>
      </c>
      <c r="CK65" s="1497">
        <f>CK32/CK11</f>
        <v>0.18540508045850823</v>
      </c>
      <c r="CL65" s="1497">
        <f>CL32/CL11</f>
        <v>0.20384312163559473</v>
      </c>
      <c r="CM65" s="1499">
        <f>CM32/CM11</f>
        <v>0.18329670935858008</v>
      </c>
      <c r="CN65" s="36"/>
      <c r="CO65" s="36"/>
      <c r="CP65" s="36"/>
      <c r="CQ65" s="36"/>
      <c r="CR65" s="36"/>
      <c r="CZ65" s="108"/>
      <c r="DA65" s="108"/>
      <c r="DB65" s="108"/>
      <c r="DC65" s="108"/>
      <c r="DD65" s="108"/>
      <c r="DE65" s="108"/>
      <c r="DF65" s="108"/>
      <c r="DG65" s="108"/>
      <c r="DH65" s="108"/>
      <c r="DI65" s="108"/>
      <c r="DJ65" s="108"/>
      <c r="DK65" s="108"/>
    </row>
    <row r="66" spans="1:115">
      <c r="A66" s="1640" t="s">
        <v>56</v>
      </c>
      <c r="B66" s="1464"/>
      <c r="C66" s="1641"/>
      <c r="D66" s="1641"/>
      <c r="E66" s="1641"/>
      <c r="F66" s="1464"/>
      <c r="G66" s="1637"/>
      <c r="H66" s="1464"/>
      <c r="I66" s="1464"/>
      <c r="J66" s="1464"/>
      <c r="K66" s="1464"/>
      <c r="L66" s="1464"/>
      <c r="M66" s="1637"/>
      <c r="N66" s="1642"/>
      <c r="O66" s="1643"/>
      <c r="P66" s="1643"/>
      <c r="Q66" s="1643"/>
      <c r="R66" s="1643"/>
      <c r="S66" s="1464"/>
      <c r="T66" s="1464"/>
      <c r="U66" s="1464"/>
      <c r="V66" s="1464"/>
      <c r="W66" s="1464"/>
      <c r="X66" s="1464"/>
      <c r="Y66" s="1464"/>
      <c r="Z66" s="1464"/>
      <c r="AA66" s="1465"/>
      <c r="AB66" s="1465"/>
      <c r="AC66" s="1465"/>
      <c r="AD66" s="1465"/>
      <c r="AE66" s="1464"/>
      <c r="AF66" s="1464"/>
      <c r="AG66" s="1465"/>
      <c r="AH66" s="1465"/>
      <c r="AI66" s="1465"/>
      <c r="AJ66" s="1465"/>
      <c r="AK66" s="1464"/>
      <c r="AL66" s="1464"/>
      <c r="AM66" s="1464"/>
      <c r="AN66" s="1464"/>
      <c r="AO66" s="1464"/>
      <c r="AP66" s="1464"/>
      <c r="AQ66" s="1464"/>
      <c r="AR66" s="1464"/>
      <c r="AS66" s="1464"/>
      <c r="AT66" s="1464"/>
      <c r="AU66" s="1464"/>
      <c r="AV66" s="1464"/>
      <c r="AW66" s="1466"/>
      <c r="AX66" s="1464"/>
      <c r="AY66" s="1464"/>
      <c r="AZ66" s="1464"/>
      <c r="BA66" s="1464"/>
      <c r="BB66" s="1464"/>
      <c r="BC66" s="1466"/>
      <c r="BD66" s="1464"/>
      <c r="BE66" s="1464"/>
      <c r="BF66" s="1464"/>
      <c r="BG66" s="1464"/>
      <c r="BH66" s="1464"/>
      <c r="BI66" s="1464"/>
      <c r="BJ66" s="1464"/>
      <c r="BK66" s="1464"/>
      <c r="BL66" s="1464"/>
      <c r="BM66" s="1464"/>
      <c r="BN66" s="1464"/>
      <c r="BO66" s="1464"/>
      <c r="BP66" s="1464"/>
      <c r="BQ66" s="1464"/>
      <c r="BR66" s="1464"/>
      <c r="BS66" s="1464"/>
      <c r="BT66" s="1464"/>
      <c r="BU66" s="1464"/>
      <c r="BV66" s="1464"/>
      <c r="BW66" s="1464"/>
      <c r="BX66" s="1464"/>
      <c r="BY66" s="1464"/>
      <c r="BZ66" s="1464"/>
      <c r="CA66" s="1464"/>
      <c r="CB66" s="1464"/>
      <c r="CC66" s="1464"/>
      <c r="CD66" s="1464"/>
      <c r="CE66" s="1464"/>
      <c r="CF66" s="1464"/>
      <c r="CG66" s="1464"/>
      <c r="CH66" s="1464"/>
      <c r="CI66" s="1464"/>
      <c r="CJ66" s="1464"/>
      <c r="CK66" s="1464"/>
      <c r="CL66" s="1464"/>
      <c r="CM66" s="1464"/>
      <c r="CN66" s="36"/>
      <c r="CO66" s="36"/>
      <c r="CP66" s="36"/>
      <c r="CQ66" s="36"/>
      <c r="CR66" s="36"/>
      <c r="CZ66" s="108"/>
      <c r="DA66" s="108"/>
      <c r="DB66" s="108"/>
      <c r="DC66" s="108"/>
      <c r="DD66" s="108"/>
      <c r="DE66" s="108"/>
      <c r="DF66" s="108"/>
      <c r="DG66" s="108"/>
      <c r="DH66" s="108"/>
      <c r="DI66" s="108"/>
      <c r="DJ66" s="108"/>
      <c r="DK66" s="108"/>
    </row>
    <row r="67" spans="1:115">
      <c r="A67" s="67" t="s">
        <v>206</v>
      </c>
      <c r="B67" s="1500"/>
      <c r="C67" s="1498"/>
      <c r="D67" s="1497"/>
      <c r="E67" s="1497"/>
      <c r="F67" s="1497"/>
      <c r="G67" s="1499"/>
      <c r="H67" s="1500"/>
      <c r="I67" s="1498">
        <f t="shared" ref="I67:M67" si="91">I11/C11-1</f>
        <v>0.13854554480019865</v>
      </c>
      <c r="J67" s="1497">
        <f t="shared" si="91"/>
        <v>0.15475999908527549</v>
      </c>
      <c r="K67" s="1497">
        <f t="shared" si="91"/>
        <v>9.8880340075470308E-2</v>
      </c>
      <c r="L67" s="1497">
        <f t="shared" si="91"/>
        <v>3.9890159040555817E-2</v>
      </c>
      <c r="M67" s="1499">
        <f t="shared" si="91"/>
        <v>0.10574631109906729</v>
      </c>
      <c r="N67" s="1500"/>
      <c r="O67" s="1498">
        <f t="shared" ref="O67:S67" si="92">O11/I11-1</f>
        <v>-5.1366846878269978E-2</v>
      </c>
      <c r="P67" s="1497">
        <f t="shared" si="92"/>
        <v>-0.13207846088342767</v>
      </c>
      <c r="Q67" s="1497">
        <f t="shared" si="92"/>
        <v>-0.21245250622980405</v>
      </c>
      <c r="R67" s="1497">
        <f t="shared" si="92"/>
        <v>-0.39923780182847557</v>
      </c>
      <c r="S67" s="1499">
        <f t="shared" si="92"/>
        <v>-0.20158348186842201</v>
      </c>
      <c r="T67" s="1500"/>
      <c r="U67" s="1498">
        <f t="shared" ref="U67:Y67" si="93">U11/O11-1</f>
        <v>-9.5452905503071284E-2</v>
      </c>
      <c r="V67" s="1497">
        <f t="shared" si="93"/>
        <v>-3.7590982727542355E-2</v>
      </c>
      <c r="W67" s="1497">
        <f t="shared" si="93"/>
        <v>0.1121617033917186</v>
      </c>
      <c r="X67" s="1497">
        <f t="shared" si="93"/>
        <v>0.56621811969910385</v>
      </c>
      <c r="Y67" s="1499">
        <f t="shared" si="93"/>
        <v>9.9508243023125331E-2</v>
      </c>
      <c r="Z67" s="1500"/>
      <c r="AA67" s="1498">
        <f t="shared" ref="AA67:AE67" si="94">AA11/U11-1</f>
        <v>0.2275519536608912</v>
      </c>
      <c r="AB67" s="1497">
        <f t="shared" si="94"/>
        <v>0.24134472907455051</v>
      </c>
      <c r="AC67" s="1497">
        <f t="shared" si="94"/>
        <v>0.19192034817862025</v>
      </c>
      <c r="AD67" s="1497">
        <f t="shared" si="94"/>
        <v>0.17756729174639641</v>
      </c>
      <c r="AE67" s="1499">
        <f t="shared" si="94"/>
        <v>0.20841309498674532</v>
      </c>
      <c r="AF67" s="1500"/>
      <c r="AG67" s="1498">
        <f t="shared" ref="AG67:AK67" si="95">AG11/AA11-1</f>
        <v>7.072594781752084E-2</v>
      </c>
      <c r="AH67" s="1497">
        <f t="shared" si="95"/>
        <v>1.6539564127098672E-2</v>
      </c>
      <c r="AI67" s="1497">
        <f t="shared" si="95"/>
        <v>3.0089915606580142E-2</v>
      </c>
      <c r="AJ67" s="1497">
        <f t="shared" si="95"/>
        <v>4.1779737369032288E-2</v>
      </c>
      <c r="AK67" s="1499">
        <f t="shared" si="95"/>
        <v>3.9318281862960269E-2</v>
      </c>
      <c r="AL67" s="1500"/>
      <c r="AM67" s="1498">
        <f t="shared" ref="AM67:AQ67" si="96">AM11/AG11-1</f>
        <v>-1.9431231069867771E-2</v>
      </c>
      <c r="AN67" s="1497">
        <f t="shared" si="96"/>
        <v>2.2957127531455956E-2</v>
      </c>
      <c r="AO67" s="1497">
        <f t="shared" si="96"/>
        <v>1.5837648244797942E-2</v>
      </c>
      <c r="AP67" s="1497">
        <f t="shared" si="96"/>
        <v>2.9501019935978867E-2</v>
      </c>
      <c r="AQ67" s="1499">
        <f t="shared" si="96"/>
        <v>1.2767900062294446E-2</v>
      </c>
      <c r="AR67" s="1501"/>
      <c r="AS67" s="1498">
        <f t="shared" ref="AS67:AW67" si="97">AS11/AM11-1</f>
        <v>4.8832169679289272E-2</v>
      </c>
      <c r="AT67" s="1497">
        <f t="shared" si="97"/>
        <v>2.2264885981280846E-2</v>
      </c>
      <c r="AU67" s="1497">
        <f t="shared" si="97"/>
        <v>3.80548197631152E-2</v>
      </c>
      <c r="AV67" s="1497">
        <f t="shared" si="97"/>
        <v>2.458555385736827E-2</v>
      </c>
      <c r="AW67" s="1499">
        <f t="shared" si="97"/>
        <v>3.2922608172926804E-2</v>
      </c>
      <c r="AX67" s="1501"/>
      <c r="AY67" s="1498">
        <f t="shared" ref="AY67:BC67" si="98">AY11/AS11-1</f>
        <v>-8.9593247105290708E-2</v>
      </c>
      <c r="AZ67" s="1497">
        <f t="shared" si="98"/>
        <v>-5.5932282865256089E-2</v>
      </c>
      <c r="BA67" s="1497">
        <f t="shared" si="98"/>
        <v>-3.1726709147800403E-2</v>
      </c>
      <c r="BB67" s="1497">
        <f t="shared" si="98"/>
        <v>-6.3341786284203727E-2</v>
      </c>
      <c r="BC67" s="1499">
        <f t="shared" si="98"/>
        <v>-6.0074274709848163E-2</v>
      </c>
      <c r="BD67" s="1501"/>
      <c r="BE67" s="1498">
        <f t="shared" ref="BE67:BI67" si="99">BE11/AY11-1</f>
        <v>2.8444794926632655E-2</v>
      </c>
      <c r="BF67" s="1497">
        <f t="shared" si="99"/>
        <v>2.0848280468843683E-2</v>
      </c>
      <c r="BG67" s="1497">
        <f t="shared" si="99"/>
        <v>-2.0940774968469023E-2</v>
      </c>
      <c r="BH67" s="1497">
        <f t="shared" si="99"/>
        <v>-5.4694845563367789E-3</v>
      </c>
      <c r="BI67" s="1499">
        <f t="shared" si="99"/>
        <v>5.0379460681415633E-3</v>
      </c>
      <c r="BJ67" s="1501"/>
      <c r="BK67" s="1498">
        <f t="shared" ref="BK67:BO67" si="100">BK11/BE11-1</f>
        <v>3.2334987986535113E-2</v>
      </c>
      <c r="BL67" s="1497">
        <f t="shared" si="100"/>
        <v>2.0003057317241391E-2</v>
      </c>
      <c r="BM67" s="1497">
        <f t="shared" si="100"/>
        <v>7.7322141587246263E-2</v>
      </c>
      <c r="BN67" s="1497">
        <f t="shared" si="100"/>
        <v>0.13204774990563606</v>
      </c>
      <c r="BO67" s="1499">
        <f t="shared" si="100"/>
        <v>6.6863778383047467E-2</v>
      </c>
      <c r="BP67" s="1501"/>
      <c r="BQ67" s="1498">
        <f t="shared" ref="BQ67:BU67" si="101">BQ11/BK11-1</f>
        <v>0.21263792609790433</v>
      </c>
      <c r="BR67" s="1497">
        <f t="shared" si="101"/>
        <v>0.25354136412082484</v>
      </c>
      <c r="BS67" s="1497">
        <f t="shared" si="101"/>
        <v>0.23159048791185866</v>
      </c>
      <c r="BT67" s="1497">
        <f t="shared" si="101"/>
        <v>0.19348714965009051</v>
      </c>
      <c r="BU67" s="1499">
        <f t="shared" si="101"/>
        <v>0.22176096867203787</v>
      </c>
      <c r="BV67" s="1501"/>
      <c r="BW67" s="1498">
        <f t="shared" ref="BW67:CA67" si="102">BW11/BQ11-1</f>
        <v>6.3716831390071782E-2</v>
      </c>
      <c r="BX67" s="1497">
        <f t="shared" si="102"/>
        <v>7.022300964112671E-2</v>
      </c>
      <c r="BY67" s="1497">
        <f t="shared" si="102"/>
        <v>7.5706464866881484E-2</v>
      </c>
      <c r="BZ67" s="1497">
        <f t="shared" si="102"/>
        <v>7.6724625586982231E-2</v>
      </c>
      <c r="CA67" s="1499">
        <f t="shared" si="102"/>
        <v>7.1914962987918996E-2</v>
      </c>
      <c r="CB67" s="1501"/>
      <c r="CC67" s="1498">
        <f t="shared" ref="CC67" si="103">CC11/BW11-1</f>
        <v>7.2098123715333529E-2</v>
      </c>
      <c r="CD67" s="1497">
        <f t="shared" ref="CD67" si="104">CD11/BX11-1</f>
        <v>7.414551930808666E-2</v>
      </c>
      <c r="CE67" s="1497">
        <f t="shared" ref="CE67" si="105">CE11/BY11-1</f>
        <v>7.1739492174721642E-2</v>
      </c>
      <c r="CF67" s="1497">
        <f t="shared" ref="CF67" si="106">CF11/BZ11-1</f>
        <v>6.6658569242043608E-2</v>
      </c>
      <c r="CG67" s="1499">
        <f t="shared" ref="CG67" si="107">CG11/CA11-1</f>
        <v>7.0999974590041814E-2</v>
      </c>
      <c r="CH67" s="1501"/>
      <c r="CI67" s="1498">
        <f t="shared" ref="CI67" si="108">CI11/CC11-1</f>
        <v>5.367527687261564E-2</v>
      </c>
      <c r="CJ67" s="1497">
        <f t="shared" ref="CJ67" si="109">CJ11/CD11-1</f>
        <v>5.3778306982475765E-2</v>
      </c>
      <c r="CK67" s="1497">
        <f t="shared" ref="CK67" si="110">CK11/CE11-1</f>
        <v>5.7624273319504704E-2</v>
      </c>
      <c r="CL67" s="1497">
        <f t="shared" ref="CL67" si="111">CL11/CF11-1</f>
        <v>5.6808205503407372E-2</v>
      </c>
      <c r="CM67" s="1499">
        <f t="shared" ref="CM67" si="112">CM11/CG11-1</f>
        <v>5.5553044167390153E-2</v>
      </c>
      <c r="CN67" s="36"/>
      <c r="CO67" s="36"/>
      <c r="CP67" s="36"/>
      <c r="CQ67" s="36"/>
      <c r="CR67" s="36"/>
      <c r="CZ67" s="108"/>
      <c r="DA67" s="108"/>
      <c r="DB67" s="108"/>
      <c r="DC67" s="108"/>
      <c r="DD67" s="108"/>
      <c r="DE67" s="108"/>
      <c r="DF67" s="108"/>
      <c r="DG67" s="108"/>
      <c r="DH67" s="108"/>
      <c r="DI67" s="108"/>
      <c r="DJ67" s="108"/>
      <c r="DK67" s="108"/>
    </row>
    <row r="68" spans="1:115">
      <c r="A68" s="2242" t="s">
        <v>691</v>
      </c>
      <c r="B68" s="2243"/>
      <c r="C68" s="2238"/>
      <c r="D68" s="2244"/>
      <c r="E68" s="2244"/>
      <c r="F68" s="2244"/>
      <c r="G68" s="2245"/>
      <c r="H68" s="2243"/>
      <c r="I68" s="2238"/>
      <c r="J68" s="2244"/>
      <c r="K68" s="2244"/>
      <c r="L68" s="2244"/>
      <c r="M68" s="2245"/>
      <c r="N68" s="2243"/>
      <c r="O68" s="2238"/>
      <c r="P68" s="2244"/>
      <c r="Q68" s="2244"/>
      <c r="R68" s="2244"/>
      <c r="S68" s="2245"/>
      <c r="T68" s="2243"/>
      <c r="U68" s="2238"/>
      <c r="V68" s="2244"/>
      <c r="W68" s="2244"/>
      <c r="X68" s="2244"/>
      <c r="Y68" s="2245"/>
      <c r="Z68" s="2243"/>
      <c r="AA68" s="2238"/>
      <c r="AB68" s="2244"/>
      <c r="AC68" s="2244"/>
      <c r="AD68" s="2244"/>
      <c r="AE68" s="2245"/>
      <c r="AF68" s="2243"/>
      <c r="AG68" s="2238"/>
      <c r="AH68" s="2244"/>
      <c r="AI68" s="2244"/>
      <c r="AJ68" s="2244"/>
      <c r="AK68" s="2245">
        <f>ProFormaRevBuild!AK21</f>
        <v>-2.5033657997521018E-2</v>
      </c>
      <c r="AL68" s="2246"/>
      <c r="AM68" s="2238">
        <f>ProFormaRevBuild!AM21</f>
        <v>-1.5930802318406857E-2</v>
      </c>
      <c r="AN68" s="2244">
        <f>ProFormaRevBuild!AN21</f>
        <v>2.6502809475198758E-2</v>
      </c>
      <c r="AO68" s="2244">
        <f>ProFormaRevBuild!AO21</f>
        <v>2.6763967300238143E-2</v>
      </c>
      <c r="AP68" s="2244">
        <f>ProFormaRevBuild!AP21</f>
        <v>2.1424463371906954E-2</v>
      </c>
      <c r="AQ68" s="2245">
        <f>ProFormaRevBuild!AQ21</f>
        <v>1.4881646449178448E-2</v>
      </c>
      <c r="AR68" s="2246"/>
      <c r="AS68" s="2238">
        <f>ProFormaRevBuild!AS21</f>
        <v>3.4651857820189799E-2</v>
      </c>
      <c r="AT68" s="2244">
        <f>ProFormaRevBuild!AT21</f>
        <v>-8.9060952089271492E-4</v>
      </c>
      <c r="AU68" s="2244">
        <f>ProFormaRevBuild!AU21</f>
        <v>5.5855598752270065E-2</v>
      </c>
      <c r="AV68" s="2244">
        <f>ProFormaRevBuild!AV21</f>
        <v>9.0869827167436731E-2</v>
      </c>
      <c r="AW68" s="2245">
        <f>ProFormaRevBuild!AW21</f>
        <v>4.6098842016514339E-2</v>
      </c>
      <c r="AX68" s="2246"/>
      <c r="AY68" s="2238">
        <f>ProFormaRevBuild!AY21</f>
        <v>6.3730546443588734E-2</v>
      </c>
      <c r="AZ68" s="2244">
        <f>ProFormaRevBuild!AZ21</f>
        <v>9.1825474634242135E-2</v>
      </c>
      <c r="BA68" s="2244">
        <f>ProFormaRevBuild!BA21</f>
        <v>4.6240331371653502E-2</v>
      </c>
      <c r="BB68" s="2244">
        <f>ProFormaRevBuild!BB21</f>
        <v>3.0321977027685645E-2</v>
      </c>
      <c r="BC68" s="2245">
        <f>ProFormaRevBuild!BC21</f>
        <v>5.6981619066898775E-2</v>
      </c>
      <c r="BD68" s="2246"/>
      <c r="BE68" s="2238">
        <f>ProFormaRevBuild!BE21</f>
        <v>4.8654756962302356E-2</v>
      </c>
      <c r="BF68" s="2244">
        <f>ProFormaRevBuild!BF21</f>
        <v>3.755298465824311E-2</v>
      </c>
      <c r="BG68" s="2244">
        <f>ProFormaRevBuild!BG21</f>
        <v>1.3518238327244678E-2</v>
      </c>
      <c r="BH68" s="2244">
        <f>ProFormaRevBuild!BH21</f>
        <v>1.3629978930351531E-3</v>
      </c>
      <c r="BI68" s="2245">
        <f>ProFormaRevBuild!BI21</f>
        <v>2.4307019468531615E-2</v>
      </c>
      <c r="BJ68" s="2246"/>
      <c r="BK68" s="2238">
        <f>ProFormaRevBuild!BK21</f>
        <v>3.5358950879004786E-2</v>
      </c>
      <c r="BL68" s="2244">
        <f>ProFormaRevBuild!BL21</f>
        <v>2.6457028681855309E-2</v>
      </c>
      <c r="BM68" s="2244">
        <f>ProFormaRevBuild!BM21</f>
        <v>3.8185927299301106E-2</v>
      </c>
      <c r="BN68" s="2244">
        <f>ProFormaRevBuild!BN21</f>
        <v>6.4396037510309811E-2</v>
      </c>
      <c r="BO68" s="2245">
        <f>ProFormaRevBuild!BO21</f>
        <v>4.1569353961883534E-2</v>
      </c>
      <c r="BP68" s="2246"/>
      <c r="BQ68" s="2238">
        <f>ProFormaRevBuild!BQ21</f>
        <v>4.2812883044510253E-2</v>
      </c>
      <c r="BR68" s="2244">
        <f>ProFormaRevBuild!BR21</f>
        <v>6.2402543307759906E-2</v>
      </c>
      <c r="BS68" s="2244">
        <f>ProFormaRevBuild!BS21</f>
        <v>5.6604509694549665E-2</v>
      </c>
      <c r="BT68" s="2244">
        <f>ProFormaRevBuild!BT21</f>
        <v>3.7147635359441461E-2</v>
      </c>
      <c r="BU68" s="2245">
        <f>ProFormaRevBuild!BU21</f>
        <v>4.9336710326335187E-2</v>
      </c>
      <c r="BV68" s="2246"/>
      <c r="BW68" s="2238">
        <f>ProFormaRevBuild!BW21</f>
        <v>6.3716831390071782E-2</v>
      </c>
      <c r="BX68" s="2244">
        <f>ProFormaRevBuild!BX21</f>
        <v>7.022300964112671E-2</v>
      </c>
      <c r="BY68" s="2244">
        <f>ProFormaRevBuild!BY21</f>
        <v>7.5706464866881484E-2</v>
      </c>
      <c r="BZ68" s="2244">
        <f>ProFormaRevBuild!BZ21</f>
        <v>7.6724625586982231E-2</v>
      </c>
      <c r="CA68" s="2245">
        <f>ProFormaRevBuild!CA21</f>
        <v>7.1914962987918774E-2</v>
      </c>
      <c r="CB68" s="2246"/>
      <c r="CC68" s="2238">
        <f>ProFormaRevBuild!CC21</f>
        <v>7.2098123715333529E-2</v>
      </c>
      <c r="CD68" s="2244">
        <f>ProFormaRevBuild!CD21</f>
        <v>7.414551930808666E-2</v>
      </c>
      <c r="CE68" s="2244">
        <f>ProFormaRevBuild!CE21</f>
        <v>7.1739492174721642E-2</v>
      </c>
      <c r="CF68" s="2244">
        <f>ProFormaRevBuild!CF21</f>
        <v>6.6658569242043608E-2</v>
      </c>
      <c r="CG68" s="2245">
        <f>ProFormaRevBuild!CG21</f>
        <v>7.0999974590042036E-2</v>
      </c>
      <c r="CH68" s="2246"/>
      <c r="CI68" s="2238">
        <f>ProFormaRevBuild!CI21</f>
        <v>5.367527687261564E-2</v>
      </c>
      <c r="CJ68" s="2244">
        <f>ProFormaRevBuild!CJ21</f>
        <v>5.3778306982475765E-2</v>
      </c>
      <c r="CK68" s="2244">
        <f>ProFormaRevBuild!CK21</f>
        <v>5.7624273319504704E-2</v>
      </c>
      <c r="CL68" s="2244">
        <f>ProFormaRevBuild!CL21</f>
        <v>5.6808205503407372E-2</v>
      </c>
      <c r="CM68" s="2245">
        <f>ProFormaRevBuild!CM21</f>
        <v>5.5553044167389931E-2</v>
      </c>
      <c r="CN68" s="36"/>
      <c r="CO68" s="36"/>
      <c r="CP68" s="36"/>
      <c r="CQ68" s="36"/>
      <c r="CR68" s="36"/>
      <c r="CZ68" s="108"/>
      <c r="DA68" s="108"/>
      <c r="DB68" s="108"/>
      <c r="DC68" s="108"/>
      <c r="DD68" s="108"/>
      <c r="DE68" s="108"/>
      <c r="DF68" s="108"/>
      <c r="DG68" s="108"/>
      <c r="DH68" s="108"/>
      <c r="DI68" s="108"/>
      <c r="DJ68" s="108"/>
      <c r="DK68" s="108"/>
    </row>
    <row r="69" spans="1:115">
      <c r="A69" s="67" t="s">
        <v>395</v>
      </c>
      <c r="B69" s="1500"/>
      <c r="C69" s="1498"/>
      <c r="D69" s="1497"/>
      <c r="E69" s="1497"/>
      <c r="F69" s="1497"/>
      <c r="G69" s="1499"/>
      <c r="H69" s="1500"/>
      <c r="I69" s="1498">
        <f>I12/C12-1</f>
        <v>9.362200117027486E-2</v>
      </c>
      <c r="J69" s="1497">
        <f>J12/D12-1</f>
        <v>0.1011145178961308</v>
      </c>
      <c r="K69" s="1497">
        <f>K12/E12-1</f>
        <v>6.1818563323675857E-2</v>
      </c>
      <c r="L69" s="1497">
        <f>L12/F12-1</f>
        <v>3.1640555406035498E-2</v>
      </c>
      <c r="M69" s="1499">
        <f>M12/G12-1</f>
        <v>7.1279354559861785E-2</v>
      </c>
      <c r="N69" s="1500"/>
      <c r="O69" s="1498">
        <f>O12/I12-1</f>
        <v>-7.2773996008638875E-2</v>
      </c>
      <c r="P69" s="1497">
        <f>P12/J12-1</f>
        <v>-0.13815367986284832</v>
      </c>
      <c r="Q69" s="1497">
        <f>Q12/K12-1</f>
        <v>-0.24534661893578369</v>
      </c>
      <c r="R69" s="1497">
        <f>R12/L12-1</f>
        <v>-0.49703109269016787</v>
      </c>
      <c r="S69" s="1499">
        <f>S12/M12-1</f>
        <v>-0.24007889811608318</v>
      </c>
      <c r="T69" s="1500"/>
      <c r="U69" s="1498">
        <f>U12/O12-1</f>
        <v>-0.12242069927006671</v>
      </c>
      <c r="V69" s="1497">
        <f>V12/P12-1</f>
        <v>-7.8725409989244266E-2</v>
      </c>
      <c r="W69" s="1497">
        <f>W12/Q12-1</f>
        <v>0.11915037188854916</v>
      </c>
      <c r="X69" s="1497">
        <f>X12/R12-1</f>
        <v>0.8125287650217321</v>
      </c>
      <c r="Y69" s="1499">
        <f>Y12/S12-1</f>
        <v>0.10675151533027516</v>
      </c>
      <c r="Z69" s="1500"/>
      <c r="AA69" s="1498">
        <f>AA12/U12-1</f>
        <v>0.13038866544438776</v>
      </c>
      <c r="AB69" s="1497">
        <f>AB12/V12-1</f>
        <v>0.15468666889047156</v>
      </c>
      <c r="AC69" s="1497">
        <f>AC12/W12-1</f>
        <v>7.8095049540590766E-2</v>
      </c>
      <c r="AD69" s="1497">
        <f>AD12/X12-1</f>
        <v>0.11949231786157721</v>
      </c>
      <c r="AE69" s="1499">
        <f>AE12/Y12-1</f>
        <v>0.12046691673717969</v>
      </c>
      <c r="AF69" s="1500"/>
      <c r="AG69" s="1498">
        <f>AG12/AA12-1</f>
        <v>0.10448749793012091</v>
      </c>
      <c r="AH69" s="1497">
        <f>AH12/AB12-1</f>
        <v>5.3240578080715695E-2</v>
      </c>
      <c r="AI69" s="1497">
        <f>AI12/AC12-1</f>
        <v>0.11087738628870003</v>
      </c>
      <c r="AJ69" s="1497">
        <f>AJ12/AD12-1</f>
        <v>6.2947561700059218E-2</v>
      </c>
      <c r="AK69" s="1499">
        <f>AK12/AE12-1</f>
        <v>8.1560346946380369E-2</v>
      </c>
      <c r="AL69" s="1500"/>
      <c r="AM69" s="1498">
        <f>AM12/AG12-1</f>
        <v>2.822434936377971E-2</v>
      </c>
      <c r="AN69" s="1497">
        <f>AN12/AH12-1</f>
        <v>6.1579860338922821E-2</v>
      </c>
      <c r="AO69" s="1497">
        <f>AO12/AI12-1</f>
        <v>3.1814971220751165E-2</v>
      </c>
      <c r="AP69" s="1497">
        <f>AP12/AJ12-1</f>
        <v>2.5616534400943136E-2</v>
      </c>
      <c r="AQ69" s="1499">
        <f>AQ12/AK12-1</f>
        <v>3.6640646404521693E-2</v>
      </c>
      <c r="AR69" s="1501"/>
      <c r="AS69" s="1498">
        <f>AS12/AM12-1</f>
        <v>5.5074923730334069E-2</v>
      </c>
      <c r="AT69" s="1497">
        <f>AT12/AN12-1</f>
        <v>3.3176215914248575E-2</v>
      </c>
      <c r="AU69" s="1497">
        <f>AU12/AO12-1</f>
        <v>4.263159427888974E-2</v>
      </c>
      <c r="AV69" s="1497">
        <f>AV12/AP12-1</f>
        <v>1.5564626389521719E-2</v>
      </c>
      <c r="AW69" s="1499">
        <f>AW12/AQ12-1</f>
        <v>3.5935141021606443E-2</v>
      </c>
      <c r="AX69" s="1501"/>
      <c r="AY69" s="1498">
        <f>AY12/AS12-1</f>
        <v>-0.11725956137957416</v>
      </c>
      <c r="AZ69" s="1497">
        <f>AZ12/AT12-1</f>
        <v>-6.9105004190435082E-2</v>
      </c>
      <c r="BA69" s="1497">
        <f>BA12/AU12-1</f>
        <v>-4.0046797513445642E-2</v>
      </c>
      <c r="BB69" s="1497">
        <f>BB12/AV12-1</f>
        <v>-5.6397248914687004E-2</v>
      </c>
      <c r="BC69" s="1499">
        <f>BC12/AW12-1</f>
        <v>-7.0266303744976333E-2</v>
      </c>
      <c r="BD69" s="1501"/>
      <c r="BE69" s="1498">
        <f>BE12/AY12-1</f>
        <v>2.1994123125341325E-2</v>
      </c>
      <c r="BF69" s="1497">
        <f>BF12/AZ12-1</f>
        <v>-4.1566380965863958E-3</v>
      </c>
      <c r="BG69" s="1497">
        <f>BG12/BA12-1</f>
        <v>-5.7873999992724023E-2</v>
      </c>
      <c r="BH69" s="1497">
        <f>BH12/BB12-1</f>
        <v>-2.4185655404381112E-2</v>
      </c>
      <c r="BI69" s="1499">
        <f>BI12/BC12-1</f>
        <v>-1.7062829243222444E-2</v>
      </c>
      <c r="BJ69" s="1501"/>
      <c r="BK69" s="1498">
        <f>BK12/BE12-1</f>
        <v>4.188286310199496E-2</v>
      </c>
      <c r="BL69" s="1497">
        <f>BL12/BF12-1</f>
        <v>2.2094795091827546E-2</v>
      </c>
      <c r="BM69" s="1497">
        <f>BM12/BG12-1</f>
        <v>7.4867260054447327E-2</v>
      </c>
      <c r="BN69" s="1497">
        <f>BN12/BH12-1</f>
        <v>0.14573341715109112</v>
      </c>
      <c r="BO69" s="1499">
        <f>BO12/BI12-1</f>
        <v>7.22455435338758E-2</v>
      </c>
      <c r="BP69" s="1501"/>
      <c r="BQ69" s="1498">
        <f>BQ12/BK12-1</f>
        <v>0.19147731336999296</v>
      </c>
      <c r="BR69" s="1497">
        <f>BR12/BL12-1</f>
        <v>0.20706291760513129</v>
      </c>
      <c r="BS69" s="1497">
        <f>BS12/BM12-1</f>
        <v>0.18497886318848744</v>
      </c>
      <c r="BT69" s="1497">
        <f>BT12/BN12-1</f>
        <v>0.14862525238413471</v>
      </c>
      <c r="BU69" s="1499">
        <f>BU12/BO12-1</f>
        <v>0.18160186895230068</v>
      </c>
      <c r="BV69" s="1501"/>
      <c r="BW69" s="1498">
        <f>BW12/BQ12-1</f>
        <v>5.1122438603556253E-2</v>
      </c>
      <c r="BX69" s="1497">
        <f>BX12/BR12-1</f>
        <v>5.7209524239677512E-2</v>
      </c>
      <c r="BY69" s="1497">
        <f>BY12/BS12-1</f>
        <v>6.2344354161433024E-2</v>
      </c>
      <c r="BZ69" s="1497">
        <f>BZ12/BT12-1</f>
        <v>6.3444518661022853E-2</v>
      </c>
      <c r="CA69" s="1499">
        <f>CA12/BU12-1</f>
        <v>5.8752151464769087E-2</v>
      </c>
      <c r="CB69" s="1501"/>
      <c r="CC69" s="1498">
        <f>CC12/BW12-1</f>
        <v>6.1393356776149544E-2</v>
      </c>
      <c r="CD69" s="1497">
        <f>CD12/BX12-1</f>
        <v>6.3127223254456855E-2</v>
      </c>
      <c r="CE69" s="1497">
        <f>CE12/BY12-1</f>
        <v>6.0505923632231617E-2</v>
      </c>
      <c r="CF69" s="1497">
        <f>CF12/BZ12-1</f>
        <v>5.5558366391420089E-2</v>
      </c>
      <c r="CG69" s="1499">
        <f>CG12/CA12-1</f>
        <v>5.9999265092844034E-2</v>
      </c>
      <c r="CH69" s="1501"/>
      <c r="CI69" s="1498">
        <f>CI12/CC12-1</f>
        <v>4.3048351240858151E-2</v>
      </c>
      <c r="CJ69" s="1497">
        <f>CJ12/CD12-1</f>
        <v>4.2856903497310084E-2</v>
      </c>
      <c r="CK69" s="1497">
        <f>CK12/CE12-1</f>
        <v>4.6421229091478278E-2</v>
      </c>
      <c r="CL69" s="1497">
        <f>CL12/CF12-1</f>
        <v>4.5694859402618526E-2</v>
      </c>
      <c r="CM69" s="1499">
        <f>CM12/CG12-1</f>
        <v>4.4550492515005091E-2</v>
      </c>
      <c r="CN69" s="36"/>
      <c r="CO69" s="36"/>
      <c r="CP69" s="36"/>
      <c r="CQ69" s="36"/>
      <c r="CR69" s="36"/>
      <c r="CZ69" s="108"/>
      <c r="DA69" s="108"/>
      <c r="DB69" s="108"/>
      <c r="DC69" s="108"/>
      <c r="DD69" s="108"/>
      <c r="DE69" s="108"/>
      <c r="DF69" s="108"/>
      <c r="DG69" s="108"/>
      <c r="DH69" s="108"/>
      <c r="DI69" s="108"/>
      <c r="DJ69" s="108"/>
      <c r="DK69" s="108"/>
    </row>
    <row r="70" spans="1:115">
      <c r="A70" s="67" t="s">
        <v>119</v>
      </c>
      <c r="B70" s="1500"/>
      <c r="C70" s="1498"/>
      <c r="D70" s="1497"/>
      <c r="E70" s="1497"/>
      <c r="F70" s="1497"/>
      <c r="G70" s="1499"/>
      <c r="H70" s="1500"/>
      <c r="I70" s="1498">
        <f t="shared" ref="I70:M71" si="113">I14/C14-1</f>
        <v>3.8911934216805388E-3</v>
      </c>
      <c r="J70" s="1497">
        <f t="shared" si="113"/>
        <v>5.6235083532219621E-2</v>
      </c>
      <c r="K70" s="1497">
        <f t="shared" si="113"/>
        <v>-5.5128535177080606E-2</v>
      </c>
      <c r="L70" s="1497">
        <f t="shared" si="113"/>
        <v>-5.5001142683019699E-2</v>
      </c>
      <c r="M70" s="1499">
        <f t="shared" si="113"/>
        <v>-1.2362560696545288E-2</v>
      </c>
      <c r="N70" s="1500"/>
      <c r="O70" s="1498">
        <f t="shared" ref="O70:S71" si="114">O14/I14-1</f>
        <v>-5.8982703770066203E-2</v>
      </c>
      <c r="P70" s="1497">
        <f t="shared" si="114"/>
        <v>-0.10634091230052245</v>
      </c>
      <c r="Q70" s="1497">
        <f t="shared" si="114"/>
        <v>-0.11252529970418812</v>
      </c>
      <c r="R70" s="1497">
        <f t="shared" si="114"/>
        <v>-0.39806529625151144</v>
      </c>
      <c r="S70" s="1499">
        <f t="shared" si="114"/>
        <v>-0.16380812447609083</v>
      </c>
      <c r="T70" s="1500"/>
      <c r="U70" s="1498">
        <f t="shared" ref="U70:Y71" si="115">U14/O14-1</f>
        <v>-0.11941400481852804</v>
      </c>
      <c r="V70" s="1497">
        <f t="shared" si="115"/>
        <v>-0.11022439949431095</v>
      </c>
      <c r="W70" s="1497">
        <f t="shared" si="115"/>
        <v>2.6884785755010965E-2</v>
      </c>
      <c r="X70" s="1497">
        <f t="shared" si="115"/>
        <v>0.64818534886835422</v>
      </c>
      <c r="Y70" s="1499">
        <f t="shared" si="115"/>
        <v>4.9898063774906909E-2</v>
      </c>
      <c r="Z70" s="1500"/>
      <c r="AA70" s="1498">
        <f t="shared" ref="AA70:AE71" si="116">AA14/U14-1</f>
        <v>0.14227086183310522</v>
      </c>
      <c r="AB70" s="1497">
        <f t="shared" si="116"/>
        <v>0.23576946985170055</v>
      </c>
      <c r="AC70" s="1497">
        <f t="shared" si="116"/>
        <v>0.28137012044076171</v>
      </c>
      <c r="AD70" s="1497">
        <f t="shared" si="116"/>
        <v>0.24327618428536613</v>
      </c>
      <c r="AE70" s="1499">
        <f t="shared" si="116"/>
        <v>0.22647541599167464</v>
      </c>
      <c r="AF70" s="1500"/>
      <c r="AG70" s="1498">
        <f t="shared" ref="AG70:AK71" si="117">AG14/AA14-1</f>
        <v>0.25648058721267164</v>
      </c>
      <c r="AH70" s="1497">
        <f t="shared" si="117"/>
        <v>0.21331560793331428</v>
      </c>
      <c r="AI70" s="1497">
        <f t="shared" si="117"/>
        <v>7.6861542563829044E-2</v>
      </c>
      <c r="AJ70" s="1497">
        <f t="shared" si="117"/>
        <v>8.6138160904515537E-2</v>
      </c>
      <c r="AK70" s="1499">
        <f t="shared" si="117"/>
        <v>0.15323518863550878</v>
      </c>
      <c r="AL70" s="1500"/>
      <c r="AM70" s="1498">
        <f t="shared" ref="AM70:AQ71" si="118">AM14/AG14-1</f>
        <v>4.7749354322961457E-2</v>
      </c>
      <c r="AN70" s="1497">
        <f t="shared" si="118"/>
        <v>1.5842932867422777E-2</v>
      </c>
      <c r="AO70" s="1497">
        <f t="shared" si="118"/>
        <v>-3.4294911477033563E-2</v>
      </c>
      <c r="AP70" s="1497">
        <f t="shared" si="118"/>
        <v>-1.0108911486852334E-2</v>
      </c>
      <c r="AQ70" s="1499">
        <f t="shared" si="118"/>
        <v>4.8847457884237944E-3</v>
      </c>
      <c r="AR70" s="1501"/>
      <c r="AS70" s="1498">
        <f t="shared" ref="AS70:AW71" si="119">AS14/AM14-1</f>
        <v>-0.14373330985708821</v>
      </c>
      <c r="AT70" s="1497">
        <f t="shared" si="119"/>
        <v>-0.11812033582089565</v>
      </c>
      <c r="AU70" s="1497">
        <f t="shared" si="119"/>
        <v>-2.8846153846153855E-2</v>
      </c>
      <c r="AV70" s="1497">
        <f t="shared" si="119"/>
        <v>-7.4038052398030296E-2</v>
      </c>
      <c r="AW70" s="1499">
        <f t="shared" si="119"/>
        <v>-9.273642656038894E-2</v>
      </c>
      <c r="AX70" s="1501"/>
      <c r="AY70" s="1498">
        <f t="shared" ref="AY70:BC71" si="120">AY14/AS14-1</f>
        <v>4.1468179169950048E-3</v>
      </c>
      <c r="AZ70" s="1497">
        <f t="shared" si="120"/>
        <v>-2.8163427211424064E-2</v>
      </c>
      <c r="BA70" s="1497">
        <f t="shared" si="120"/>
        <v>-0.1089108910891089</v>
      </c>
      <c r="BB70" s="1497">
        <f t="shared" si="120"/>
        <v>-0.14002494584126568</v>
      </c>
      <c r="BC70" s="1499">
        <f t="shared" si="120"/>
        <v>-6.9028345133406055E-2</v>
      </c>
      <c r="BD70" s="1501"/>
      <c r="BE70" s="1498">
        <f t="shared" ref="BE70:BI71" si="121">BE14/AY14-1</f>
        <v>1.7064846416382284E-2</v>
      </c>
      <c r="BF70" s="1497">
        <f t="shared" si="121"/>
        <v>7.8231292517006779E-2</v>
      </c>
      <c r="BG70" s="1497">
        <f t="shared" si="121"/>
        <v>8.8888888888888795E-2</v>
      </c>
      <c r="BH70" s="1497">
        <f t="shared" si="121"/>
        <v>0.25572519083969469</v>
      </c>
      <c r="BI70" s="1499">
        <f t="shared" si="121"/>
        <v>0.10634495084897244</v>
      </c>
      <c r="BJ70" s="1501"/>
      <c r="BK70" s="1498">
        <f t="shared" ref="BK70:BO71" si="122">BK14/BE14-1</f>
        <v>0.11704697986577162</v>
      </c>
      <c r="BL70" s="1497">
        <f t="shared" si="122"/>
        <v>5.6782334384858135E-2</v>
      </c>
      <c r="BM70" s="1497">
        <f t="shared" si="122"/>
        <v>0.18367346938775508</v>
      </c>
      <c r="BN70" s="1497">
        <f t="shared" si="122"/>
        <v>0.14589665653495465</v>
      </c>
      <c r="BO70" s="1499">
        <f t="shared" si="122"/>
        <v>0.12510500807754443</v>
      </c>
      <c r="BP70" s="1501"/>
      <c r="BQ70" s="1498">
        <f t="shared" ref="BQ70:BU71" si="123">BQ14/BK14-1</f>
        <v>0.30631427874632911</v>
      </c>
      <c r="BR70" s="1497">
        <f t="shared" si="123"/>
        <v>0.31496279549061401</v>
      </c>
      <c r="BS70" s="1497">
        <f t="shared" si="123"/>
        <v>0.29045838980216998</v>
      </c>
      <c r="BT70" s="1497">
        <f t="shared" si="123"/>
        <v>0.25444227396584163</v>
      </c>
      <c r="BU70" s="1499">
        <f t="shared" si="123"/>
        <v>0.29039306367720918</v>
      </c>
      <c r="BV70" s="1501"/>
      <c r="BW70" s="1498">
        <f t="shared" ref="BW70:CA71" si="124">BW14/BQ14-1</f>
        <v>4.0832955441554075E-2</v>
      </c>
      <c r="BX70" s="1497">
        <f t="shared" si="124"/>
        <v>4.5228146910992972E-2</v>
      </c>
      <c r="BY70" s="1497">
        <f t="shared" si="124"/>
        <v>5.1170771528382897E-2</v>
      </c>
      <c r="BZ70" s="1497">
        <f t="shared" si="124"/>
        <v>5.0564839374184212E-2</v>
      </c>
      <c r="CA70" s="1499">
        <f t="shared" si="124"/>
        <v>4.7053785069366194E-2</v>
      </c>
      <c r="CB70" s="1501"/>
      <c r="CC70" s="1498">
        <f t="shared" ref="CC70:CG71" si="125">CC14/BW14-1</f>
        <v>4.8526848094710751E-2</v>
      </c>
      <c r="CD70" s="1497">
        <f t="shared" si="125"/>
        <v>4.8459146541873555E-2</v>
      </c>
      <c r="CE70" s="1497">
        <f t="shared" si="125"/>
        <v>4.6723698137256964E-2</v>
      </c>
      <c r="CF70" s="1497">
        <f t="shared" si="125"/>
        <v>4.0098038099536604E-2</v>
      </c>
      <c r="CG70" s="1499">
        <f t="shared" si="125"/>
        <v>4.5832749344273616E-2</v>
      </c>
      <c r="CH70" s="1501"/>
      <c r="CI70" s="1498">
        <f t="shared" ref="CI70:CM71" si="126">CI14/CC14-1</f>
        <v>2.9988262647914432E-2</v>
      </c>
      <c r="CJ70" s="1497">
        <f t="shared" si="126"/>
        <v>2.7961619231333446E-2</v>
      </c>
      <c r="CK70" s="1497">
        <f t="shared" si="126"/>
        <v>3.2347964932231577E-2</v>
      </c>
      <c r="CL70" s="1497">
        <f t="shared" si="126"/>
        <v>2.9820954085052476E-2</v>
      </c>
      <c r="CM70" s="1499">
        <f t="shared" si="126"/>
        <v>3.0039654226387213E-2</v>
      </c>
      <c r="CN70" s="36"/>
      <c r="CO70" s="36"/>
      <c r="CP70" s="36"/>
      <c r="CQ70" s="36"/>
      <c r="CR70" s="36"/>
      <c r="CZ70" s="108"/>
      <c r="DA70" s="108"/>
      <c r="DB70" s="108"/>
      <c r="DC70" s="108"/>
      <c r="DD70" s="108"/>
      <c r="DE70" s="108"/>
      <c r="DF70" s="108"/>
      <c r="DG70" s="108"/>
      <c r="DH70" s="108"/>
      <c r="DI70" s="108"/>
      <c r="DJ70" s="108"/>
      <c r="DK70" s="108"/>
    </row>
    <row r="71" spans="1:115">
      <c r="A71" s="67" t="s">
        <v>120</v>
      </c>
      <c r="B71" s="1500"/>
      <c r="C71" s="1498"/>
      <c r="D71" s="1497"/>
      <c r="E71" s="1497"/>
      <c r="F71" s="1497"/>
      <c r="G71" s="1499"/>
      <c r="H71" s="1500"/>
      <c r="I71" s="1498">
        <f t="shared" si="113"/>
        <v>0.2896209835532666</v>
      </c>
      <c r="J71" s="1497">
        <f t="shared" si="113"/>
        <v>0.29857394980982832</v>
      </c>
      <c r="K71" s="1497">
        <f t="shared" si="113"/>
        <v>0.22484388547379908</v>
      </c>
      <c r="L71" s="1497">
        <f t="shared" si="113"/>
        <v>-1.5978818189459454E-2</v>
      </c>
      <c r="M71" s="1499">
        <f t="shared" si="113"/>
        <v>0.19089703414199022</v>
      </c>
      <c r="N71" s="1500"/>
      <c r="O71" s="1498">
        <f t="shared" si="114"/>
        <v>-2.312739761636573E-2</v>
      </c>
      <c r="P71" s="1497">
        <f t="shared" si="114"/>
        <v>-0.13034820085324106</v>
      </c>
      <c r="Q71" s="1497">
        <f t="shared" si="114"/>
        <v>-0.14015859507353123</v>
      </c>
      <c r="R71" s="1497">
        <f t="shared" si="114"/>
        <v>-0.15436195747806825</v>
      </c>
      <c r="S71" s="1499">
        <f t="shared" si="114"/>
        <v>-0.11149130760436765</v>
      </c>
      <c r="T71" s="1500"/>
      <c r="U71" s="1498">
        <f t="shared" si="115"/>
        <v>-5.8292275809794014E-2</v>
      </c>
      <c r="V71" s="1497">
        <f t="shared" si="115"/>
        <v>1.5427301141586858E-2</v>
      </c>
      <c r="W71" s="1497">
        <f t="shared" si="115"/>
        <v>7.4500263627702346E-2</v>
      </c>
      <c r="X71" s="1497">
        <f t="shared" si="115"/>
        <v>0.20430715772035746</v>
      </c>
      <c r="Y71" s="1499">
        <f t="shared" si="115"/>
        <v>5.0794629705219307E-2</v>
      </c>
      <c r="Z71" s="1500"/>
      <c r="AA71" s="1498">
        <f t="shared" si="116"/>
        <v>6.9050554870530023E-2</v>
      </c>
      <c r="AB71" s="1497">
        <f t="shared" si="116"/>
        <v>7.7816368185409379E-2</v>
      </c>
      <c r="AC71" s="1497">
        <f t="shared" si="116"/>
        <v>8.190356487977879E-2</v>
      </c>
      <c r="AD71" s="1497">
        <f t="shared" si="116"/>
        <v>0.21039388042676133</v>
      </c>
      <c r="AE71" s="1499">
        <f t="shared" si="116"/>
        <v>0.11002738175914639</v>
      </c>
      <c r="AF71" s="1500"/>
      <c r="AG71" s="1498">
        <f t="shared" si="117"/>
        <v>0.16743560169165694</v>
      </c>
      <c r="AH71" s="1497">
        <f t="shared" si="117"/>
        <v>6.1057277468520965E-2</v>
      </c>
      <c r="AI71" s="1497">
        <f t="shared" si="117"/>
        <v>9.8834294808036516E-2</v>
      </c>
      <c r="AJ71" s="1497">
        <f t="shared" si="117"/>
        <v>-9.5351609058414999E-3</v>
      </c>
      <c r="AK71" s="1499">
        <f t="shared" si="117"/>
        <v>7.5971395424028199E-2</v>
      </c>
      <c r="AL71" s="1500"/>
      <c r="AM71" s="1498">
        <f t="shared" si="118"/>
        <v>-2.6648004830122085E-2</v>
      </c>
      <c r="AN71" s="1497">
        <f t="shared" si="118"/>
        <v>-4.5266453168293364E-3</v>
      </c>
      <c r="AO71" s="1497">
        <f t="shared" si="118"/>
        <v>-2.1695052716950602E-2</v>
      </c>
      <c r="AP71" s="1497">
        <f t="shared" si="118"/>
        <v>9.2141717739906426E-3</v>
      </c>
      <c r="AQ71" s="1499">
        <f t="shared" si="118"/>
        <v>-1.0945053779596425E-2</v>
      </c>
      <c r="AR71" s="1501"/>
      <c r="AS71" s="1498">
        <f t="shared" si="119"/>
        <v>-4.4477965432655475E-3</v>
      </c>
      <c r="AT71" s="1497">
        <f t="shared" si="119"/>
        <v>-8.2197128522475404E-3</v>
      </c>
      <c r="AU71" s="1497">
        <f t="shared" si="119"/>
        <v>-1.4803849000739611E-3</v>
      </c>
      <c r="AV71" s="1497">
        <f t="shared" si="119"/>
        <v>-2.912325215426137E-2</v>
      </c>
      <c r="AW71" s="1499">
        <f t="shared" si="119"/>
        <v>-1.1025068672112726E-2</v>
      </c>
      <c r="AX71" s="1501"/>
      <c r="AY71" s="1498">
        <f t="shared" si="120"/>
        <v>-5.0532084368827057E-2</v>
      </c>
      <c r="AZ71" s="1497">
        <f t="shared" si="120"/>
        <v>-2.2516382508801724E-2</v>
      </c>
      <c r="BA71" s="1497">
        <f t="shared" si="120"/>
        <v>1.6308376575240757E-2</v>
      </c>
      <c r="BB71" s="1497">
        <f t="shared" si="120"/>
        <v>-3.1760539243687713E-2</v>
      </c>
      <c r="BC71" s="1499">
        <f t="shared" si="120"/>
        <v>-2.2541716813583634E-2</v>
      </c>
      <c r="BD71" s="1501"/>
      <c r="BE71" s="1498">
        <f t="shared" si="121"/>
        <v>-1.1185682326621871E-2</v>
      </c>
      <c r="BF71" s="1497">
        <f t="shared" si="121"/>
        <v>1.7151379567487135E-2</v>
      </c>
      <c r="BG71" s="1497">
        <f t="shared" si="121"/>
        <v>-6.1998541210795066E-2</v>
      </c>
      <c r="BH71" s="1497">
        <f t="shared" si="121"/>
        <v>-3.9823008849557362E-2</v>
      </c>
      <c r="BI71" s="1499">
        <f t="shared" si="121"/>
        <v>-2.4218894435200422E-2</v>
      </c>
      <c r="BJ71" s="1501"/>
      <c r="BK71" s="1498">
        <f t="shared" si="122"/>
        <v>-6.8401206636501399E-3</v>
      </c>
      <c r="BL71" s="1497">
        <f t="shared" si="122"/>
        <v>-1.9794721407624505E-2</v>
      </c>
      <c r="BM71" s="1497">
        <f t="shared" si="122"/>
        <v>4.4323483670295705E-2</v>
      </c>
      <c r="BN71" s="1497">
        <f t="shared" si="122"/>
        <v>9.6006144393240955E-2</v>
      </c>
      <c r="BO71" s="1499">
        <f t="shared" si="122"/>
        <v>2.7648730579765024E-2</v>
      </c>
      <c r="BP71" s="1501"/>
      <c r="BQ71" s="1498">
        <f t="shared" si="123"/>
        <v>0.23631646958131469</v>
      </c>
      <c r="BR71" s="1497">
        <f t="shared" si="123"/>
        <v>0.25867130166978503</v>
      </c>
      <c r="BS71" s="1497">
        <f t="shared" si="123"/>
        <v>0.23667513170878807</v>
      </c>
      <c r="BT71" s="1497">
        <f t="shared" si="123"/>
        <v>0.19885507346859987</v>
      </c>
      <c r="BU71" s="1499">
        <f t="shared" si="123"/>
        <v>0.23205990312242553</v>
      </c>
      <c r="BV71" s="1501"/>
      <c r="BW71" s="1498">
        <f t="shared" si="124"/>
        <v>5.149313339729078E-2</v>
      </c>
      <c r="BX71" s="1497">
        <f t="shared" si="124"/>
        <v>5.713736004626635E-2</v>
      </c>
      <c r="BY71" s="1497">
        <f t="shared" si="124"/>
        <v>6.2438022580802999E-2</v>
      </c>
      <c r="BZ71" s="1497">
        <f t="shared" si="124"/>
        <v>6.2261386722901157E-2</v>
      </c>
      <c r="CA71" s="1499">
        <f t="shared" si="124"/>
        <v>5.8391367417208517E-2</v>
      </c>
      <c r="CB71" s="1501"/>
      <c r="CC71" s="1498">
        <f t="shared" si="125"/>
        <v>5.9634890940258423E-2</v>
      </c>
      <c r="CD71" s="1497">
        <f t="shared" si="125"/>
        <v>6.0849336228397055E-2</v>
      </c>
      <c r="CE71" s="1497">
        <f t="shared" si="125"/>
        <v>5.8354886865615407E-2</v>
      </c>
      <c r="CF71" s="1497">
        <f t="shared" si="125"/>
        <v>5.213546046091766E-2</v>
      </c>
      <c r="CG71" s="1499">
        <f t="shared" si="125"/>
        <v>5.7694119328645321E-2</v>
      </c>
      <c r="CH71" s="1501"/>
      <c r="CI71" s="1498">
        <f t="shared" si="126"/>
        <v>4.128213999378727E-2</v>
      </c>
      <c r="CJ71" s="1497">
        <f t="shared" si="126"/>
        <v>4.0570748833966164E-2</v>
      </c>
      <c r="CK71" s="1497">
        <f t="shared" si="126"/>
        <v>4.4248907797609371E-2</v>
      </c>
      <c r="CL71" s="1497">
        <f t="shared" si="126"/>
        <v>4.2220596677269517E-2</v>
      </c>
      <c r="CM71" s="1499">
        <f t="shared" si="126"/>
        <v>4.208315571816601E-2</v>
      </c>
      <c r="CN71" s="36"/>
      <c r="CO71" s="36"/>
      <c r="CP71" s="36"/>
      <c r="CQ71" s="36"/>
      <c r="CR71" s="36"/>
      <c r="CY71" s="108"/>
      <c r="CZ71" s="108"/>
      <c r="DA71" s="108"/>
      <c r="DB71" s="108"/>
      <c r="DC71" s="108"/>
      <c r="DD71" s="108"/>
      <c r="DE71" s="108"/>
      <c r="DF71" s="108"/>
      <c r="DG71" s="108"/>
      <c r="DH71" s="108"/>
      <c r="DI71" s="108"/>
      <c r="DJ71" s="108"/>
      <c r="DK71" s="108"/>
    </row>
    <row r="72" spans="1:115">
      <c r="A72" s="67" t="s">
        <v>180</v>
      </c>
      <c r="B72" s="1500"/>
      <c r="C72" s="1498"/>
      <c r="D72" s="1497"/>
      <c r="E72" s="1497"/>
      <c r="F72" s="1497"/>
      <c r="G72" s="1499"/>
      <c r="H72" s="1500"/>
      <c r="I72" s="1498">
        <f>I17/C17-1</f>
        <v>0.22768936982813504</v>
      </c>
      <c r="J72" s="1497">
        <f>J17/D17-1</f>
        <v>0.2496290661504974</v>
      </c>
      <c r="K72" s="1497">
        <f>K17/E17-1</f>
        <v>0.16621226124460886</v>
      </c>
      <c r="L72" s="1497">
        <f>L17/F17-1</f>
        <v>-2.3033382911915368E-2</v>
      </c>
      <c r="M72" s="1499">
        <f>M17/G17-1</f>
        <v>0.14994086411492025</v>
      </c>
      <c r="N72" s="1500"/>
      <c r="O72" s="1498">
        <f>O17/I17-1</f>
        <v>-2.9482293773007817E-2</v>
      </c>
      <c r="P72" s="1497">
        <f>P17/J17-1</f>
        <v>-0.12624987192391368</v>
      </c>
      <c r="Q72" s="1497">
        <f>Q17/K17-1</f>
        <v>-0.13546998104622232</v>
      </c>
      <c r="R72" s="1497">
        <f>R17/L17-1</f>
        <v>-0.19697770635541534</v>
      </c>
      <c r="S72" s="1499">
        <f>S17/M17-1</f>
        <v>-0.1205451229232305</v>
      </c>
      <c r="T72" s="1500"/>
      <c r="U72" s="1498">
        <f>U17/O17-1</f>
        <v>-6.8796035980687398E-2</v>
      </c>
      <c r="V72" s="1497">
        <f>V17/P17-1</f>
        <v>-6.5116920742221973E-3</v>
      </c>
      <c r="W72" s="1497">
        <f>W17/Q17-1</f>
        <v>6.6206801723347919E-2</v>
      </c>
      <c r="X72" s="1497">
        <f>X17/R17-1</f>
        <v>0.26248990625987378</v>
      </c>
      <c r="Y72" s="1499">
        <f>Y17/S17-1</f>
        <v>5.0647104939793186E-2</v>
      </c>
      <c r="Z72" s="1500"/>
      <c r="AA72" s="1498">
        <f t="shared" ref="AA72:AE73" si="127">AA17/U17-1</f>
        <v>8.0949478288931065E-2</v>
      </c>
      <c r="AB72" s="1497">
        <f t="shared" si="127"/>
        <v>0.10251621235054742</v>
      </c>
      <c r="AC72" s="1497">
        <f t="shared" si="127"/>
        <v>0.1153644993730969</v>
      </c>
      <c r="AD72" s="1497">
        <f t="shared" si="127"/>
        <v>0.21602080117910583</v>
      </c>
      <c r="AE72" s="1499">
        <f t="shared" si="127"/>
        <v>0.1291745753981417</v>
      </c>
      <c r="AF72" s="1500"/>
      <c r="AG72" s="1498">
        <f t="shared" ref="AG72:AK73" si="128">AG17/AA17-1</f>
        <v>0.18272707369985342</v>
      </c>
      <c r="AH72" s="1497">
        <f t="shared" si="128"/>
        <v>8.7744267622220651E-2</v>
      </c>
      <c r="AI72" s="1497">
        <f t="shared" si="128"/>
        <v>9.459971607880413E-2</v>
      </c>
      <c r="AJ72" s="1497">
        <f t="shared" si="128"/>
        <v>7.2037047624482486E-3</v>
      </c>
      <c r="AK72" s="1499">
        <f t="shared" si="128"/>
        <v>8.9770367951808039E-2</v>
      </c>
      <c r="AL72" s="1500"/>
      <c r="AM72" s="1498">
        <f t="shared" ref="AM72:AQ73" si="129">AM17/AG17-1</f>
        <v>-1.307523166326352E-2</v>
      </c>
      <c r="AN72" s="1497">
        <f t="shared" si="129"/>
        <v>-5.442208378686475E-4</v>
      </c>
      <c r="AO72" s="1497">
        <f t="shared" si="129"/>
        <v>-2.4083941691509625E-2</v>
      </c>
      <c r="AP72" s="1497">
        <f t="shared" si="129"/>
        <v>5.5684849860930807E-3</v>
      </c>
      <c r="AQ72" s="1499">
        <f t="shared" si="129"/>
        <v>-7.9532780751576659E-3</v>
      </c>
      <c r="AR72" s="1501"/>
      <c r="AS72" s="1498">
        <f>AS17/AM17-1</f>
        <v>-3.1424592912557836E-2</v>
      </c>
      <c r="AT72" s="1497">
        <f>AT17/AN17-1</f>
        <v>-3.0058506632682613E-2</v>
      </c>
      <c r="AU72" s="1497">
        <f>AU17/AO17-1</f>
        <v>-6.6145520144315073E-3</v>
      </c>
      <c r="AV72" s="1497">
        <f>AV17/AP17-1</f>
        <v>-3.7465213292614985E-2</v>
      </c>
      <c r="AW72" s="1499">
        <f>AW17/AQ17-1</f>
        <v>-2.6668073164881179E-2</v>
      </c>
      <c r="AX72" s="1501"/>
      <c r="AY72" s="1498">
        <f>AY17/AS17-1</f>
        <v>-4.1169843207210843E-2</v>
      </c>
      <c r="AZ72" s="1497">
        <f>AZ17/AT17-1</f>
        <v>-2.3536648730000387E-2</v>
      </c>
      <c r="BA72" s="1497">
        <f>BA17/AU17-1</f>
        <v>-6.6585956416466141E-3</v>
      </c>
      <c r="BB72" s="1497">
        <f>BB17/AV17-1</f>
        <v>-5.1104308150650368E-2</v>
      </c>
      <c r="BC72" s="1499">
        <f>BC17/AW17-1</f>
        <v>-3.0837135209205946E-2</v>
      </c>
      <c r="BD72" s="1501"/>
      <c r="BE72" s="1498">
        <f>BE17/AY17-1</f>
        <v>-6.1199510403915358E-3</v>
      </c>
      <c r="BF72" s="1497">
        <f>BF17/AZ17-1</f>
        <v>2.8134556574923586E-2</v>
      </c>
      <c r="BG72" s="1497">
        <f>BG17/BA17-1</f>
        <v>-3.7172455819622141E-2</v>
      </c>
      <c r="BH72" s="1497">
        <f>BH17/BB17-1</f>
        <v>8.0346106304081122E-3</v>
      </c>
      <c r="BI72" s="1499">
        <f>BI17/BC17-1</f>
        <v>-1.8382352941174185E-3</v>
      </c>
      <c r="BJ72" s="1501"/>
      <c r="BK72" s="1498">
        <f>BK17/BE17-1</f>
        <v>1.5892857142857153E-2</v>
      </c>
      <c r="BL72" s="1497">
        <f>BL17/BF17-1</f>
        <v>-5.353955978584013E-3</v>
      </c>
      <c r="BM72" s="1497">
        <f>BM17/BG17-1</f>
        <v>7.0253164556962178E-2</v>
      </c>
      <c r="BN72" s="1497">
        <f>BN17/BH17-1</f>
        <v>0.10606989576946635</v>
      </c>
      <c r="BO72" s="1499">
        <f>BO17/BI17-1</f>
        <v>4.6164825046040248E-2</v>
      </c>
      <c r="BP72" s="1501"/>
      <c r="BQ72" s="1498">
        <f>BQ17/BK17-1</f>
        <v>0.25043983573550799</v>
      </c>
      <c r="BR72" s="1497">
        <f>BR17/BL17-1</f>
        <v>0.26994980073077657</v>
      </c>
      <c r="BS72" s="1497">
        <f>BS17/BM17-1</f>
        <v>0.24774347814077902</v>
      </c>
      <c r="BT72" s="1497">
        <f>BT17/BN17-1</f>
        <v>0.21047168909357783</v>
      </c>
      <c r="BU72" s="1499">
        <f>BU17/BO17-1</f>
        <v>0.24397912819596401</v>
      </c>
      <c r="BV72" s="1501"/>
      <c r="BW72" s="1498">
        <f>BW17/BQ17-1</f>
        <v>4.9246133259722269E-2</v>
      </c>
      <c r="BX72" s="1497">
        <f>BX17/BR17-1</f>
        <v>5.4666668593342127E-2</v>
      </c>
      <c r="BY72" s="1497">
        <f>BY17/BS17-1</f>
        <v>6.0039894886222189E-2</v>
      </c>
      <c r="BZ72" s="1497">
        <f>BZ17/BT17-1</f>
        <v>5.9728250502329105E-2</v>
      </c>
      <c r="CA72" s="1499">
        <f>CA17/BU17-1</f>
        <v>5.5988322471446139E-2</v>
      </c>
      <c r="CB72" s="1501"/>
      <c r="CC72" s="1498">
        <f>CC17/BW17-1</f>
        <v>5.7312261921207863E-2</v>
      </c>
      <c r="CD72" s="1497">
        <f>CD17/BX17-1</f>
        <v>5.8301865070304881E-2</v>
      </c>
      <c r="CE72" s="1497">
        <f>CE17/BY17-1</f>
        <v>5.5900011192740351E-2</v>
      </c>
      <c r="CF72" s="1497">
        <f>CF17/BZ17-1</f>
        <v>4.9551042740316742E-2</v>
      </c>
      <c r="CG72" s="1499">
        <f>CG17/CA17-1</f>
        <v>5.5201326609229273E-2</v>
      </c>
      <c r="CH72" s="1501"/>
      <c r="CI72" s="1498">
        <f>CI17/CC17-1</f>
        <v>3.8940276077849001E-2</v>
      </c>
      <c r="CJ72" s="1497">
        <f>CJ17/CD17-1</f>
        <v>3.800237415068719E-2</v>
      </c>
      <c r="CK72" s="1497">
        <f>CK17/CE17-1</f>
        <v>4.175892680397375E-2</v>
      </c>
      <c r="CL72" s="1497">
        <f>CL17/CF17-1</f>
        <v>3.9582388323818218E-2</v>
      </c>
      <c r="CM72" s="1499">
        <f>CM17/CG17-1</f>
        <v>3.9574558165402118E-2</v>
      </c>
      <c r="CN72" s="36"/>
      <c r="CO72" s="36"/>
      <c r="CP72" s="36"/>
      <c r="CQ72" s="36"/>
      <c r="CR72" s="36"/>
      <c r="CY72" s="108"/>
      <c r="CZ72" s="108"/>
      <c r="DA72" s="108"/>
      <c r="DB72" s="108"/>
      <c r="DC72" s="108"/>
      <c r="DD72" s="108"/>
      <c r="DE72" s="108"/>
      <c r="DF72" s="108"/>
      <c r="DG72" s="108"/>
      <c r="DH72" s="108"/>
      <c r="DI72" s="108"/>
      <c r="DJ72" s="108"/>
      <c r="DK72" s="108"/>
    </row>
    <row r="73" spans="1:115">
      <c r="A73" s="67" t="s">
        <v>202</v>
      </c>
      <c r="B73" s="1500"/>
      <c r="C73" s="1509"/>
      <c r="D73" s="1500"/>
      <c r="E73" s="1500"/>
      <c r="F73" s="1500"/>
      <c r="G73" s="1499"/>
      <c r="H73" s="1500"/>
      <c r="I73" s="1498">
        <f>IF(I18/C18-1&lt;0,"N/A",I18/C18-1)</f>
        <v>0.12263559774409938</v>
      </c>
      <c r="J73" s="1497">
        <f>IF(J18/D18-1&lt;0,"N/A",J18/D18-1)</f>
        <v>0.17477104874446248</v>
      </c>
      <c r="K73" s="1497">
        <f>IF(K18/E18-1&lt;0,"N/A",K18/E18-1)</f>
        <v>0.10650622349412076</v>
      </c>
      <c r="L73" s="1497">
        <f>IF(L18/F18-1&lt;0,"N/A",L18/F18-1)</f>
        <v>0.19777014958696082</v>
      </c>
      <c r="M73" s="1499">
        <f>IF(M18/G18-1&lt;0,"N/A",M18/G18-1)</f>
        <v>0.15438058085643291</v>
      </c>
      <c r="N73" s="1500"/>
      <c r="O73" s="1498" t="str">
        <f>IF(O18/I18-1&lt;0,"N/A",O18/I18-1)</f>
        <v>N/A</v>
      </c>
      <c r="P73" s="1497" t="str">
        <f>IF(P18/J18-1&lt;0,"N/A",P18/J18-1)</f>
        <v>N/A</v>
      </c>
      <c r="Q73" s="1497" t="str">
        <f>IF(Q18/K18-1&lt;0,"N/A",Q18/K18-1)</f>
        <v>N/A</v>
      </c>
      <c r="R73" s="1497" t="str">
        <f>IF(R18/L18-1&lt;0,"N/A",R18/L18-1)</f>
        <v>N/A</v>
      </c>
      <c r="S73" s="1499" t="str">
        <f>IF(S18/M18-1&lt;0,"N/A",S18/M18-1)</f>
        <v>N/A</v>
      </c>
      <c r="T73" s="1500"/>
      <c r="U73" s="1498" t="str">
        <f>IF(U18/O18-1&lt;0,"N/A",U18/O18-1)</f>
        <v>N/A</v>
      </c>
      <c r="V73" s="1497">
        <f>IF(V18/P18-1&lt;0,"N/A",V18/P18-1)</f>
        <v>6.5255899887622038E-2</v>
      </c>
      <c r="W73" s="1497">
        <f>IF(W18/Q18-1&lt;0,"N/A",W18/Q18-1)</f>
        <v>0.20949797042925966</v>
      </c>
      <c r="X73" s="1497">
        <f>IF(X18/R18-1&lt;0,"N/A",X18/R18-1)</f>
        <v>0.5841652184456263</v>
      </c>
      <c r="Y73" s="1499">
        <f>IF(Y18/S18-1&lt;0,"N/A",Y18/S18-1)</f>
        <v>0.20313884318440834</v>
      </c>
      <c r="Z73" s="1500"/>
      <c r="AA73" s="1498">
        <f t="shared" si="127"/>
        <v>1.1155147203247435</v>
      </c>
      <c r="AB73" s="1497">
        <f t="shared" si="127"/>
        <v>0.94260375131868512</v>
      </c>
      <c r="AC73" s="1497">
        <f t="shared" si="127"/>
        <v>0.81760798497600273</v>
      </c>
      <c r="AD73" s="1497">
        <f t="shared" si="127"/>
        <v>0.29081307242900833</v>
      </c>
      <c r="AE73" s="1499">
        <f t="shared" si="127"/>
        <v>0.73068798653481792</v>
      </c>
      <c r="AF73" s="1500"/>
      <c r="AG73" s="1498">
        <f t="shared" si="128"/>
        <v>-0.18546448651157965</v>
      </c>
      <c r="AH73" s="1497">
        <f t="shared" si="128"/>
        <v>-0.17406391517249031</v>
      </c>
      <c r="AI73" s="1497">
        <f t="shared" si="128"/>
        <v>-0.25116955427784171</v>
      </c>
      <c r="AJ73" s="1497">
        <f t="shared" si="128"/>
        <v>4.3442169341453507E-2</v>
      </c>
      <c r="AK73" s="1499">
        <f t="shared" si="128"/>
        <v>-0.1428331769179525</v>
      </c>
      <c r="AL73" s="1500"/>
      <c r="AM73" s="1498">
        <f t="shared" si="129"/>
        <v>-0.19078739060501371</v>
      </c>
      <c r="AN73" s="1497">
        <f t="shared" si="129"/>
        <v>-4.793108443939198E-2</v>
      </c>
      <c r="AO73" s="1497">
        <f t="shared" si="129"/>
        <v>4.8418620213867447E-2</v>
      </c>
      <c r="AP73" s="1497">
        <f t="shared" si="129"/>
        <v>8.0293215138083518E-2</v>
      </c>
      <c r="AQ73" s="1499">
        <f t="shared" si="129"/>
        <v>-2.0130787715819332E-2</v>
      </c>
      <c r="AR73" s="1501"/>
      <c r="AS73" s="1498">
        <f>IF(AS18/AM18-1&lt;0,"N/A",AS18/AM18-1)</f>
        <v>0.24370506941292946</v>
      </c>
      <c r="AT73" s="1497">
        <f>IF(AT18/AN18-1&lt;0,"N/A",AT18/AN18-1)</f>
        <v>9.1413135593219508E-2</v>
      </c>
      <c r="AU73" s="1497">
        <f>IF(AU18/AO18-1&lt;0,"N/A",AU18/AO18-1)</f>
        <v>0.11326042417536852</v>
      </c>
      <c r="AV73" s="1497">
        <f>AV18/AP18-1</f>
        <v>0.14490107584030376</v>
      </c>
      <c r="AW73" s="1499">
        <f>AW18/AQ18-1</f>
        <v>0.14243122117229801</v>
      </c>
      <c r="AX73" s="1501"/>
      <c r="AY73" s="1498" t="str">
        <f>IF(AY18/AS18-1&lt;0,"N/A",AY18/AS18-1)</f>
        <v>N/A</v>
      </c>
      <c r="AZ73" s="1497" t="str">
        <f>IF(AZ18/AT18-1&lt;0,"N/A",AZ18/AT18-1)</f>
        <v>N/A</v>
      </c>
      <c r="BA73" s="1497" t="str">
        <f>IF(BA18/AU18-1&lt;0,"N/A",BA18/AU18-1)</f>
        <v>N/A</v>
      </c>
      <c r="BB73" s="1497">
        <f>BB18/AV18-1</f>
        <v>-9.5672532760167073E-2</v>
      </c>
      <c r="BC73" s="1499">
        <f>BC18/AW18-1</f>
        <v>-7.970785876189701E-2</v>
      </c>
      <c r="BD73" s="1501"/>
      <c r="BE73" s="1498">
        <f>IF(BE18/AY18-1&lt;0,"N/A",BE18/AY18-1)</f>
        <v>0.12934631432545141</v>
      </c>
      <c r="BF73" s="1497">
        <f>IF(BF18/AZ18-1&lt;0,"N/A",BF18/AZ18-1)</f>
        <v>8.6705202312139074E-2</v>
      </c>
      <c r="BG73" s="1497">
        <f>IF(BG18/BA18-1&lt;0,"N/A",BG18/BA18-1)</f>
        <v>0.12687427912341365</v>
      </c>
      <c r="BH73" s="1497">
        <f>IF(BH18/BB18-1&lt;0,"N/A",BH18/BB18-1)</f>
        <v>2.201524132091448E-2</v>
      </c>
      <c r="BI73" s="1499">
        <f>IF(BI18/BC18-1&lt;0,"N/A",BI18/BC18-1)</f>
        <v>8.3700440528634568E-2</v>
      </c>
      <c r="BJ73" s="1501"/>
      <c r="BK73" s="1498">
        <f>IF(BK18/BE18-1&lt;0,"N/A",BK18/BE18-1)</f>
        <v>3.5283251231526425E-2</v>
      </c>
      <c r="BL73" s="1497">
        <f>IF(BL18/BF18-1&lt;0,"N/A",BL18/BF18-1)</f>
        <v>5.9244680851064047E-2</v>
      </c>
      <c r="BM73" s="1497">
        <f>IF(BM18/BG18-1&lt;0,"N/A",BM18/BG18-1)</f>
        <v>9.5261003070625128E-2</v>
      </c>
      <c r="BN73" s="1497">
        <f>IF(BN18/BH18-1&lt;0,"N/A",BN18/BH18-1)</f>
        <v>0.13504556752278396</v>
      </c>
      <c r="BO73" s="1499">
        <f>IF(BO18/BI18-1&lt;0,"N/A",BO18/BI18-1)</f>
        <v>8.6486280487804823E-2</v>
      </c>
      <c r="BP73" s="1501"/>
      <c r="BQ73" s="1498">
        <f>IF(BQ18/BK18-1&lt;0,"N/A",BQ18/BK18-1)</f>
        <v>0.20521914675582242</v>
      </c>
      <c r="BR73" s="1497">
        <f>IF(BR18/BL18-1&lt;0,"N/A",BR18/BL18-1)</f>
        <v>0.35686759773208632</v>
      </c>
      <c r="BS73" s="1497">
        <f>IF(BS18/BM18-1&lt;0,"N/A",BS18/BM18-1)</f>
        <v>0.32731333715456357</v>
      </c>
      <c r="BT73" s="1497">
        <f>IF(BT18/BN18-1&lt;0,"N/A",BT18/BN18-1)</f>
        <v>0.2773560615735875</v>
      </c>
      <c r="BU73" s="1499">
        <f>IF(BU18/BO18-1&lt;0,"N/A",BU18/BO18-1)</f>
        <v>0.29418904201209517</v>
      </c>
      <c r="BV73" s="1501"/>
      <c r="BW73" s="1498">
        <f>IF(BW18/BQ18-1&lt;0,"N/A",BW18/BQ18-1)</f>
        <v>0.13246826551367685</v>
      </c>
      <c r="BX73" s="1497">
        <f>IF(BX18/BR18-1&lt;0,"N/A",BX18/BR18-1)</f>
        <v>0.12727167011957774</v>
      </c>
      <c r="BY73" s="1497">
        <f>IF(BY18/BS18-1&lt;0,"N/A",BY18/BS18-1)</f>
        <v>0.13001073456601531</v>
      </c>
      <c r="BZ73" s="1497">
        <f>IF(BZ18/BT18-1&lt;0,"N/A",BZ18/BT18-1)</f>
        <v>0.12621169333109905</v>
      </c>
      <c r="CA73" s="1499">
        <f>IF(CA18/BU18-1&lt;0,"N/A",CA18/BU18-1)</f>
        <v>0.12859075063222658</v>
      </c>
      <c r="CB73" s="1501"/>
      <c r="CC73" s="1498">
        <f>IF(CC18/BW18-1&lt;0,"N/A",CC18/BW18-1)</f>
        <v>0.13098581976044743</v>
      </c>
      <c r="CD73" s="1497">
        <f>IF(CD18/BX18-1&lt;0,"N/A",CD18/BX18-1)</f>
        <v>0.12332843668518212</v>
      </c>
      <c r="CE73" s="1497">
        <f>IF(CE18/BY18-1&lt;0,"N/A",CE18/BY18-1)</f>
        <v>0.1183383153350297</v>
      </c>
      <c r="CF73" s="1497">
        <f>IF(CF18/BZ18-1&lt;0,"N/A",CF18/BZ18-1)</f>
        <v>0.10906497085084843</v>
      </c>
      <c r="CG73" s="1499">
        <f>IF(CG18/CA18-1&lt;0,"N/A",CG18/CA18-1)</f>
        <v>0.11895228394891455</v>
      </c>
      <c r="CH73" s="1501"/>
      <c r="CI73" s="1498">
        <f>IF(CI18/CC18-1&lt;0,"N/A",CI18/CC18-1)</f>
        <v>0.10853759994565748</v>
      </c>
      <c r="CJ73" s="1497">
        <f>IF(CJ18/CD18-1&lt;0,"N/A",CJ18/CD18-1)</f>
        <v>9.991609688747749E-2</v>
      </c>
      <c r="CK73" s="1497">
        <f>IF(CK18/CE18-1&lt;0,"N/A",CK18/CE18-1)</f>
        <v>0.10169326908461862</v>
      </c>
      <c r="CL73" s="1497">
        <f>IF(CL18/CF18-1&lt;0,"N/A",CL18/CF18-1)</f>
        <v>9.7216508320578487E-2</v>
      </c>
      <c r="CM73" s="1499">
        <f>IF(CM18/CG18-1&lt;0,"N/A",CM18/CG18-1)</f>
        <v>0.10112897137713928</v>
      </c>
      <c r="CN73" s="36"/>
      <c r="CO73" s="36"/>
      <c r="CP73" s="36"/>
      <c r="CQ73" s="36"/>
      <c r="CR73" s="36"/>
      <c r="CY73" s="108"/>
      <c r="CZ73" s="108"/>
      <c r="DA73" s="108"/>
      <c r="DB73" s="108"/>
      <c r="DC73" s="108"/>
      <c r="DD73" s="108"/>
      <c r="DE73" s="108"/>
      <c r="DF73" s="108"/>
      <c r="DG73" s="108"/>
      <c r="DH73" s="108"/>
      <c r="DI73" s="108"/>
      <c r="DJ73" s="108"/>
      <c r="DK73" s="108"/>
    </row>
    <row r="74" spans="1:115">
      <c r="A74" s="88" t="s">
        <v>207</v>
      </c>
      <c r="B74" s="1510"/>
      <c r="C74" s="1511"/>
      <c r="D74" s="1510"/>
      <c r="E74" s="1510"/>
      <c r="F74" s="1510"/>
      <c r="G74" s="1512"/>
      <c r="H74" s="1510"/>
      <c r="I74" s="1513">
        <f>IF(I40/C40-1&lt;0,"N/A",I40/C40-1)</f>
        <v>1.508736430964519E-2</v>
      </c>
      <c r="J74" s="1514">
        <f>IF(J40/D40-1&lt;0,"N/A",J40/D40-1)</f>
        <v>7.8967105415016947E-2</v>
      </c>
      <c r="K74" s="1514">
        <f>IF(K40/E40-1&lt;0,"N/A",K40/E40-1)</f>
        <v>4.6056659024257485E-2</v>
      </c>
      <c r="L74" s="1514">
        <f>IF(L40/F40-1&lt;0,"N/A",L40/F40-1)</f>
        <v>0.20591623103129231</v>
      </c>
      <c r="M74" s="1512">
        <f>IF(M40/G40-1&lt;0,"N/A",M40/G40-1)</f>
        <v>0.10035976215940479</v>
      </c>
      <c r="N74" s="1510"/>
      <c r="O74" s="1513">
        <f>IF(O40/I40-1&lt;0,"N/A",O40/I40-1)</f>
        <v>1.6163615530826014E-2</v>
      </c>
      <c r="P74" s="1514" t="str">
        <f>IF(P40/J40-1&lt;0,"N/A",P40/J40-1)</f>
        <v>N/A</v>
      </c>
      <c r="Q74" s="1514" t="str">
        <f>IF(Q40/K40-1&lt;0,"N/A",Q40/K40-1)</f>
        <v>N/A</v>
      </c>
      <c r="R74" s="1514" t="str">
        <f>IF(R40/L40-1&lt;0,"N/A",R40/L40-1)</f>
        <v>N/A</v>
      </c>
      <c r="S74" s="1512" t="str">
        <f>IF(S40/M40-1&lt;0,"N/A",S40/M40-1)</f>
        <v>N/A</v>
      </c>
      <c r="T74" s="1510"/>
      <c r="U74" s="1513" t="str">
        <f>IF(U40/O40-1&lt;0,"N/A",U40/O40-1)</f>
        <v>N/A</v>
      </c>
      <c r="V74" s="1514" t="str">
        <f>IF(V40/P40-1&lt;0,"N/A",V40/P40-1)</f>
        <v>N/A</v>
      </c>
      <c r="W74" s="1514">
        <f>IF(W40/Q40-1&lt;0,"N/A",W40/Q40-1)</f>
        <v>0.19988270393274754</v>
      </c>
      <c r="X74" s="1514">
        <f>IF(X40/R40-1&lt;0,"N/A",X40/R40-1)</f>
        <v>0.86321446760144194</v>
      </c>
      <c r="Y74" s="1512">
        <f>IF(Y40/S40-1&lt;0,"N/A",Y40/S40-1)</f>
        <v>7.8280439353370257E-2</v>
      </c>
      <c r="Z74" s="1510"/>
      <c r="AA74" s="1513">
        <f>IF(AA40/U40-1&lt;0,"N/A",AA40/U40-1)</f>
        <v>1.6833006602119718</v>
      </c>
      <c r="AB74" s="1514">
        <f>IF(AB40/V40-1&lt;0,"N/A",AB40/V40-1)</f>
        <v>6.4972202084213295</v>
      </c>
      <c r="AC74" s="1514">
        <f>IF(AC40/W40-1&lt;0,"N/A",AC40/W40-1)</f>
        <v>1.231826084151856</v>
      </c>
      <c r="AD74" s="1514">
        <f>IF(AD40/X40-1&lt;0,"N/A",AD40/X40-1)</f>
        <v>0.33134197633212636</v>
      </c>
      <c r="AE74" s="1512">
        <f>IF(AE40/Y40-1&lt;0,"N/A",AE40/Y40-1)</f>
        <v>1.4387543249397301</v>
      </c>
      <c r="AF74" s="1510"/>
      <c r="AG74" s="1513" t="str">
        <f>IF(AG40/AA40-1&lt;0,"N/A",AG40/AA40-1)</f>
        <v>N/A</v>
      </c>
      <c r="AH74" s="1514" t="str">
        <f>IF(AH40/AB40-1&lt;0,"N/A",AH40/AB40-1)</f>
        <v>N/A</v>
      </c>
      <c r="AI74" s="1514" t="str">
        <f>IF(AI40/AC40-1&lt;0,"N/A",AI40/AC40-1)</f>
        <v>N/A</v>
      </c>
      <c r="AJ74" s="1514">
        <f>IF(AJ40/AD40-1&lt;0,"N/A",AJ40/AD40-1)</f>
        <v>5.4387299547989265E-2</v>
      </c>
      <c r="AK74" s="1512" t="str">
        <f>IF(AK40/AE40-1&lt;0,"N/A",AK40/AE40-1)</f>
        <v>N/A</v>
      </c>
      <c r="AL74" s="1510"/>
      <c r="AM74" s="1513">
        <f>AM40/AG40-1</f>
        <v>-0.16801351042311785</v>
      </c>
      <c r="AN74" s="1514">
        <f>AN40/AH40-1</f>
        <v>-3.283350885482561E-2</v>
      </c>
      <c r="AO74" s="1514">
        <f>AO40/AI40-1</f>
        <v>9.5450589170227307E-2</v>
      </c>
      <c r="AP74" s="1514">
        <f>AP40/AJ40-1</f>
        <v>0.11351755400540853</v>
      </c>
      <c r="AQ74" s="1512">
        <f>AQ40/AK40-1</f>
        <v>1.5284001723823826E-2</v>
      </c>
      <c r="AR74" s="1515"/>
      <c r="AS74" s="1513">
        <f>IF(AS40/AM40-1&lt;0,"N/A",AS40/AM40-1)</f>
        <v>0.29887226686247015</v>
      </c>
      <c r="AT74" s="1514">
        <f>IF(AT40/AN40-1&lt;0,"N/A",AT40/AN40-1)</f>
        <v>0.16283003827291065</v>
      </c>
      <c r="AU74" s="1514">
        <f>IF(AU40/AO40-1&lt;0,"N/A",AU40/AO40-1)</f>
        <v>0.14491133671917744</v>
      </c>
      <c r="AV74" s="1514">
        <f>AV40/AP40-1</f>
        <v>0.16590832067135275</v>
      </c>
      <c r="AW74" s="1512">
        <f>AW40/AQ40-1</f>
        <v>0.18368084372853377</v>
      </c>
      <c r="AX74" s="1515"/>
      <c r="AY74" s="1513" t="str">
        <f>IF(AY40/AS40-1&lt;0,"N/A",AY40/AS40-1)</f>
        <v>N/A</v>
      </c>
      <c r="AZ74" s="1514" t="str">
        <f>IF(AZ40/AT40-1&lt;0,"N/A",AZ40/AT40-1)</f>
        <v>N/A</v>
      </c>
      <c r="BA74" s="1514" t="str">
        <f>IF(BA40/AU40-1&lt;0,"N/A",BA40/AU40-1)</f>
        <v>N/A</v>
      </c>
      <c r="BB74" s="1514">
        <f>BB40/AV40-1</f>
        <v>-4.3315523411289303E-2</v>
      </c>
      <c r="BC74" s="1512">
        <f>BC40/AW40-1</f>
        <v>-6.6921288229676357E-2</v>
      </c>
      <c r="BD74" s="1515"/>
      <c r="BE74" s="1513">
        <f>IF(BE40/AY40-1&lt;0,"N/A",BE40/AY40-1)</f>
        <v>0.16049156455566993</v>
      </c>
      <c r="BF74" s="1514">
        <f>IF(BF40/AZ40-1&lt;0,"N/A",BF40/AZ40-1)</f>
        <v>0.17369416090840195</v>
      </c>
      <c r="BG74" s="1514">
        <f>IF(BG40/BA40-1&lt;0,"N/A",BG40/BA40-1)</f>
        <v>0.19184173988364694</v>
      </c>
      <c r="BH74" s="1514">
        <f>IF(BH40/BB40-1&lt;0,"N/A",BH40/BB40-1)</f>
        <v>2.2516571386095308E-2</v>
      </c>
      <c r="BI74" s="1512">
        <f>IF(BI40/BC40-1&lt;0,"N/A",BI40/BC40-1)</f>
        <v>0.12381930331559166</v>
      </c>
      <c r="BJ74" s="1515"/>
      <c r="BK74" s="1513">
        <f>IF(BK40/BE40-1&lt;0,"N/A",BK40/BE40-1)</f>
        <v>8.3430546217651225E-2</v>
      </c>
      <c r="BL74" s="1514">
        <f>IF(BL40/BF40-1&lt;0,"N/A",BL40/BF40-1)</f>
        <v>6.083470971749283E-2</v>
      </c>
      <c r="BM74" s="1514">
        <f>IF(BM40/BG40-1&lt;0,"N/A",BM40/BG40-1)</f>
        <v>0.14390848383648169</v>
      </c>
      <c r="BN74" s="1514">
        <f>IF(BN40/BH40-1&lt;0,"N/A",BN40/BH40-1)</f>
        <v>0.17169014781465219</v>
      </c>
      <c r="BO74" s="1512">
        <f>IF(BO40/BI40-1&lt;0,"N/A",BO40/BI40-1)</f>
        <v>0.12253242499180561</v>
      </c>
      <c r="BP74" s="1515"/>
      <c r="BQ74" s="1513">
        <f>IF(BQ40/BK40-1&lt;0,"N/A",BQ40/BK40-1)</f>
        <v>0.12901081972876627</v>
      </c>
      <c r="BR74" s="1514">
        <f>IF(BR40/BL40-1&lt;0,"N/A",BR40/BL40-1)</f>
        <v>0.31650222957869567</v>
      </c>
      <c r="BS74" s="1514">
        <f>IF(BS40/BM40-1&lt;0,"N/A",BS40/BM40-1)</f>
        <v>0.28095870665352085</v>
      </c>
      <c r="BT74" s="1514">
        <f>IF(BT40/BN40-1&lt;0,"N/A",BT40/BN40-1)</f>
        <v>0.21649442371305905</v>
      </c>
      <c r="BU74" s="1512">
        <f>IF(BU40/BO40-1&lt;0,"N/A",BU40/BO40-1)</f>
        <v>0.23794951246087082</v>
      </c>
      <c r="BV74" s="1515"/>
      <c r="BW74" s="1513">
        <f>IF(BW40/BQ40-1&lt;0,"N/A",BW40/BQ40-1)</f>
        <v>0.21047873323104871</v>
      </c>
      <c r="BX74" s="1514">
        <f>IF(BX40/BR40-1&lt;0,"N/A",BX40/BR40-1)</f>
        <v>0.17266098973712496</v>
      </c>
      <c r="BY74" s="1514">
        <f>IF(BY40/BS40-1&lt;0,"N/A",BY40/BS40-1)</f>
        <v>0.16955693746940192</v>
      </c>
      <c r="BZ74" s="1514">
        <f>IF(BZ40/BT40-1&lt;0,"N/A",BZ40/BT40-1)</f>
        <v>0.15280564293720444</v>
      </c>
      <c r="CA74" s="1512">
        <f>IF(CA40/BU40-1&lt;0,"N/A",CA40/BU40-1)</f>
        <v>0.17143793693738174</v>
      </c>
      <c r="CB74" s="1515"/>
      <c r="CC74" s="1513">
        <f>IF(CC40/BW40-1&lt;0,"N/A",CC40/BW40-1)</f>
        <v>0.16847212326376781</v>
      </c>
      <c r="CD74" s="1514">
        <f>IF(CD40/BX40-1&lt;0,"N/A",CD40/BX40-1)</f>
        <v>0.22868780634181429</v>
      </c>
      <c r="CE74" s="1514">
        <f>IF(CE40/BY40-1&lt;0,"N/A",CE40/BY40-1)</f>
        <v>0.2255676874680197</v>
      </c>
      <c r="CF74" s="1514">
        <f>IF(CF40/BZ40-1&lt;0,"N/A",CF40/BZ40-1)</f>
        <v>0.21448813570676295</v>
      </c>
      <c r="CG74" s="1512">
        <f>IF(CG40/CA40-1&lt;0,"N/A",CG40/CA40-1)</f>
        <v>0.2129323695381049</v>
      </c>
      <c r="CH74" s="1515"/>
      <c r="CI74" s="1513">
        <f>IF(CI40/CC40-1&lt;0,"N/A",CI40/CC40-1)</f>
        <v>0.27921037458373621</v>
      </c>
      <c r="CJ74" s="1514">
        <f>IF(CJ40/CD40-1&lt;0,"N/A",CJ40/CD40-1)</f>
        <v>5.1789669402403593E-2</v>
      </c>
      <c r="CK74" s="1514">
        <f>IF(CK40/CE40-1&lt;0,"N/A",CK40/CE40-1)</f>
        <v>4.6253243150563783E-2</v>
      </c>
      <c r="CL74" s="1514">
        <f>IF(CL40/CF40-1&lt;0,"N/A",CL40/CF40-1)</f>
        <v>3.7047947012954108E-2</v>
      </c>
      <c r="CM74" s="1512">
        <f>IF(CM40/CG40-1&lt;0,"N/A",CM40/CG40-1)</f>
        <v>8.4628991051877156E-2</v>
      </c>
      <c r="CN74" s="36"/>
      <c r="CO74" s="36"/>
      <c r="CP74" s="36"/>
      <c r="CQ74" s="36"/>
      <c r="CR74" s="36"/>
      <c r="CY74" s="108"/>
      <c r="CZ74" s="108"/>
      <c r="DA74" s="108"/>
      <c r="DB74" s="108"/>
      <c r="DC74" s="108"/>
      <c r="DD74" s="108"/>
      <c r="DE74" s="108"/>
      <c r="DF74" s="108"/>
      <c r="DG74" s="108"/>
      <c r="DH74" s="108"/>
      <c r="DI74" s="108"/>
      <c r="DJ74" s="108"/>
      <c r="DK74" s="108"/>
    </row>
    <row r="75" spans="1:115">
      <c r="A75" s="66"/>
      <c r="B75" s="199"/>
      <c r="C75" s="199"/>
      <c r="D75" s="199"/>
      <c r="E75" s="199"/>
      <c r="F75" s="199"/>
      <c r="G75" s="200"/>
      <c r="H75" s="199"/>
      <c r="I75" s="200"/>
      <c r="J75" s="200"/>
      <c r="K75" s="200"/>
      <c r="L75" s="200"/>
      <c r="M75" s="200"/>
      <c r="N75" s="199"/>
      <c r="O75" s="200"/>
      <c r="P75" s="200"/>
      <c r="Q75" s="200"/>
      <c r="R75" s="200"/>
      <c r="S75" s="200"/>
      <c r="T75" s="199"/>
      <c r="U75" s="200"/>
      <c r="V75" s="200"/>
      <c r="W75" s="200"/>
      <c r="X75" s="200"/>
      <c r="Y75" s="200"/>
      <c r="Z75" s="199"/>
      <c r="AA75" s="200"/>
      <c r="AB75" s="200"/>
      <c r="AC75" s="200"/>
      <c r="AD75" s="200"/>
      <c r="AE75" s="200"/>
      <c r="AF75" s="199"/>
      <c r="AG75" s="200"/>
      <c r="AH75" s="200"/>
      <c r="AI75" s="200"/>
      <c r="AJ75" s="200"/>
      <c r="AK75" s="200"/>
      <c r="AL75" s="199"/>
      <c r="AM75" s="200"/>
      <c r="AN75" s="200"/>
      <c r="AO75" s="200"/>
      <c r="AP75" s="200"/>
      <c r="AQ75" s="200"/>
      <c r="AR75" s="201"/>
      <c r="AS75" s="200"/>
      <c r="AT75" s="200"/>
      <c r="AU75" s="200"/>
      <c r="AV75" s="200"/>
      <c r="AW75" s="200"/>
      <c r="AX75" s="201"/>
      <c r="AY75" s="200"/>
      <c r="AZ75" s="200"/>
      <c r="BA75" s="200"/>
      <c r="BB75" s="200"/>
      <c r="BC75" s="200"/>
      <c r="BD75" s="201"/>
      <c r="BE75" s="200"/>
      <c r="BF75" s="200"/>
      <c r="BG75" s="200"/>
      <c r="BH75" s="200"/>
      <c r="BI75" s="200"/>
      <c r="BJ75" s="201"/>
      <c r="BK75" s="200"/>
      <c r="BL75" s="200"/>
      <c r="BM75" s="200"/>
      <c r="BN75" s="200"/>
      <c r="BO75" s="200"/>
      <c r="BP75" s="201"/>
      <c r="BQ75" s="200"/>
      <c r="BR75" s="200"/>
      <c r="BS75" s="200"/>
      <c r="BT75" s="200"/>
      <c r="BU75" s="200"/>
      <c r="BV75" s="201"/>
      <c r="BW75" s="200"/>
      <c r="BX75" s="200"/>
      <c r="BY75" s="200"/>
      <c r="BZ75" s="200"/>
      <c r="CA75" s="200"/>
      <c r="CB75" s="201"/>
      <c r="CC75" s="200"/>
      <c r="CD75" s="200"/>
      <c r="CE75" s="200"/>
      <c r="CF75" s="200"/>
      <c r="CG75" s="200"/>
      <c r="CH75" s="201"/>
      <c r="CI75" s="200"/>
      <c r="CJ75" s="200"/>
      <c r="CK75" s="200"/>
      <c r="CL75" s="200"/>
      <c r="CM75" s="200"/>
      <c r="CN75" s="36"/>
      <c r="CO75" s="36"/>
      <c r="CP75" s="36"/>
      <c r="CQ75" s="36"/>
      <c r="CR75" s="36"/>
    </row>
    <row r="76" spans="1:115">
      <c r="A76" s="1874" t="s">
        <v>550</v>
      </c>
      <c r="B76" s="1875"/>
      <c r="C76" s="1875"/>
      <c r="D76" s="1875"/>
      <c r="E76" s="1876"/>
      <c r="F76" s="1876"/>
      <c r="G76" s="1876"/>
      <c r="H76" s="1876"/>
      <c r="I76" s="1876"/>
      <c r="J76" s="1876"/>
      <c r="K76" s="1876"/>
      <c r="L76" s="1876"/>
      <c r="M76" s="1876"/>
      <c r="N76" s="1876"/>
      <c r="O76" s="1876"/>
      <c r="P76" s="1876"/>
      <c r="Q76" s="1876"/>
      <c r="R76" s="1876"/>
      <c r="S76" s="1876"/>
      <c r="T76" s="1876"/>
      <c r="U76" s="1876"/>
      <c r="V76" s="1876"/>
      <c r="W76" s="1876"/>
      <c r="X76" s="1876"/>
      <c r="Y76" s="1876"/>
      <c r="Z76" s="1876"/>
      <c r="AA76" s="1876"/>
      <c r="AB76" s="1876"/>
      <c r="AC76" s="1876"/>
      <c r="AD76" s="1876"/>
      <c r="AE76" s="1876"/>
      <c r="AF76" s="1876"/>
      <c r="AG76" s="1876"/>
      <c r="AH76" s="1876"/>
      <c r="AI76" s="1876"/>
      <c r="AJ76" s="1876"/>
      <c r="AK76" s="1876"/>
      <c r="AL76" s="1876"/>
      <c r="AM76" s="1876"/>
      <c r="AN76" s="1876"/>
      <c r="AO76" s="1876"/>
      <c r="AP76" s="1876"/>
      <c r="AQ76" s="1876"/>
      <c r="AR76" s="1876"/>
      <c r="AS76" s="1877"/>
      <c r="AT76" s="1877"/>
      <c r="AU76" s="1877"/>
      <c r="AV76" s="1877"/>
      <c r="AW76" s="1877"/>
      <c r="AX76" s="1877"/>
      <c r="AY76" s="1877"/>
      <c r="AZ76" s="1877"/>
      <c r="BA76" s="1877"/>
      <c r="BB76" s="1876"/>
      <c r="BC76" s="1876"/>
      <c r="BD76" s="1876"/>
      <c r="BE76" s="1876"/>
      <c r="BF76" s="1876"/>
      <c r="BG76" s="1876"/>
      <c r="BH76" s="1876"/>
      <c r="BI76" s="1876"/>
      <c r="BJ76" s="1876"/>
      <c r="BK76" s="1876"/>
      <c r="BL76" s="1876"/>
      <c r="BM76" s="1876"/>
      <c r="BN76" s="1876"/>
      <c r="BO76" s="1876"/>
      <c r="BP76" s="1876"/>
      <c r="BQ76" s="1876"/>
      <c r="BR76" s="1876"/>
      <c r="BS76" s="1876"/>
      <c r="BT76" s="1876"/>
      <c r="BU76" s="1876"/>
      <c r="BV76" s="1878"/>
      <c r="BW76" s="1876"/>
      <c r="BX76" s="1876"/>
      <c r="BY76" s="1876"/>
      <c r="BZ76" s="1876"/>
      <c r="CA76" s="1876"/>
      <c r="CB76" s="1878"/>
      <c r="CC76" s="1876"/>
      <c r="CD76" s="1876"/>
      <c r="CE76" s="1876"/>
      <c r="CF76" s="1876"/>
      <c r="CG76" s="1876"/>
      <c r="CH76" s="1878"/>
      <c r="CI76" s="1876"/>
      <c r="CJ76" s="1876"/>
      <c r="CK76" s="1876"/>
      <c r="CL76" s="1876"/>
      <c r="CM76" s="1876"/>
      <c r="CN76" s="36"/>
      <c r="CO76" s="36"/>
      <c r="CP76" s="36"/>
      <c r="CQ76" s="36"/>
      <c r="CR76" s="36"/>
    </row>
    <row r="77" spans="1:115">
      <c r="A77" s="1879" t="s">
        <v>539</v>
      </c>
      <c r="B77" s="864"/>
      <c r="C77" s="1844"/>
      <c r="D77" s="864"/>
      <c r="E77" s="864"/>
      <c r="F77" s="864"/>
      <c r="G77" s="1845"/>
      <c r="H77" s="864"/>
      <c r="I77" s="1844"/>
      <c r="J77" s="864"/>
      <c r="K77" s="864"/>
      <c r="L77" s="864"/>
      <c r="M77" s="1845"/>
      <c r="N77" s="864"/>
      <c r="O77" s="1844"/>
      <c r="P77" s="864"/>
      <c r="Q77" s="864"/>
      <c r="R77" s="864"/>
      <c r="S77" s="1845"/>
      <c r="T77" s="864"/>
      <c r="U77" s="1844"/>
      <c r="V77" s="864"/>
      <c r="W77" s="864"/>
      <c r="X77" s="864"/>
      <c r="Y77" s="1845"/>
      <c r="Z77" s="864"/>
      <c r="AA77" s="1844"/>
      <c r="AB77" s="864"/>
      <c r="AC77" s="864"/>
      <c r="AD77" s="864"/>
      <c r="AE77" s="1845"/>
      <c r="AF77" s="864"/>
      <c r="AG77" s="1853"/>
      <c r="AH77" s="1854"/>
      <c r="AI77" s="1854"/>
      <c r="AJ77" s="1854"/>
      <c r="AK77" s="1849"/>
      <c r="AL77" s="1850"/>
      <c r="AM77" s="1851"/>
      <c r="AN77" s="1850"/>
      <c r="AO77" s="1850"/>
      <c r="AP77" s="1850"/>
      <c r="AQ77" s="1849"/>
      <c r="AR77" s="1850"/>
      <c r="AS77" s="1855"/>
      <c r="AT77" s="215"/>
      <c r="AU77" s="1850"/>
      <c r="AV77" s="1850"/>
      <c r="AW77" s="1849"/>
      <c r="AX77" s="1850"/>
      <c r="AY77" s="1836">
        <v>9.6605754911255559E-2</v>
      </c>
      <c r="AZ77" s="44">
        <v>0.11335737185589069</v>
      </c>
      <c r="BA77" s="44">
        <v>0.12823567246231751</v>
      </c>
      <c r="BB77" s="44">
        <v>0.13550200648180483</v>
      </c>
      <c r="BC77" s="1837">
        <v>0.11921477482904737</v>
      </c>
      <c r="BD77" s="1854"/>
      <c r="BE77" s="1853">
        <v>0.12163665424404034</v>
      </c>
      <c r="BF77" s="44">
        <v>0.1235748039131586</v>
      </c>
      <c r="BG77" s="44">
        <v>0.14729372250913039</v>
      </c>
      <c r="BH77" s="44">
        <v>0.14193058912786494</v>
      </c>
      <c r="BI77" s="1881">
        <v>0.1338046444438877</v>
      </c>
      <c r="BJ77" s="1850"/>
      <c r="BK77" s="1851"/>
      <c r="BL77" s="1850"/>
      <c r="BM77" s="1850"/>
      <c r="BN77" s="1850"/>
      <c r="BO77" s="1849"/>
      <c r="BP77" s="1850"/>
      <c r="BQ77" s="1851"/>
      <c r="BR77" s="1850"/>
      <c r="BS77" s="1850"/>
      <c r="BT77" s="1850"/>
      <c r="BU77" s="1849"/>
      <c r="BV77" s="1852"/>
      <c r="BW77" s="1851"/>
      <c r="BX77" s="1850"/>
      <c r="BY77" s="1850"/>
      <c r="BZ77" s="1850"/>
      <c r="CA77" s="1849"/>
      <c r="CB77" s="1852"/>
      <c r="CC77" s="1851"/>
      <c r="CD77" s="1850"/>
      <c r="CE77" s="1850"/>
      <c r="CF77" s="1850"/>
      <c r="CG77" s="1849"/>
      <c r="CH77" s="1852"/>
      <c r="CI77" s="1851"/>
      <c r="CJ77" s="1850"/>
      <c r="CK77" s="1850"/>
      <c r="CL77" s="1850"/>
      <c r="CM77" s="1849"/>
      <c r="CN77" s="36"/>
      <c r="CO77" s="36"/>
      <c r="CP77" s="36"/>
      <c r="CQ77" s="36"/>
      <c r="CR77" s="36"/>
    </row>
    <row r="78" spans="1:115">
      <c r="A78" s="1879" t="s">
        <v>540</v>
      </c>
      <c r="B78" s="864"/>
      <c r="C78" s="1844"/>
      <c r="D78" s="864"/>
      <c r="E78" s="864"/>
      <c r="F78" s="864"/>
      <c r="G78" s="1845"/>
      <c r="H78" s="864"/>
      <c r="I78" s="1844"/>
      <c r="J78" s="864"/>
      <c r="K78" s="864"/>
      <c r="L78" s="864"/>
      <c r="M78" s="1845"/>
      <c r="N78" s="864"/>
      <c r="O78" s="748"/>
      <c r="P78" s="747"/>
      <c r="Q78" s="747"/>
      <c r="R78" s="747"/>
      <c r="S78" s="1845"/>
      <c r="T78" s="864"/>
      <c r="U78" s="1844"/>
      <c r="V78" s="864"/>
      <c r="W78" s="864"/>
      <c r="X78" s="864"/>
      <c r="Y78" s="1845"/>
      <c r="Z78" s="864"/>
      <c r="AA78" s="1838"/>
      <c r="AB78" s="1889"/>
      <c r="AC78" s="1889"/>
      <c r="AD78" s="1889"/>
      <c r="AE78" s="1890"/>
      <c r="AF78" s="864"/>
      <c r="AG78" s="1853"/>
      <c r="AH78" s="1854"/>
      <c r="AI78" s="1854"/>
      <c r="AJ78" s="1854"/>
      <c r="AK78" s="1849"/>
      <c r="AL78" s="1850"/>
      <c r="AM78" s="1851"/>
      <c r="AN78" s="1850"/>
      <c r="AO78" s="1850"/>
      <c r="AP78" s="1850"/>
      <c r="AQ78" s="1849"/>
      <c r="AR78" s="1850"/>
      <c r="AS78" s="1855"/>
      <c r="AT78" s="215"/>
      <c r="AU78" s="1850"/>
      <c r="AV78" s="1850"/>
      <c r="AW78" s="1849"/>
      <c r="AX78" s="1850"/>
      <c r="AY78" s="1836">
        <v>0.14838195585575917</v>
      </c>
      <c r="AZ78" s="44">
        <v>0.16465288707292422</v>
      </c>
      <c r="BA78" s="44">
        <v>0.16496377025260953</v>
      </c>
      <c r="BB78" s="44">
        <v>0.20713699322190884</v>
      </c>
      <c r="BC78" s="1837">
        <v>0.17248933805719927</v>
      </c>
      <c r="BD78" s="1854"/>
      <c r="BE78" s="1853">
        <v>0.16287729003534787</v>
      </c>
      <c r="BF78" s="44">
        <v>0.17541916937910357</v>
      </c>
      <c r="BG78" s="44">
        <v>0.18978947470684812</v>
      </c>
      <c r="BH78" s="44">
        <v>0.21278975013845924</v>
      </c>
      <c r="BI78" s="1881">
        <v>0.18597334502709539</v>
      </c>
      <c r="BJ78" s="1850"/>
      <c r="BK78" s="1851"/>
      <c r="BL78" s="1850"/>
      <c r="BM78" s="1850"/>
      <c r="BN78" s="1850"/>
      <c r="BO78" s="1849"/>
      <c r="BP78" s="1850"/>
      <c r="BQ78" s="1851"/>
      <c r="BR78" s="1850"/>
      <c r="BS78" s="1850"/>
      <c r="BT78" s="1850"/>
      <c r="BU78" s="1849"/>
      <c r="BV78" s="1852"/>
      <c r="BW78" s="1851"/>
      <c r="BX78" s="1850"/>
      <c r="BY78" s="1850"/>
      <c r="BZ78" s="1850"/>
      <c r="CA78" s="1849"/>
      <c r="CB78" s="1852"/>
      <c r="CC78" s="1851"/>
      <c r="CD78" s="1850"/>
      <c r="CE78" s="1850"/>
      <c r="CF78" s="1850"/>
      <c r="CG78" s="1849"/>
      <c r="CH78" s="1852"/>
      <c r="CI78" s="1851"/>
      <c r="CJ78" s="1850"/>
      <c r="CK78" s="1850"/>
      <c r="CL78" s="1850"/>
      <c r="CM78" s="1849"/>
      <c r="CN78" s="36"/>
      <c r="CO78" s="36"/>
      <c r="CP78" s="36"/>
      <c r="CQ78" s="36"/>
      <c r="CR78" s="36"/>
    </row>
    <row r="79" spans="1:115">
      <c r="A79" s="1879" t="s">
        <v>549</v>
      </c>
      <c r="B79" s="864"/>
      <c r="C79" s="1844"/>
      <c r="D79" s="864"/>
      <c r="E79" s="864"/>
      <c r="F79" s="864"/>
      <c r="G79" s="1845"/>
      <c r="H79" s="864"/>
      <c r="I79" s="1844"/>
      <c r="J79" s="864"/>
      <c r="K79" s="864"/>
      <c r="L79" s="864"/>
      <c r="M79" s="1845"/>
      <c r="N79" s="864"/>
      <c r="O79" s="748"/>
      <c r="P79" s="747"/>
      <c r="Q79" s="747"/>
      <c r="R79" s="747"/>
      <c r="S79" s="1845"/>
      <c r="T79" s="864"/>
      <c r="U79" s="1844"/>
      <c r="V79" s="864"/>
      <c r="W79" s="864"/>
      <c r="X79" s="864"/>
      <c r="Y79" s="1845"/>
      <c r="Z79" s="864"/>
      <c r="AA79" s="1838"/>
      <c r="AB79" s="1889"/>
      <c r="AC79" s="1889"/>
      <c r="AD79" s="1889"/>
      <c r="AE79" s="1890"/>
      <c r="AF79" s="864"/>
      <c r="AG79" s="1853"/>
      <c r="AH79" s="1854"/>
      <c r="AI79" s="1854"/>
      <c r="AJ79" s="1854"/>
      <c r="AK79" s="1849"/>
      <c r="AL79" s="1850"/>
      <c r="AM79" s="1851"/>
      <c r="AN79" s="1850"/>
      <c r="AO79" s="1850"/>
      <c r="AP79" s="1850"/>
      <c r="AQ79" s="1849"/>
      <c r="AR79" s="1850"/>
      <c r="AS79" s="1855"/>
      <c r="AT79" s="215"/>
      <c r="AU79" s="1850"/>
      <c r="AV79" s="1850"/>
      <c r="AW79" s="1849"/>
      <c r="AX79" s="1850"/>
      <c r="AY79" s="1836">
        <v>0.45277118537291661</v>
      </c>
      <c r="AZ79" s="44">
        <v>0.45295544369731261</v>
      </c>
      <c r="BA79" s="44">
        <v>0.45550314076447795</v>
      </c>
      <c r="BB79" s="44">
        <v>0.46978345437732383</v>
      </c>
      <c r="BC79" s="1837">
        <v>0.45810550340812511</v>
      </c>
      <c r="BD79" s="1854"/>
      <c r="BE79" s="1853">
        <v>0.47204507485703273</v>
      </c>
      <c r="BF79" s="44">
        <v>0.47283502597707749</v>
      </c>
      <c r="BG79" s="44">
        <v>0.48310070769248709</v>
      </c>
      <c r="BH79" s="44">
        <v>0.48725761772853177</v>
      </c>
      <c r="BI79" s="1881">
        <v>0.47900962270688435</v>
      </c>
      <c r="BJ79" s="1850"/>
      <c r="BK79" s="1851"/>
      <c r="BL79" s="1850"/>
      <c r="BM79" s="1850"/>
      <c r="BN79" s="1850"/>
      <c r="BO79" s="1849"/>
      <c r="BP79" s="1850"/>
      <c r="BQ79" s="1851"/>
      <c r="BR79" s="1850"/>
      <c r="BS79" s="1850"/>
      <c r="BT79" s="1850"/>
      <c r="BU79" s="1849"/>
      <c r="BV79" s="1852"/>
      <c r="BW79" s="1851"/>
      <c r="BX79" s="1850"/>
      <c r="BY79" s="1850"/>
      <c r="BZ79" s="1850"/>
      <c r="CA79" s="1849"/>
      <c r="CB79" s="1852"/>
      <c r="CC79" s="1851"/>
      <c r="CD79" s="1850"/>
      <c r="CE79" s="1850"/>
      <c r="CF79" s="1850"/>
      <c r="CG79" s="1849"/>
      <c r="CH79" s="1852"/>
      <c r="CI79" s="1851"/>
      <c r="CJ79" s="1850"/>
      <c r="CK79" s="1850"/>
      <c r="CL79" s="1850"/>
      <c r="CM79" s="1849"/>
      <c r="CN79" s="36"/>
      <c r="CO79" s="36"/>
      <c r="CP79" s="36"/>
      <c r="CQ79" s="36"/>
      <c r="CR79" s="36"/>
    </row>
    <row r="80" spans="1:115">
      <c r="A80" s="1879" t="s">
        <v>545</v>
      </c>
      <c r="B80" s="864"/>
      <c r="C80" s="1844"/>
      <c r="D80" s="864"/>
      <c r="E80" s="864"/>
      <c r="F80" s="864"/>
      <c r="G80" s="1845"/>
      <c r="H80" s="864"/>
      <c r="I80" s="1844"/>
      <c r="J80" s="864"/>
      <c r="K80" s="864"/>
      <c r="L80" s="864"/>
      <c r="M80" s="1845"/>
      <c r="N80" s="864"/>
      <c r="O80" s="1844"/>
      <c r="P80" s="864"/>
      <c r="Q80" s="864"/>
      <c r="R80" s="864"/>
      <c r="S80" s="1845"/>
      <c r="T80" s="864"/>
      <c r="U80" s="1844"/>
      <c r="V80" s="864"/>
      <c r="W80" s="864"/>
      <c r="X80" s="864"/>
      <c r="Y80" s="1845"/>
      <c r="Z80" s="864"/>
      <c r="AA80" s="1844"/>
      <c r="AB80" s="864"/>
      <c r="AC80" s="864"/>
      <c r="AD80" s="864"/>
      <c r="AE80" s="1845"/>
      <c r="AF80" s="864"/>
      <c r="AG80" s="1853"/>
      <c r="AH80" s="1854"/>
      <c r="AI80" s="1854"/>
      <c r="AJ80" s="1854"/>
      <c r="AK80" s="1849"/>
      <c r="AL80" s="1850"/>
      <c r="AM80" s="1851"/>
      <c r="AN80" s="1850"/>
      <c r="AO80" s="1850"/>
      <c r="AP80" s="1850"/>
      <c r="AQ80" s="1849"/>
      <c r="AR80" s="1850"/>
      <c r="AS80" s="1855"/>
      <c r="AT80" s="215"/>
      <c r="AU80" s="1850"/>
      <c r="AV80" s="1850"/>
      <c r="AW80" s="1849"/>
      <c r="AX80" s="1850"/>
      <c r="AY80" s="1836">
        <v>0.48599999999999999</v>
      </c>
      <c r="AZ80" s="44">
        <v>0.47599999999999998</v>
      </c>
      <c r="BA80" s="44">
        <v>0.47699999999999998</v>
      </c>
      <c r="BB80" s="44">
        <v>0.49099999999999999</v>
      </c>
      <c r="BC80" s="1837">
        <v>0.48250000000000004</v>
      </c>
      <c r="BD80" s="1854"/>
      <c r="BE80" s="1853">
        <v>0.48899999999999999</v>
      </c>
      <c r="BF80" s="44">
        <v>0.48899999999999999</v>
      </c>
      <c r="BG80" s="44">
        <v>0.497</v>
      </c>
      <c r="BH80" s="44">
        <v>0.5</v>
      </c>
      <c r="BI80" s="1881">
        <v>0.49375000000000002</v>
      </c>
      <c r="BJ80" s="1850"/>
      <c r="BK80" s="1851"/>
      <c r="BL80" s="1850"/>
      <c r="BM80" s="1850"/>
      <c r="BN80" s="1850"/>
      <c r="BO80" s="1849"/>
      <c r="BP80" s="1850"/>
      <c r="BQ80" s="1851"/>
      <c r="BR80" s="1850"/>
      <c r="BS80" s="1850"/>
      <c r="BT80" s="1850"/>
      <c r="BU80" s="1849"/>
      <c r="BV80" s="1852"/>
      <c r="BW80" s="1851"/>
      <c r="BX80" s="1850"/>
      <c r="BY80" s="1850"/>
      <c r="BZ80" s="1850"/>
      <c r="CA80" s="1849"/>
      <c r="CB80" s="1852"/>
      <c r="CC80" s="1851"/>
      <c r="CD80" s="1850"/>
      <c r="CE80" s="1850"/>
      <c r="CF80" s="1850"/>
      <c r="CG80" s="1849"/>
      <c r="CH80" s="1852"/>
      <c r="CI80" s="1851"/>
      <c r="CJ80" s="1850"/>
      <c r="CK80" s="1850"/>
      <c r="CL80" s="1850"/>
      <c r="CM80" s="1849"/>
      <c r="CN80" s="36"/>
      <c r="CO80" s="36"/>
      <c r="CP80" s="36"/>
      <c r="CQ80" s="36"/>
      <c r="CR80" s="36"/>
    </row>
    <row r="81" spans="1:96">
      <c r="A81" s="1879" t="s">
        <v>547</v>
      </c>
      <c r="B81" s="864"/>
      <c r="C81" s="1844"/>
      <c r="D81" s="864"/>
      <c r="E81" s="864"/>
      <c r="F81" s="864"/>
      <c r="G81" s="1845"/>
      <c r="H81" s="864"/>
      <c r="I81" s="1844"/>
      <c r="J81" s="864"/>
      <c r="K81" s="864"/>
      <c r="L81" s="864"/>
      <c r="M81" s="1845"/>
      <c r="N81" s="864"/>
      <c r="O81" s="1844"/>
      <c r="P81" s="864"/>
      <c r="Q81" s="864"/>
      <c r="R81" s="864"/>
      <c r="S81" s="1845"/>
      <c r="T81" s="864"/>
      <c r="U81" s="1844"/>
      <c r="V81" s="864"/>
      <c r="W81" s="864"/>
      <c r="X81" s="864"/>
      <c r="Y81" s="1845"/>
      <c r="Z81" s="864"/>
      <c r="AA81" s="1844"/>
      <c r="AB81" s="864"/>
      <c r="AC81" s="864"/>
      <c r="AD81" s="864"/>
      <c r="AE81" s="1845"/>
      <c r="AF81" s="864"/>
      <c r="AG81" s="1853"/>
      <c r="AH81" s="1854"/>
      <c r="AI81" s="1854"/>
      <c r="AJ81" s="1854"/>
      <c r="AK81" s="1849"/>
      <c r="AL81" s="1850"/>
      <c r="AM81" s="1851"/>
      <c r="AN81" s="1850"/>
      <c r="AO81" s="1850"/>
      <c r="AP81" s="1850"/>
      <c r="AQ81" s="1849"/>
      <c r="AR81" s="1850"/>
      <c r="AS81" s="1855"/>
      <c r="AT81" s="215"/>
      <c r="AU81" s="1850"/>
      <c r="AV81" s="1850"/>
      <c r="AW81" s="1849"/>
      <c r="AX81" s="1850"/>
      <c r="AY81" s="1836"/>
      <c r="AZ81" s="44"/>
      <c r="BA81" s="44"/>
      <c r="BB81" s="44"/>
      <c r="BC81" s="1837"/>
      <c r="BD81" s="1854"/>
      <c r="BE81" s="1853">
        <v>9.8528969988274095E-3</v>
      </c>
      <c r="BF81" s="44">
        <v>7.5043013570637029E-3</v>
      </c>
      <c r="BG81" s="44">
        <v>-5.0321874964394331E-2</v>
      </c>
      <c r="BH81" s="44">
        <v>-1.5637802073880991E-2</v>
      </c>
      <c r="BI81" s="1881">
        <v>-1.2226140305610422E-2</v>
      </c>
      <c r="BJ81" s="1850"/>
      <c r="BK81" s="1851"/>
      <c r="BL81" s="1850"/>
      <c r="BM81" s="1850"/>
      <c r="BN81" s="1850"/>
      <c r="BO81" s="1849"/>
      <c r="BP81" s="1850"/>
      <c r="BQ81" s="1851"/>
      <c r="BR81" s="1850"/>
      <c r="BS81" s="1850"/>
      <c r="BT81" s="1850"/>
      <c r="BU81" s="1849"/>
      <c r="BV81" s="1852"/>
      <c r="BW81" s="1851"/>
      <c r="BX81" s="1850"/>
      <c r="BY81" s="1850"/>
      <c r="BZ81" s="1850"/>
      <c r="CA81" s="1849"/>
      <c r="CB81" s="1852"/>
      <c r="CC81" s="1851"/>
      <c r="CD81" s="1850"/>
      <c r="CE81" s="1850"/>
      <c r="CF81" s="1850"/>
      <c r="CG81" s="1849"/>
      <c r="CH81" s="1852"/>
      <c r="CI81" s="1851"/>
      <c r="CJ81" s="1850"/>
      <c r="CK81" s="1850"/>
      <c r="CL81" s="1850"/>
      <c r="CM81" s="1849"/>
      <c r="CN81" s="36"/>
      <c r="CO81" s="36"/>
      <c r="CP81" s="36"/>
      <c r="CQ81" s="36"/>
      <c r="CR81" s="36"/>
    </row>
    <row r="82" spans="1:96">
      <c r="A82" s="1879" t="s">
        <v>546</v>
      </c>
      <c r="B82" s="864"/>
      <c r="C82" s="1844"/>
      <c r="D82" s="864"/>
      <c r="E82" s="864"/>
      <c r="F82" s="864"/>
      <c r="G82" s="1845"/>
      <c r="H82" s="864"/>
      <c r="I82" s="1844"/>
      <c r="J82" s="864"/>
      <c r="K82" s="864"/>
      <c r="L82" s="864"/>
      <c r="M82" s="1845"/>
      <c r="N82" s="864"/>
      <c r="O82" s="1844"/>
      <c r="P82" s="864"/>
      <c r="Q82" s="864"/>
      <c r="R82" s="864"/>
      <c r="S82" s="1845"/>
      <c r="T82" s="864"/>
      <c r="U82" s="1844"/>
      <c r="V82" s="864"/>
      <c r="W82" s="864"/>
      <c r="X82" s="864"/>
      <c r="Y82" s="1845"/>
      <c r="Z82" s="864"/>
      <c r="AA82" s="1844"/>
      <c r="AB82" s="864"/>
      <c r="AC82" s="864"/>
      <c r="AD82" s="864"/>
      <c r="AE82" s="1845"/>
      <c r="AF82" s="864"/>
      <c r="AG82" s="1853"/>
      <c r="AH82" s="1854"/>
      <c r="AI82" s="1854"/>
      <c r="AJ82" s="1854"/>
      <c r="AK82" s="1849"/>
      <c r="AL82" s="1850"/>
      <c r="AM82" s="1851"/>
      <c r="AN82" s="1850"/>
      <c r="AO82" s="1850"/>
      <c r="AP82" s="1850"/>
      <c r="AQ82" s="1849"/>
      <c r="AR82" s="1850"/>
      <c r="AS82" s="1855"/>
      <c r="AT82" s="215"/>
      <c r="AU82" s="1850"/>
      <c r="AV82" s="1850"/>
      <c r="AW82" s="1849"/>
      <c r="AX82" s="1850"/>
      <c r="AY82" s="1836"/>
      <c r="AZ82" s="44"/>
      <c r="BA82" s="44"/>
      <c r="BB82" s="44"/>
      <c r="BC82" s="1837"/>
      <c r="BD82" s="1854"/>
      <c r="BE82" s="1853">
        <v>0.12891288015804547</v>
      </c>
      <c r="BF82" s="44">
        <v>8.759925565482729E-2</v>
      </c>
      <c r="BG82" s="44">
        <v>0.12639966788518953</v>
      </c>
      <c r="BH82" s="44">
        <v>2.1671197378115181E-2</v>
      </c>
      <c r="BI82" s="1881">
        <v>8.3604765457864438E-2</v>
      </c>
      <c r="BJ82" s="1850"/>
      <c r="BK82" s="1851"/>
      <c r="BL82" s="1850"/>
      <c r="BM82" s="1850"/>
      <c r="BN82" s="1850"/>
      <c r="BO82" s="1849"/>
      <c r="BP82" s="1850"/>
      <c r="BQ82" s="1851"/>
      <c r="BR82" s="1850"/>
      <c r="BS82" s="1850"/>
      <c r="BT82" s="1850"/>
      <c r="BU82" s="1849"/>
      <c r="BV82" s="1852"/>
      <c r="BW82" s="1851"/>
      <c r="BX82" s="1850"/>
      <c r="BY82" s="1850"/>
      <c r="BZ82" s="1850"/>
      <c r="CA82" s="1849"/>
      <c r="CB82" s="1852"/>
      <c r="CC82" s="1851"/>
      <c r="CD82" s="1850"/>
      <c r="CE82" s="1850"/>
      <c r="CF82" s="1850"/>
      <c r="CG82" s="1849"/>
      <c r="CH82" s="1852"/>
      <c r="CI82" s="1851"/>
      <c r="CJ82" s="1850"/>
      <c r="CK82" s="1850"/>
      <c r="CL82" s="1850"/>
      <c r="CM82" s="1849"/>
      <c r="CN82" s="36"/>
      <c r="CO82" s="36"/>
      <c r="CP82" s="36"/>
      <c r="CQ82" s="36"/>
      <c r="CR82" s="36"/>
    </row>
    <row r="83" spans="1:96">
      <c r="A83" s="1880" t="s">
        <v>548</v>
      </c>
      <c r="B83" s="1861"/>
      <c r="C83" s="1862"/>
      <c r="D83" s="1861"/>
      <c r="E83" s="1861"/>
      <c r="F83" s="1861"/>
      <c r="G83" s="1863"/>
      <c r="H83" s="1861"/>
      <c r="I83" s="1862"/>
      <c r="J83" s="1861"/>
      <c r="K83" s="1861"/>
      <c r="L83" s="1861"/>
      <c r="M83" s="1863"/>
      <c r="N83" s="1861"/>
      <c r="O83" s="1862"/>
      <c r="P83" s="1861"/>
      <c r="Q83" s="1861"/>
      <c r="R83" s="1861"/>
      <c r="S83" s="1863"/>
      <c r="T83" s="1861"/>
      <c r="U83" s="1862"/>
      <c r="V83" s="1861"/>
      <c r="W83" s="1861"/>
      <c r="X83" s="1861"/>
      <c r="Y83" s="1863"/>
      <c r="Z83" s="1861"/>
      <c r="AA83" s="1862"/>
      <c r="AB83" s="1861"/>
      <c r="AC83" s="1861"/>
      <c r="AD83" s="1861"/>
      <c r="AE83" s="1863"/>
      <c r="AF83" s="1861"/>
      <c r="AG83" s="1867"/>
      <c r="AH83" s="1868"/>
      <c r="AI83" s="1868"/>
      <c r="AJ83" s="1868"/>
      <c r="AK83" s="1869"/>
      <c r="AL83" s="1870"/>
      <c r="AM83" s="1871"/>
      <c r="AN83" s="1870"/>
      <c r="AO83" s="1870"/>
      <c r="AP83" s="1870"/>
      <c r="AQ83" s="1869"/>
      <c r="AR83" s="1870"/>
      <c r="AS83" s="1872"/>
      <c r="AT83" s="1873"/>
      <c r="AU83" s="1870"/>
      <c r="AV83" s="1870"/>
      <c r="AW83" s="1869"/>
      <c r="AX83" s="1870"/>
      <c r="AY83" s="1882"/>
      <c r="AZ83" s="1883"/>
      <c r="BA83" s="1883"/>
      <c r="BB83" s="1883"/>
      <c r="BC83" s="1884"/>
      <c r="BD83" s="1868"/>
      <c r="BE83" s="1867">
        <v>0.16279069767441867</v>
      </c>
      <c r="BF83" s="1883">
        <v>0.16666666666666652</v>
      </c>
      <c r="BG83" s="1883">
        <v>0.16363636363636358</v>
      </c>
      <c r="BH83" s="1883">
        <v>5.0000000000000044E-2</v>
      </c>
      <c r="BI83" s="1885">
        <v>0.12499999999999978</v>
      </c>
      <c r="BJ83" s="1870"/>
      <c r="BK83" s="1871"/>
      <c r="BL83" s="1870"/>
      <c r="BM83" s="1870"/>
      <c r="BN83" s="1870"/>
      <c r="BO83" s="1869"/>
      <c r="BP83" s="1870"/>
      <c r="BQ83" s="1871"/>
      <c r="BR83" s="1870"/>
      <c r="BS83" s="1870"/>
      <c r="BT83" s="1870"/>
      <c r="BU83" s="1869"/>
      <c r="BV83" s="1870"/>
      <c r="BW83" s="1871"/>
      <c r="BX83" s="1870"/>
      <c r="BY83" s="1870"/>
      <c r="BZ83" s="1870"/>
      <c r="CA83" s="1869"/>
      <c r="CB83" s="1870"/>
      <c r="CC83" s="1871"/>
      <c r="CD83" s="1870"/>
      <c r="CE83" s="1870"/>
      <c r="CF83" s="1870"/>
      <c r="CG83" s="1869"/>
      <c r="CH83" s="1870"/>
      <c r="CI83" s="1871"/>
      <c r="CJ83" s="1870"/>
      <c r="CK83" s="1870"/>
      <c r="CL83" s="1870"/>
      <c r="CM83" s="1869"/>
      <c r="CN83" s="36"/>
      <c r="CO83" s="36"/>
      <c r="CP83" s="36"/>
      <c r="CQ83" s="36"/>
      <c r="CR83" s="36"/>
    </row>
    <row r="84" spans="1:96">
      <c r="A84" s="66"/>
      <c r="B84" s="199"/>
      <c r="C84" s="199"/>
      <c r="D84" s="199"/>
      <c r="E84" s="199"/>
      <c r="F84" s="199"/>
      <c r="G84" s="200"/>
      <c r="H84" s="199"/>
      <c r="I84" s="200"/>
      <c r="J84" s="200"/>
      <c r="K84" s="200"/>
      <c r="L84" s="200"/>
      <c r="M84" s="200"/>
      <c r="N84" s="199"/>
      <c r="O84" s="200"/>
      <c r="P84" s="200"/>
      <c r="Q84" s="200"/>
      <c r="R84" s="200"/>
      <c r="S84" s="200"/>
      <c r="T84" s="199"/>
      <c r="U84" s="200"/>
      <c r="V84" s="200"/>
      <c r="W84" s="200"/>
      <c r="X84" s="200"/>
      <c r="Y84" s="200"/>
      <c r="Z84" s="199"/>
      <c r="AA84" s="200"/>
      <c r="AB84" s="200"/>
      <c r="AC84" s="200"/>
      <c r="AD84" s="200"/>
      <c r="AE84" s="200"/>
      <c r="AF84" s="199"/>
      <c r="AG84" s="200"/>
      <c r="AH84" s="200"/>
      <c r="AI84" s="200"/>
      <c r="AJ84" s="200"/>
      <c r="AK84" s="200"/>
      <c r="AL84" s="199"/>
      <c r="AM84" s="200"/>
      <c r="AN84" s="200"/>
      <c r="AO84" s="200"/>
      <c r="AP84" s="200"/>
      <c r="AQ84" s="200"/>
      <c r="AR84" s="201"/>
      <c r="AS84" s="200"/>
      <c r="AT84" s="200"/>
      <c r="AU84" s="200"/>
      <c r="AV84" s="200"/>
      <c r="AW84" s="200"/>
      <c r="AX84" s="201"/>
      <c r="AY84" s="200"/>
      <c r="AZ84" s="200"/>
      <c r="BA84" s="200"/>
      <c r="BB84" s="200"/>
      <c r="BC84" s="200"/>
      <c r="BD84" s="201"/>
      <c r="BE84" s="200"/>
      <c r="BF84" s="200"/>
      <c r="BG84" s="200"/>
      <c r="BH84" s="200"/>
      <c r="BI84" s="200"/>
      <c r="BJ84" s="201"/>
      <c r="BK84" s="200"/>
      <c r="BL84" s="200"/>
      <c r="BM84" s="200"/>
      <c r="BN84" s="200"/>
      <c r="BO84" s="200"/>
      <c r="BP84" s="201"/>
      <c r="BQ84" s="200"/>
      <c r="BR84" s="200"/>
      <c r="BS84" s="200"/>
      <c r="BT84" s="200"/>
      <c r="BU84" s="200"/>
      <c r="BV84" s="201"/>
      <c r="BW84" s="200"/>
      <c r="BX84" s="200"/>
      <c r="BY84" s="200"/>
      <c r="BZ84" s="200"/>
      <c r="CA84" s="200"/>
      <c r="CB84" s="201"/>
      <c r="CC84" s="200"/>
      <c r="CD84" s="200"/>
      <c r="CE84" s="200"/>
      <c r="CF84" s="200"/>
      <c r="CG84" s="200"/>
      <c r="CH84" s="201"/>
      <c r="CI84" s="200"/>
      <c r="CJ84" s="200"/>
      <c r="CK84" s="200"/>
      <c r="CL84" s="200"/>
      <c r="CM84" s="200"/>
      <c r="CN84" s="36"/>
      <c r="CO84" s="36"/>
      <c r="CP84" s="36"/>
      <c r="CQ84" s="36"/>
      <c r="CR84" s="36"/>
    </row>
    <row r="85" spans="1:96" ht="12.75" hidden="1" customHeight="1" outlineLevel="1">
      <c r="A85" s="97" t="s">
        <v>54</v>
      </c>
      <c r="B85" s="225"/>
      <c r="C85" s="35">
        <f>SUM(C86:C88)</f>
        <v>0.24099853037230567</v>
      </c>
      <c r="D85" s="35">
        <f>SUM(D86:D88)</f>
        <v>0.24099853037230567</v>
      </c>
      <c r="E85" s="35">
        <f>SUM(E86:E88)</f>
        <v>0.24099853037230567</v>
      </c>
      <c r="F85" s="35">
        <f>SUM(F86:F88)</f>
        <v>0.24099853037230567</v>
      </c>
      <c r="G85" s="35">
        <f>SUM(G86:G88)</f>
        <v>0.24099853037230567</v>
      </c>
      <c r="H85" s="35"/>
      <c r="I85" s="35">
        <f>SUM(I86:I88)</f>
        <v>0.27441150974713235</v>
      </c>
      <c r="J85" s="35">
        <f>SUM(J86:J88)</f>
        <v>0.27441150974713235</v>
      </c>
      <c r="K85" s="35">
        <f>SUM(K86:K88)</f>
        <v>0.27441150974713235</v>
      </c>
      <c r="L85" s="35">
        <f>SUM(L86:L88)</f>
        <v>0.27441150974713235</v>
      </c>
      <c r="M85" s="35">
        <f>SUM(M86:M88)</f>
        <v>0.27441150974713235</v>
      </c>
      <c r="N85" s="35"/>
      <c r="O85" s="35">
        <f>SUM(O86:O88)</f>
        <v>0.30100343901634707</v>
      </c>
      <c r="P85" s="35">
        <f>SUM(P86:P88)</f>
        <v>0.30100343901634707</v>
      </c>
      <c r="Q85" s="35">
        <f>SUM(Q86:Q88)</f>
        <v>0.30100343901634707</v>
      </c>
      <c r="R85" s="35">
        <f>SUM(R86:R88)</f>
        <v>0.30100343901634707</v>
      </c>
      <c r="S85" s="35">
        <f>SUM(S86:S88)</f>
        <v>0.30100343901634707</v>
      </c>
      <c r="T85" s="35"/>
      <c r="U85" s="35">
        <f>SUM(U86:U88)</f>
        <v>0.23444908139075463</v>
      </c>
      <c r="V85" s="35">
        <f>SUM(V86:V88)</f>
        <v>0.23444908139075463</v>
      </c>
      <c r="W85" s="35">
        <f>SUM(W86:W88)</f>
        <v>0.23444908139075463</v>
      </c>
      <c r="X85" s="35">
        <f>SUM(X86:X88)</f>
        <v>0.23444908139075463</v>
      </c>
      <c r="Y85" s="35">
        <f>SUM(Y86:Y88)</f>
        <v>0.23444908139075463</v>
      </c>
      <c r="Z85" s="35"/>
      <c r="AA85" s="35">
        <f>SUM(AA86:AA88)</f>
        <v>0.28711502004537404</v>
      </c>
      <c r="AB85" s="35">
        <f>SUM(AB86:AB88)</f>
        <v>0.28711502004537404</v>
      </c>
      <c r="AC85" s="35">
        <f>SUM(AC86:AC88)</f>
        <v>0.28711502004537404</v>
      </c>
      <c r="AD85" s="35">
        <f>SUM(AD86:AD88)</f>
        <v>0.28711502004537404</v>
      </c>
      <c r="AE85" s="35">
        <f>SUM(AE86:AE88)</f>
        <v>0.28711502004537404</v>
      </c>
      <c r="AF85" s="808">
        <v>0.35</v>
      </c>
      <c r="AG85" s="35">
        <f>SUM(AG86:AG88)</f>
        <v>0.28711502004537404</v>
      </c>
      <c r="AH85" s="35">
        <f>SUM(AH86:AH88)</f>
        <v>0.28711502004537404</v>
      </c>
      <c r="AI85" s="35">
        <f>SUM(AI86:AI88)</f>
        <v>0.28711502004537404</v>
      </c>
      <c r="AJ85" s="35">
        <f>AJ64</f>
        <v>0.20243363491218722</v>
      </c>
      <c r="AK85" s="35">
        <f>AK64</f>
        <v>0.22134425357376278</v>
      </c>
      <c r="AL85" s="808"/>
      <c r="AM85" s="35">
        <f>AM64</f>
        <v>0.19668094176920836</v>
      </c>
      <c r="AN85" s="35">
        <f>AN64</f>
        <v>0.21724202601144266</v>
      </c>
      <c r="AO85" s="35">
        <f>AO64</f>
        <v>0.20384821314066623</v>
      </c>
      <c r="AP85" s="35">
        <f>AP64</f>
        <v>0.18428361961859291</v>
      </c>
      <c r="AQ85" s="35">
        <f>AQ64</f>
        <v>0.19924193069190566</v>
      </c>
      <c r="AR85" s="808">
        <v>0.35</v>
      </c>
      <c r="AS85" s="35">
        <f>AS64</f>
        <v>0.22081835744202238</v>
      </c>
      <c r="AT85" s="35">
        <f>AT64</f>
        <v>0.20528141708635803</v>
      </c>
      <c r="AU85" s="35">
        <f>AU64</f>
        <v>0.20802554587702571</v>
      </c>
      <c r="AV85" s="35">
        <f>AV64</f>
        <v>0.31783063901689296</v>
      </c>
      <c r="AW85" s="35">
        <f>AW64</f>
        <v>0.25094021470263772</v>
      </c>
      <c r="AX85" s="35"/>
      <c r="AY85" s="35">
        <f>AY64</f>
        <v>0.21820966439126355</v>
      </c>
      <c r="AZ85" s="35">
        <f>AZ64</f>
        <v>0.20116251622801842</v>
      </c>
      <c r="BA85" s="35">
        <f>BA64</f>
        <v>0.18380632290589821</v>
      </c>
      <c r="BB85" s="35">
        <f>BB64</f>
        <v>0.1652772629749957</v>
      </c>
      <c r="BC85" s="35">
        <f>BC64</f>
        <v>0.18835227003735608</v>
      </c>
      <c r="BD85" s="35"/>
      <c r="BE85" s="35">
        <f t="shared" ref="BE85:BO85" si="130">BE64</f>
        <v>0.21592984611947383</v>
      </c>
      <c r="BF85" s="35">
        <f t="shared" si="130"/>
        <v>0.23380087733910818</v>
      </c>
      <c r="BG85" s="35">
        <f t="shared" si="130"/>
        <v>0.19197004727561345</v>
      </c>
      <c r="BH85" s="35">
        <f t="shared" si="130"/>
        <v>0.15934801365839335</v>
      </c>
      <c r="BI85" s="35">
        <f t="shared" si="130"/>
        <v>0.19736395927728373</v>
      </c>
      <c r="BJ85" s="35"/>
      <c r="BK85" s="35">
        <f t="shared" si="130"/>
        <v>0.16801832507692965</v>
      </c>
      <c r="BL85" s="35">
        <f t="shared" si="130"/>
        <v>0.21790937221821874</v>
      </c>
      <c r="BM85" s="35">
        <f t="shared" si="130"/>
        <v>0.20010075634389327</v>
      </c>
      <c r="BN85" s="35">
        <f t="shared" si="130"/>
        <v>9.7870877181325727E-2</v>
      </c>
      <c r="BO85" s="35">
        <f t="shared" si="130"/>
        <v>0.16676262387688076</v>
      </c>
      <c r="BP85" s="35"/>
      <c r="BQ85" s="35">
        <f>BQ64</f>
        <v>0.185</v>
      </c>
      <c r="BR85" s="35">
        <f>BR64</f>
        <v>0.185</v>
      </c>
      <c r="BS85" s="35">
        <f>BS64</f>
        <v>0.185</v>
      </c>
      <c r="BT85" s="35">
        <f>BT64</f>
        <v>0.185</v>
      </c>
      <c r="BU85" s="35">
        <f>BU64</f>
        <v>0.18500000000000003</v>
      </c>
      <c r="BV85" s="35"/>
      <c r="BW85" s="35">
        <f>BW64</f>
        <v>0.185</v>
      </c>
      <c r="BX85" s="35">
        <f>BX64</f>
        <v>0.185</v>
      </c>
      <c r="BY85" s="35">
        <f>BY64</f>
        <v>0.185</v>
      </c>
      <c r="BZ85" s="35">
        <f>BZ64</f>
        <v>0.185</v>
      </c>
      <c r="CA85" s="35">
        <f>CA64</f>
        <v>0.18500000000000003</v>
      </c>
      <c r="CB85" s="35"/>
      <c r="CC85" s="35">
        <f>CC64</f>
        <v>0.185</v>
      </c>
      <c r="CD85" s="35">
        <f>CD64</f>
        <v>0.185</v>
      </c>
      <c r="CE85" s="35">
        <f>CE64</f>
        <v>0.185</v>
      </c>
      <c r="CF85" s="35">
        <f>CF64</f>
        <v>0.185</v>
      </c>
      <c r="CG85" s="35">
        <f>CG64</f>
        <v>0.18500000000000003</v>
      </c>
      <c r="CH85" s="35"/>
      <c r="CI85" s="35">
        <f>CI64</f>
        <v>0.185</v>
      </c>
      <c r="CJ85" s="35">
        <f>CJ64</f>
        <v>0.185</v>
      </c>
      <c r="CK85" s="35">
        <f>CK64</f>
        <v>0.185</v>
      </c>
      <c r="CL85" s="35">
        <f>CL64</f>
        <v>0.185</v>
      </c>
      <c r="CM85" s="35">
        <f>CM64</f>
        <v>0.18500000000000008</v>
      </c>
      <c r="CN85" s="32"/>
      <c r="CO85" s="32"/>
      <c r="CP85" s="32"/>
      <c r="CQ85" s="32"/>
      <c r="CR85" s="32"/>
    </row>
    <row r="86" spans="1:96" ht="12.75" hidden="1" customHeight="1" outlineLevel="1">
      <c r="A86" s="97" t="s">
        <v>11</v>
      </c>
      <c r="B86" s="225"/>
      <c r="C86" s="35">
        <f>$G86</f>
        <v>0.35000272153276724</v>
      </c>
      <c r="D86" s="35">
        <f>$G86</f>
        <v>0.35000272153276724</v>
      </c>
      <c r="E86" s="35">
        <f>$G86</f>
        <v>0.35000272153276724</v>
      </c>
      <c r="F86" s="35">
        <f>$G86</f>
        <v>0.35000272153276724</v>
      </c>
      <c r="G86" s="35">
        <f>51.442/146.976</f>
        <v>0.35000272153276724</v>
      </c>
      <c r="H86" s="35"/>
      <c r="I86" s="35">
        <f>$M86</f>
        <v>0.35001646361541</v>
      </c>
      <c r="J86" s="35">
        <f>$M86</f>
        <v>0.35001646361541</v>
      </c>
      <c r="K86" s="35">
        <f>$M86</f>
        <v>0.35001646361541</v>
      </c>
      <c r="L86" s="35">
        <f>$M86</f>
        <v>0.35001646361541</v>
      </c>
      <c r="M86" s="35">
        <f>52.087/148.813</f>
        <v>0.35001646361541</v>
      </c>
      <c r="N86" s="35"/>
      <c r="O86" s="35">
        <f>$S86</f>
        <v>0.35001648843454092</v>
      </c>
      <c r="P86" s="35">
        <f>$S86</f>
        <v>0.35001648843454092</v>
      </c>
      <c r="Q86" s="35">
        <f>$S86</f>
        <v>0.35001648843454092</v>
      </c>
      <c r="R86" s="35">
        <f>$S86</f>
        <v>0.35001648843454092</v>
      </c>
      <c r="S86" s="35">
        <f>37.149/106.135</f>
        <v>0.35001648843454092</v>
      </c>
      <c r="T86" s="35"/>
      <c r="U86" s="35">
        <f>$Y86</f>
        <v>0.35000987751876728</v>
      </c>
      <c r="V86" s="35">
        <f>$Y86</f>
        <v>0.35000987751876728</v>
      </c>
      <c r="W86" s="35">
        <f>$Y86</f>
        <v>0.35000987751876728</v>
      </c>
      <c r="X86" s="35">
        <f>$Y86</f>
        <v>0.35000987751876728</v>
      </c>
      <c r="Y86" s="35">
        <f>56.696/161.984</f>
        <v>0.35000987751876728</v>
      </c>
      <c r="Z86" s="35"/>
      <c r="AA86" s="35">
        <f>$AE$86</f>
        <v>0.35003263200422663</v>
      </c>
      <c r="AB86" s="35">
        <f>$AE$86</f>
        <v>0.35003263200422663</v>
      </c>
      <c r="AC86" s="35">
        <f>$AE$86</f>
        <v>0.35003263200422663</v>
      </c>
      <c r="AD86" s="35">
        <f>$AE$86</f>
        <v>0.35003263200422663</v>
      </c>
      <c r="AE86" s="808">
        <f>22.526/64.354</f>
        <v>0.35003263200422663</v>
      </c>
      <c r="AF86" s="808"/>
      <c r="AG86" s="808">
        <f>AE86</f>
        <v>0.35003263200422663</v>
      </c>
      <c r="AH86" s="808">
        <f t="shared" ref="AH86:AI88" si="131">AG86</f>
        <v>0.35003263200422663</v>
      </c>
      <c r="AI86" s="808">
        <f t="shared" si="131"/>
        <v>0.35003263200422663</v>
      </c>
      <c r="AJ86" s="808"/>
      <c r="AK86" s="808"/>
      <c r="AL86" s="808"/>
      <c r="AM86" s="808"/>
      <c r="AN86" s="808"/>
      <c r="AO86" s="808"/>
      <c r="AP86" s="808"/>
      <c r="AQ86" s="808"/>
      <c r="AR86" s="808"/>
      <c r="AS86" s="808"/>
      <c r="AT86" s="808"/>
      <c r="AU86" s="808"/>
      <c r="AV86" s="808"/>
      <c r="AW86" s="808"/>
      <c r="AX86" s="808"/>
      <c r="AY86" s="808"/>
      <c r="AZ86" s="808"/>
      <c r="BA86" s="808"/>
      <c r="BB86" s="808"/>
      <c r="BC86" s="808"/>
      <c r="BD86" s="808"/>
      <c r="BE86" s="808"/>
      <c r="BF86" s="808"/>
      <c r="BG86" s="808"/>
      <c r="BH86" s="808"/>
      <c r="BI86" s="808"/>
      <c r="BJ86" s="808"/>
      <c r="BK86" s="808"/>
      <c r="BL86" s="808"/>
      <c r="BM86" s="808"/>
      <c r="BN86" s="808"/>
      <c r="BO86" s="808"/>
      <c r="BP86" s="808"/>
      <c r="BQ86" s="808"/>
      <c r="BR86" s="808"/>
      <c r="BS86" s="808"/>
      <c r="BT86" s="808"/>
      <c r="BU86" s="808"/>
      <c r="BV86" s="808"/>
      <c r="BW86" s="808"/>
      <c r="BX86" s="808"/>
      <c r="BY86" s="808"/>
      <c r="BZ86" s="808"/>
      <c r="CA86" s="808"/>
      <c r="CB86" s="808"/>
      <c r="CC86" s="808"/>
      <c r="CD86" s="808"/>
      <c r="CE86" s="808"/>
      <c r="CF86" s="808"/>
      <c r="CG86" s="808"/>
      <c r="CH86" s="808"/>
      <c r="CI86" s="808"/>
      <c r="CJ86" s="808"/>
      <c r="CK86" s="808"/>
      <c r="CL86" s="808"/>
      <c r="CM86" s="808"/>
      <c r="CN86" s="32"/>
      <c r="CO86" s="32"/>
      <c r="CP86" s="32"/>
      <c r="CQ86" s="32"/>
      <c r="CR86" s="32"/>
    </row>
    <row r="87" spans="1:96" ht="12.75" hidden="1" customHeight="1" outlineLevel="1">
      <c r="A87" s="97" t="s">
        <v>22</v>
      </c>
      <c r="B87" s="225"/>
      <c r="C87" s="35">
        <f t="shared" ref="C87:F88" si="132">$G87</f>
        <v>-0.11723002394948835</v>
      </c>
      <c r="D87" s="35">
        <f t="shared" si="132"/>
        <v>-0.11723002394948835</v>
      </c>
      <c r="E87" s="35">
        <f t="shared" si="132"/>
        <v>-0.11723002394948835</v>
      </c>
      <c r="F87" s="35">
        <f t="shared" si="132"/>
        <v>-0.11723002394948835</v>
      </c>
      <c r="G87" s="35">
        <f>-17.23/146.976</f>
        <v>-0.11723002394948835</v>
      </c>
      <c r="H87" s="35"/>
      <c r="I87" s="35">
        <f t="shared" ref="I87:L88" si="133">$M87</f>
        <v>-8.4871617399017565E-2</v>
      </c>
      <c r="J87" s="35">
        <f t="shared" si="133"/>
        <v>-8.4871617399017565E-2</v>
      </c>
      <c r="K87" s="35">
        <f t="shared" si="133"/>
        <v>-8.4871617399017565E-2</v>
      </c>
      <c r="L87" s="35">
        <f t="shared" si="133"/>
        <v>-8.4871617399017565E-2</v>
      </c>
      <c r="M87" s="35">
        <f>-12.63/148.813</f>
        <v>-8.4871617399017565E-2</v>
      </c>
      <c r="N87" s="35"/>
      <c r="O87" s="35">
        <f t="shared" ref="O87:R88" si="134">$S87</f>
        <v>-0.12026193056013566</v>
      </c>
      <c r="P87" s="35">
        <f t="shared" si="134"/>
        <v>-0.12026193056013566</v>
      </c>
      <c r="Q87" s="35">
        <f t="shared" si="134"/>
        <v>-0.12026193056013566</v>
      </c>
      <c r="R87" s="35">
        <f t="shared" si="134"/>
        <v>-0.12026193056013566</v>
      </c>
      <c r="S87" s="35">
        <f>-12.764/106.135</f>
        <v>-0.12026193056013566</v>
      </c>
      <c r="T87" s="35"/>
      <c r="U87" s="35">
        <f t="shared" ref="U87:X88" si="135">$Y87</f>
        <v>-0.14425498814697749</v>
      </c>
      <c r="V87" s="35">
        <f t="shared" si="135"/>
        <v>-0.14425498814697749</v>
      </c>
      <c r="W87" s="35">
        <f t="shared" si="135"/>
        <v>-0.14425498814697749</v>
      </c>
      <c r="X87" s="35">
        <f t="shared" si="135"/>
        <v>-0.14425498814697749</v>
      </c>
      <c r="Y87" s="35">
        <f>-23.367/161.984</f>
        <v>-0.14425498814697749</v>
      </c>
      <c r="Z87" s="35"/>
      <c r="AA87" s="35">
        <f>$AE$87</f>
        <v>2.310656680237437E-2</v>
      </c>
      <c r="AB87" s="35">
        <f>$AE$87</f>
        <v>2.310656680237437E-2</v>
      </c>
      <c r="AC87" s="35">
        <f>$AE$87</f>
        <v>2.310656680237437E-2</v>
      </c>
      <c r="AD87" s="35">
        <f>$AE$87</f>
        <v>2.310656680237437E-2</v>
      </c>
      <c r="AE87" s="808">
        <f>1.487/64.354</f>
        <v>2.310656680237437E-2</v>
      </c>
      <c r="AF87" s="808"/>
      <c r="AG87" s="808">
        <f>AE87</f>
        <v>2.310656680237437E-2</v>
      </c>
      <c r="AH87" s="808">
        <f t="shared" si="131"/>
        <v>2.310656680237437E-2</v>
      </c>
      <c r="AI87" s="808">
        <f t="shared" si="131"/>
        <v>2.310656680237437E-2</v>
      </c>
      <c r="AJ87" s="808"/>
      <c r="AK87" s="808"/>
      <c r="AL87" s="808"/>
      <c r="AM87" s="808"/>
      <c r="AN87" s="808"/>
      <c r="AO87" s="808"/>
      <c r="AP87" s="808"/>
      <c r="AQ87" s="808"/>
      <c r="AR87" s="808"/>
      <c r="AS87" s="808"/>
      <c r="AT87" s="808"/>
      <c r="AU87" s="808"/>
      <c r="AV87" s="808"/>
      <c r="AW87" s="332"/>
      <c r="AX87" s="808"/>
      <c r="AY87" s="808"/>
      <c r="AZ87" s="808"/>
      <c r="BA87" s="808"/>
      <c r="BB87" s="808"/>
      <c r="BC87" s="808"/>
      <c r="BD87" s="808"/>
      <c r="BE87" s="808"/>
      <c r="BF87" s="808"/>
      <c r="BG87" s="808"/>
      <c r="BH87" s="808"/>
      <c r="BI87" s="808"/>
      <c r="BJ87" s="808"/>
      <c r="BK87" s="808"/>
      <c r="BL87" s="808"/>
      <c r="BM87" s="808"/>
      <c r="BN87" s="808"/>
      <c r="BO87" s="808"/>
      <c r="BP87" s="808"/>
      <c r="BQ87" s="808"/>
      <c r="BR87" s="808"/>
      <c r="BS87" s="808"/>
      <c r="BT87" s="808"/>
      <c r="BU87" s="808"/>
      <c r="BV87" s="808"/>
      <c r="BW87" s="808"/>
      <c r="BX87" s="808"/>
      <c r="BY87" s="808"/>
      <c r="BZ87" s="808"/>
      <c r="CA87" s="808"/>
      <c r="CB87" s="808"/>
      <c r="CC87" s="808"/>
      <c r="CD87" s="808"/>
      <c r="CE87" s="808"/>
      <c r="CF87" s="808"/>
      <c r="CG87" s="808"/>
      <c r="CH87" s="808"/>
      <c r="CI87" s="808"/>
      <c r="CJ87" s="808"/>
      <c r="CK87" s="808"/>
      <c r="CL87" s="808"/>
      <c r="CM87" s="808"/>
      <c r="CN87" s="32"/>
      <c r="CO87" s="32"/>
      <c r="CP87" s="32"/>
      <c r="CQ87" s="32"/>
      <c r="CR87" s="32"/>
    </row>
    <row r="88" spans="1:96" ht="12.75" hidden="1" customHeight="1" outlineLevel="1">
      <c r="A88" s="97" t="s">
        <v>12</v>
      </c>
      <c r="B88" s="225"/>
      <c r="C88" s="35">
        <f t="shared" si="132"/>
        <v>8.2258327890267803E-3</v>
      </c>
      <c r="D88" s="35">
        <f t="shared" si="132"/>
        <v>8.2258327890267803E-3</v>
      </c>
      <c r="E88" s="35">
        <f t="shared" si="132"/>
        <v>8.2258327890267803E-3</v>
      </c>
      <c r="F88" s="35">
        <f t="shared" si="132"/>
        <v>8.2258327890267803E-3</v>
      </c>
      <c r="G88" s="35">
        <f>1.209/146.976</f>
        <v>8.2258327890267803E-3</v>
      </c>
      <c r="H88" s="35"/>
      <c r="I88" s="35">
        <f t="shared" si="133"/>
        <v>9.2666635307399221E-3</v>
      </c>
      <c r="J88" s="35">
        <f t="shared" si="133"/>
        <v>9.2666635307399221E-3</v>
      </c>
      <c r="K88" s="35">
        <f t="shared" si="133"/>
        <v>9.2666635307399221E-3</v>
      </c>
      <c r="L88" s="35">
        <f t="shared" si="133"/>
        <v>9.2666635307399221E-3</v>
      </c>
      <c r="M88" s="35">
        <f>1.379/148.813</f>
        <v>9.2666635307399221E-3</v>
      </c>
      <c r="N88" s="35"/>
      <c r="O88" s="35">
        <f t="shared" si="134"/>
        <v>7.1248881141941861E-2</v>
      </c>
      <c r="P88" s="35">
        <f t="shared" si="134"/>
        <v>7.1248881141941861E-2</v>
      </c>
      <c r="Q88" s="35">
        <f t="shared" si="134"/>
        <v>7.1248881141941861E-2</v>
      </c>
      <c r="R88" s="35">
        <f t="shared" si="134"/>
        <v>7.1248881141941861E-2</v>
      </c>
      <c r="S88" s="35">
        <f>7.562/106.135</f>
        <v>7.1248881141941861E-2</v>
      </c>
      <c r="T88" s="35"/>
      <c r="U88" s="35">
        <f t="shared" si="135"/>
        <v>2.8694192018964833E-2</v>
      </c>
      <c r="V88" s="35">
        <f t="shared" si="135"/>
        <v>2.8694192018964833E-2</v>
      </c>
      <c r="W88" s="35">
        <f t="shared" si="135"/>
        <v>2.8694192018964833E-2</v>
      </c>
      <c r="X88" s="35">
        <f t="shared" si="135"/>
        <v>2.8694192018964833E-2</v>
      </c>
      <c r="Y88" s="35">
        <f>4.648/161.984</f>
        <v>2.8694192018964833E-2</v>
      </c>
      <c r="Z88" s="35"/>
      <c r="AA88" s="35">
        <f>$AE$88</f>
        <v>-8.6024178761226963E-2</v>
      </c>
      <c r="AB88" s="35">
        <f>$AE$88</f>
        <v>-8.6024178761226963E-2</v>
      </c>
      <c r="AC88" s="35">
        <f>$AE$88</f>
        <v>-8.6024178761226963E-2</v>
      </c>
      <c r="AD88" s="35">
        <f>$AE$88</f>
        <v>-8.6024178761226963E-2</v>
      </c>
      <c r="AE88" s="808">
        <f>-5.536/64.354</f>
        <v>-8.6024178761226963E-2</v>
      </c>
      <c r="AF88" s="808"/>
      <c r="AG88" s="808">
        <f>AE88</f>
        <v>-8.6024178761226963E-2</v>
      </c>
      <c r="AH88" s="808">
        <f t="shared" si="131"/>
        <v>-8.6024178761226963E-2</v>
      </c>
      <c r="AI88" s="808">
        <f t="shared" si="131"/>
        <v>-8.6024178761226963E-2</v>
      </c>
      <c r="AJ88" s="808"/>
      <c r="AK88" s="808"/>
      <c r="AL88" s="808"/>
      <c r="AM88" s="808"/>
      <c r="AN88" s="808"/>
      <c r="AO88" s="808"/>
      <c r="AP88" s="808"/>
      <c r="AQ88" s="808"/>
      <c r="AR88" s="808"/>
      <c r="AS88" s="808"/>
      <c r="AT88" s="808"/>
      <c r="AU88" s="808"/>
      <c r="AV88" s="808"/>
      <c r="AW88" s="808"/>
      <c r="AX88" s="808"/>
      <c r="AY88" s="808"/>
      <c r="AZ88" s="808"/>
      <c r="BA88" s="808"/>
      <c r="BB88" s="808"/>
      <c r="BC88" s="808"/>
      <c r="BD88" s="808"/>
      <c r="BE88" s="808"/>
      <c r="BF88" s="808"/>
      <c r="BG88" s="808"/>
      <c r="BH88" s="808"/>
      <c r="BI88" s="808"/>
      <c r="BJ88" s="808"/>
      <c r="BK88" s="808"/>
      <c r="BL88" s="808"/>
      <c r="BM88" s="808"/>
      <c r="BN88" s="808"/>
      <c r="BO88" s="808"/>
      <c r="BP88" s="808"/>
      <c r="BQ88" s="808"/>
      <c r="BR88" s="808"/>
      <c r="BS88" s="808"/>
      <c r="BT88" s="808"/>
      <c r="BU88" s="808"/>
      <c r="BV88" s="808"/>
      <c r="BW88" s="808"/>
      <c r="BX88" s="808"/>
      <c r="BY88" s="808"/>
      <c r="BZ88" s="808"/>
      <c r="CA88" s="808"/>
      <c r="CB88" s="808"/>
      <c r="CC88" s="808"/>
      <c r="CD88" s="808"/>
      <c r="CE88" s="808"/>
      <c r="CF88" s="808"/>
      <c r="CG88" s="808"/>
      <c r="CH88" s="808"/>
      <c r="CI88" s="808"/>
      <c r="CJ88" s="808"/>
      <c r="CK88" s="808"/>
      <c r="CL88" s="808"/>
      <c r="CM88" s="808"/>
      <c r="CN88" s="32"/>
      <c r="CO88" s="32"/>
      <c r="CP88" s="32"/>
      <c r="CQ88" s="32"/>
      <c r="CR88" s="32"/>
    </row>
    <row r="89" spans="1:96" ht="12.75" hidden="1" customHeight="1" outlineLevel="1">
      <c r="A89" s="62" t="s">
        <v>450</v>
      </c>
      <c r="B89" s="166"/>
      <c r="C89" s="140">
        <v>0</v>
      </c>
      <c r="D89" s="140">
        <v>0</v>
      </c>
      <c r="E89" s="140">
        <v>0</v>
      </c>
      <c r="F89" s="140">
        <v>0</v>
      </c>
      <c r="G89" s="140">
        <v>0</v>
      </c>
      <c r="H89" s="140"/>
      <c r="I89" s="140">
        <v>0</v>
      </c>
      <c r="J89" s="140">
        <v>0</v>
      </c>
      <c r="K89" s="140">
        <v>0</v>
      </c>
      <c r="L89" s="140">
        <v>0</v>
      </c>
      <c r="M89" s="140">
        <v>0</v>
      </c>
      <c r="N89" s="140"/>
      <c r="O89" s="140">
        <v>0</v>
      </c>
      <c r="P89" s="140">
        <v>0</v>
      </c>
      <c r="Q89" s="140">
        <v>0</v>
      </c>
      <c r="R89" s="140">
        <v>0</v>
      </c>
      <c r="S89" s="140">
        <v>0</v>
      </c>
      <c r="T89" s="140"/>
      <c r="U89" s="140">
        <v>0</v>
      </c>
      <c r="V89" s="140">
        <v>0</v>
      </c>
      <c r="W89" s="140">
        <v>0</v>
      </c>
      <c r="X89" s="140">
        <v>0</v>
      </c>
      <c r="Y89" s="140">
        <v>0</v>
      </c>
      <c r="Z89" s="140"/>
      <c r="AA89" s="140">
        <v>0</v>
      </c>
      <c r="AB89" s="140">
        <v>0</v>
      </c>
      <c r="AC89" s="140">
        <v>0</v>
      </c>
      <c r="AD89" s="140">
        <v>0</v>
      </c>
      <c r="AE89" s="140">
        <v>0</v>
      </c>
      <c r="AF89" s="140">
        <v>0</v>
      </c>
      <c r="AG89" s="140">
        <v>0</v>
      </c>
      <c r="AH89" s="140">
        <v>0</v>
      </c>
      <c r="AI89" s="140">
        <v>0</v>
      </c>
      <c r="AJ89" s="140">
        <v>0</v>
      </c>
      <c r="AK89" s="140">
        <v>0</v>
      </c>
      <c r="AL89" s="140"/>
      <c r="AM89" s="140">
        <v>0</v>
      </c>
      <c r="AN89" s="140">
        <v>0</v>
      </c>
      <c r="AO89" s="140">
        <v>0</v>
      </c>
      <c r="AP89" s="140">
        <v>0</v>
      </c>
      <c r="AQ89" s="140">
        <v>0</v>
      </c>
      <c r="AR89" s="140"/>
      <c r="AS89" s="140">
        <v>0</v>
      </c>
      <c r="AT89" s="140">
        <v>0</v>
      </c>
      <c r="AU89" s="140">
        <v>0</v>
      </c>
      <c r="AV89" s="140">
        <v>0</v>
      </c>
      <c r="AW89" s="140">
        <v>0</v>
      </c>
      <c r="AX89" s="140"/>
      <c r="AY89" s="140">
        <v>0</v>
      </c>
      <c r="AZ89" s="140">
        <v>0</v>
      </c>
      <c r="BA89" s="140">
        <v>0</v>
      </c>
      <c r="BB89" s="140">
        <v>0</v>
      </c>
      <c r="BC89" s="140">
        <v>0</v>
      </c>
      <c r="BD89" s="140"/>
      <c r="BE89" s="140">
        <v>0</v>
      </c>
      <c r="BF89" s="140">
        <v>0</v>
      </c>
      <c r="BG89" s="140">
        <v>0</v>
      </c>
      <c r="BH89" s="140">
        <v>0</v>
      </c>
      <c r="BI89" s="140">
        <v>0</v>
      </c>
      <c r="BJ89" s="140"/>
      <c r="BK89" s="140">
        <v>0</v>
      </c>
      <c r="BL89" s="140">
        <v>0</v>
      </c>
      <c r="BM89" s="140">
        <v>0</v>
      </c>
      <c r="BN89" s="140">
        <v>0</v>
      </c>
      <c r="BO89" s="140">
        <v>0</v>
      </c>
      <c r="BP89" s="140"/>
      <c r="BQ89" s="140">
        <v>0</v>
      </c>
      <c r="BR89" s="140">
        <v>0</v>
      </c>
      <c r="BS89" s="140">
        <v>0</v>
      </c>
      <c r="BT89" s="140">
        <v>0</v>
      </c>
      <c r="BU89" s="140">
        <v>0</v>
      </c>
      <c r="BV89" s="140"/>
      <c r="BW89" s="140">
        <v>0</v>
      </c>
      <c r="BX89" s="140">
        <v>0</v>
      </c>
      <c r="BY89" s="140">
        <v>0</v>
      </c>
      <c r="BZ89" s="140">
        <v>0</v>
      </c>
      <c r="CA89" s="140">
        <v>0</v>
      </c>
      <c r="CB89" s="140"/>
      <c r="CC89" s="140">
        <v>0</v>
      </c>
      <c r="CD89" s="140">
        <v>0</v>
      </c>
      <c r="CE89" s="140">
        <v>0</v>
      </c>
      <c r="CF89" s="140">
        <v>0</v>
      </c>
      <c r="CG89" s="140">
        <v>0</v>
      </c>
      <c r="CH89" s="140"/>
      <c r="CI89" s="140">
        <v>0</v>
      </c>
      <c r="CJ89" s="140">
        <v>0</v>
      </c>
      <c r="CK89" s="140">
        <v>0</v>
      </c>
      <c r="CL89" s="140">
        <v>0</v>
      </c>
      <c r="CM89" s="140">
        <v>0</v>
      </c>
      <c r="CN89" s="36"/>
      <c r="CO89" s="36"/>
      <c r="CP89" s="36"/>
      <c r="CQ89" s="36"/>
      <c r="CR89" s="36"/>
    </row>
    <row r="90" spans="1:96" ht="6" customHeight="1" collapsed="1"/>
    <row r="91" spans="1:96">
      <c r="A91" s="236" t="s">
        <v>14</v>
      </c>
      <c r="B91" s="237"/>
      <c r="C91" s="238"/>
      <c r="D91" s="237"/>
      <c r="E91" s="237"/>
      <c r="F91" s="237"/>
      <c r="G91" s="239"/>
      <c r="H91" s="237"/>
      <c r="I91" s="237"/>
      <c r="J91" s="237"/>
      <c r="K91" s="237"/>
      <c r="L91" s="237"/>
      <c r="M91" s="239"/>
      <c r="N91" s="237"/>
      <c r="O91" s="240"/>
      <c r="P91" s="241"/>
      <c r="Q91" s="241"/>
      <c r="R91" s="241"/>
      <c r="S91" s="239"/>
      <c r="T91" s="237"/>
      <c r="U91" s="241"/>
      <c r="V91" s="241"/>
      <c r="W91" s="241"/>
      <c r="X91" s="241"/>
      <c r="Y91" s="239"/>
      <c r="Z91" s="237"/>
      <c r="AA91" s="242"/>
      <c r="AB91" s="242"/>
      <c r="AC91" s="242"/>
      <c r="AD91" s="242"/>
      <c r="AE91" s="239"/>
      <c r="AF91" s="237"/>
      <c r="AG91" s="241"/>
      <c r="AH91" s="241"/>
      <c r="AI91" s="241"/>
      <c r="AJ91" s="241"/>
      <c r="AK91" s="241"/>
      <c r="AL91" s="237"/>
      <c r="AM91" s="241"/>
      <c r="AN91" s="241"/>
      <c r="AO91" s="241"/>
      <c r="AP91" s="241"/>
      <c r="AQ91" s="241"/>
      <c r="AR91" s="237"/>
      <c r="AS91" s="241"/>
      <c r="AT91" s="241"/>
      <c r="AU91" s="241"/>
      <c r="AV91" s="241"/>
      <c r="AW91" s="243"/>
      <c r="AX91" s="237"/>
      <c r="AY91" s="241"/>
      <c r="AZ91" s="1703"/>
      <c r="BA91" s="241"/>
      <c r="BB91" s="241"/>
      <c r="BC91" s="243"/>
      <c r="BD91" s="237"/>
      <c r="BE91" s="241"/>
      <c r="BF91" s="241"/>
      <c r="BG91" s="241"/>
      <c r="BH91" s="241"/>
      <c r="BI91" s="243"/>
      <c r="BJ91" s="237"/>
      <c r="BK91" s="241"/>
      <c r="BL91" s="241"/>
      <c r="BM91" s="241"/>
      <c r="BN91" s="241"/>
      <c r="BO91" s="243"/>
      <c r="BP91" s="237"/>
      <c r="BQ91" s="241"/>
      <c r="BR91" s="241"/>
      <c r="BS91" s="241"/>
      <c r="BT91" s="241"/>
      <c r="BU91" s="243"/>
      <c r="BV91" s="237"/>
      <c r="BW91" s="241"/>
      <c r="BX91" s="241"/>
      <c r="BY91" s="241"/>
      <c r="BZ91" s="241"/>
      <c r="CA91" s="243"/>
      <c r="CB91" s="237"/>
      <c r="CC91" s="241"/>
      <c r="CD91" s="241"/>
      <c r="CE91" s="241"/>
      <c r="CF91" s="241"/>
      <c r="CG91" s="243"/>
      <c r="CH91" s="237"/>
      <c r="CI91" s="241"/>
      <c r="CJ91" s="241"/>
      <c r="CK91" s="241"/>
      <c r="CL91" s="241"/>
      <c r="CM91" s="243"/>
      <c r="CN91" s="36"/>
      <c r="CO91" s="36"/>
      <c r="CP91" s="36"/>
      <c r="CQ91" s="36"/>
      <c r="CR91" s="36"/>
    </row>
    <row r="92" spans="1:96" ht="12.75" hidden="1" customHeight="1" outlineLevel="1">
      <c r="A92" s="488" t="s">
        <v>198</v>
      </c>
      <c r="B92" s="493"/>
      <c r="C92" s="494">
        <f>CFS!C15</f>
        <v>2.8879999999999999</v>
      </c>
      <c r="D92" s="495">
        <f>CFS!D15</f>
        <v>4.6180000000000003</v>
      </c>
      <c r="E92" s="495">
        <f>CFS!E15</f>
        <v>3.1189999999999998</v>
      </c>
      <c r="F92" s="496">
        <f>CFS!F15</f>
        <v>5.0860000000000003</v>
      </c>
      <c r="G92" s="522">
        <f>CFS!G15</f>
        <v>15.711</v>
      </c>
      <c r="H92" s="50"/>
      <c r="I92" s="494">
        <f>CFS!I15</f>
        <v>5.2089999999999996</v>
      </c>
      <c r="J92" s="495">
        <f>CFS!J15</f>
        <v>3.0630000000000006</v>
      </c>
      <c r="K92" s="495">
        <f>CFS!K15</f>
        <v>5.3989999999999991</v>
      </c>
      <c r="L92" s="496">
        <f>CFS!L15</f>
        <v>5.6560000000000024</v>
      </c>
      <c r="M92" s="522">
        <f>CFS!M15</f>
        <v>19.327000000000002</v>
      </c>
      <c r="N92" s="50"/>
      <c r="O92" s="494">
        <f>CFS!O15</f>
        <v>3.8119999999999998</v>
      </c>
      <c r="P92" s="495">
        <f>CFS!P15</f>
        <v>4.3630000000000013</v>
      </c>
      <c r="Q92" s="495">
        <f>CFS!Q15</f>
        <v>2.1179999999999981</v>
      </c>
      <c r="R92" s="496">
        <f>CFS!R15</f>
        <v>4.5370000000000008</v>
      </c>
      <c r="S92" s="522">
        <f>CFS!S15</f>
        <v>14.83</v>
      </c>
      <c r="T92" s="50"/>
      <c r="U92" s="494">
        <f>CFS!U15</f>
        <v>3.3149999999999999</v>
      </c>
      <c r="V92" s="495">
        <f>CFS!V15</f>
        <v>4.2840000000000007</v>
      </c>
      <c r="W92" s="495">
        <f>CFS!W15</f>
        <v>2.7529999999999997</v>
      </c>
      <c r="X92" s="496">
        <f>CFS!X15</f>
        <v>2.0640000000000001</v>
      </c>
      <c r="Y92" s="522">
        <f>CFS!Y15</f>
        <v>12.416</v>
      </c>
      <c r="Z92" s="50"/>
      <c r="AA92" s="523">
        <f>CFS!AA15</f>
        <v>3.0539999999999998</v>
      </c>
      <c r="AB92" s="524">
        <f>CFS!AB15</f>
        <v>4.9060000000000006</v>
      </c>
      <c r="AC92" s="524">
        <f>CFS!AC15</f>
        <v>1.4669999999999987</v>
      </c>
      <c r="AD92" s="525">
        <f>CFS!AD15</f>
        <v>6.0549999999999997</v>
      </c>
      <c r="AE92" s="522">
        <f>CFS!AE15</f>
        <v>15.481999999999999</v>
      </c>
      <c r="AF92" s="497"/>
      <c r="AG92" s="523">
        <f>CFS!AG15</f>
        <v>5.476</v>
      </c>
      <c r="AH92" s="524">
        <f>CFS!AH15</f>
        <v>4.7759999999999998</v>
      </c>
      <c r="AI92" s="524">
        <f>CFS!AI15</f>
        <v>5.0999999999999996</v>
      </c>
      <c r="AJ92" s="828">
        <f>CFS!AJ15</f>
        <v>5.6790000000000003</v>
      </c>
      <c r="AK92" s="499">
        <f>SUM(AG92:AJ92)</f>
        <v>21.030999999999999</v>
      </c>
      <c r="AL92" s="497"/>
      <c r="AM92" s="523">
        <f>CFS!AM15</f>
        <v>4.4160000000000004</v>
      </c>
      <c r="AN92" s="524">
        <f>CFS!AN15</f>
        <v>3.226</v>
      </c>
      <c r="AO92" s="524">
        <f>CFS!AO15</f>
        <v>3.7809999999999997</v>
      </c>
      <c r="AP92" s="524">
        <f>CFS!AP15</f>
        <v>2.6300000000000008</v>
      </c>
      <c r="AQ92" s="499">
        <f>SUM(AM92:AP92)</f>
        <v>14.053000000000001</v>
      </c>
      <c r="AR92" s="497"/>
      <c r="AS92" s="523">
        <f>CFS!AS15</f>
        <v>4.516</v>
      </c>
      <c r="AT92" s="524">
        <f>CFS!AT15</f>
        <v>4.8030000000000008</v>
      </c>
      <c r="AU92" s="524">
        <f>CFS!AU15</f>
        <v>2.4499999999999993</v>
      </c>
      <c r="AV92" s="524">
        <f>CFS!AV15</f>
        <v>2.6950000000000003</v>
      </c>
      <c r="AW92" s="499">
        <f>SUM(AS92:AV92)</f>
        <v>14.464</v>
      </c>
      <c r="AX92" s="497"/>
      <c r="AY92" s="523">
        <f>CFS!AY15</f>
        <v>3.9870000000000001</v>
      </c>
      <c r="AZ92" s="333">
        <f>CFS!AZ15</f>
        <v>4.2059999999999995</v>
      </c>
      <c r="BA92" s="333">
        <f>CFS!BA15</f>
        <v>4.2900000000000009</v>
      </c>
      <c r="BB92" s="524">
        <f>CFS!BB15</f>
        <v>5.2360000000000007</v>
      </c>
      <c r="BC92" s="499">
        <f>SUM(AY92:BB92)</f>
        <v>17.719000000000001</v>
      </c>
      <c r="BD92" s="497"/>
      <c r="BE92" s="523">
        <f>CFS!BE15</f>
        <v>3.9529999999999998</v>
      </c>
      <c r="BF92" s="333">
        <f>CFS!BF15</f>
        <v>5.9580000000000002</v>
      </c>
      <c r="BG92" s="333">
        <f>CFS!BG15</f>
        <v>3.9080000000000013</v>
      </c>
      <c r="BH92" s="524">
        <f>CFS!BH15</f>
        <v>3.3390000000000004</v>
      </c>
      <c r="BI92" s="499">
        <f>SUM(BE92:BH92)</f>
        <v>17.158000000000001</v>
      </c>
      <c r="BJ92" s="497"/>
      <c r="BK92" s="523">
        <f>BK93*BK17</f>
        <v>5.2045802231027594</v>
      </c>
      <c r="BL92" s="333">
        <f>BL93*BL17</f>
        <v>5.274582002186806</v>
      </c>
      <c r="BM92" s="333">
        <f>BM93*BM17</f>
        <v>5.3345204340298382</v>
      </c>
      <c r="BN92" s="524">
        <f>BN93*BN17</f>
        <v>5.6909963707804998</v>
      </c>
      <c r="BO92" s="499">
        <f>SUM(BK92:BN92)</f>
        <v>21.504679030099904</v>
      </c>
      <c r="BP92" s="497"/>
      <c r="BQ92" s="500">
        <f>BQ93*BQ17</f>
        <v>6.5080144392488881</v>
      </c>
      <c r="BR92" s="501">
        <f>BR93*BR17</f>
        <v>6.6984543626152755</v>
      </c>
      <c r="BS92" s="501">
        <f>BS93*BS17</f>
        <v>6.6561130805694484</v>
      </c>
      <c r="BT92" s="498">
        <f>BT93*BT17</f>
        <v>6.8887899895640929</v>
      </c>
      <c r="BU92" s="499">
        <f>SUM(BQ92:BT92)</f>
        <v>26.751371871997705</v>
      </c>
      <c r="BV92" s="497"/>
      <c r="BW92" s="500">
        <f>BW93*BW17</f>
        <v>6.8285089855803358</v>
      </c>
      <c r="BX92" s="501">
        <f>BX93*BX17</f>
        <v>7.0646365473439907</v>
      </c>
      <c r="BY92" s="501">
        <f>BY93*BY17</f>
        <v>7.0557454102776465</v>
      </c>
      <c r="BZ92" s="498">
        <f>BZ93*BZ17</f>
        <v>7.3002453637187141</v>
      </c>
      <c r="CA92" s="499">
        <f>SUM(BW92:BZ92)</f>
        <v>28.24913630692069</v>
      </c>
      <c r="CB92" s="497"/>
      <c r="CC92" s="500">
        <f>CC93*CC17</f>
        <v>7.219866281093239</v>
      </c>
      <c r="CD92" s="501">
        <f>CD93*CD17</f>
        <v>7.4765180340979853</v>
      </c>
      <c r="CE92" s="501">
        <f>CE93*CE17</f>
        <v>7.4501616576852943</v>
      </c>
      <c r="CF92" s="498">
        <f>CF93*CF17</f>
        <v>7.6619801337511406</v>
      </c>
      <c r="CG92" s="499">
        <f>SUM(CC92:CF92)</f>
        <v>29.808526106627657</v>
      </c>
      <c r="CH92" s="497"/>
      <c r="CI92" s="500">
        <f>CI93*CI17</f>
        <v>7.5010098673241608</v>
      </c>
      <c r="CJ92" s="501">
        <f>CJ93*CJ17</f>
        <v>7.7606434697741351</v>
      </c>
      <c r="CK92" s="501">
        <f>CK93*CK17</f>
        <v>7.7612724130263446</v>
      </c>
      <c r="CL92" s="498">
        <f>CL93*CL17</f>
        <v>7.9652596067346577</v>
      </c>
      <c r="CM92" s="499">
        <f>SUM(CI92:CL92)</f>
        <v>30.988185356859297</v>
      </c>
      <c r="CN92" s="490"/>
      <c r="CO92" s="490"/>
      <c r="CP92" s="490"/>
      <c r="CQ92" s="490"/>
      <c r="CR92" s="490"/>
    </row>
    <row r="93" spans="1:96" ht="12.75" hidden="1" customHeight="1" outlineLevel="1">
      <c r="A93" s="232" t="s">
        <v>199</v>
      </c>
      <c r="B93" s="109"/>
      <c r="C93" s="246">
        <f>C92/C17</f>
        <v>2.2978994271164864E-2</v>
      </c>
      <c r="D93" s="35">
        <f>D92/D17</f>
        <v>3.4781167857922922E-2</v>
      </c>
      <c r="E93" s="35">
        <f>E92/E17</f>
        <v>2.4021873074553293E-2</v>
      </c>
      <c r="F93" s="247">
        <f>F92/F17</f>
        <v>3.5021759488789737E-2</v>
      </c>
      <c r="G93" s="526">
        <f>G92/G17</f>
        <v>2.9447983850561462E-2</v>
      </c>
      <c r="H93" s="35"/>
      <c r="I93" s="246">
        <f>I92/I17</f>
        <v>3.3759786384611398E-2</v>
      </c>
      <c r="J93" s="35">
        <f>J92/J17</f>
        <v>1.8461037747789562E-2</v>
      </c>
      <c r="K93" s="35">
        <f>K92/K17</f>
        <v>3.5655556362723786E-2</v>
      </c>
      <c r="L93" s="247">
        <f>L92/L17</f>
        <v>3.9864955349276518E-2</v>
      </c>
      <c r="M93" s="526">
        <f>M92/M17</f>
        <v>3.1502184957775965E-2</v>
      </c>
      <c r="N93" s="35"/>
      <c r="O93" s="246">
        <f>O92/O17</f>
        <v>2.5456269574682631E-2</v>
      </c>
      <c r="P93" s="35">
        <f>P92/P17</f>
        <v>3.0095881906601375E-2</v>
      </c>
      <c r="Q93" s="35">
        <f>Q92/Q17</f>
        <v>1.6179301494179104E-2</v>
      </c>
      <c r="R93" s="247">
        <f>R92/R17</f>
        <v>3.9821999087174806E-2</v>
      </c>
      <c r="S93" s="526">
        <f>S92/S17</f>
        <v>2.7485511262016801E-2</v>
      </c>
      <c r="T93" s="35"/>
      <c r="U93" s="246">
        <f>U92/U17</f>
        <v>2.3772813654128869E-2</v>
      </c>
      <c r="V93" s="35">
        <f>V92/V17</f>
        <v>2.9744629441906326E-2</v>
      </c>
      <c r="W93" s="35">
        <f>W92/W17</f>
        <v>1.9724162636575313E-2</v>
      </c>
      <c r="X93" s="247">
        <f>X92/X17</f>
        <v>1.4349476494389526E-2</v>
      </c>
      <c r="Y93" s="526">
        <f>Y92/Y17</f>
        <v>2.1902188101975008E-2</v>
      </c>
      <c r="Z93" s="35"/>
      <c r="AA93" s="519">
        <f>AA92/AA17</f>
        <v>2.0260991289233282E-2</v>
      </c>
      <c r="AB93" s="485">
        <f>AB92/AB17</f>
        <v>3.0895957579459801E-2</v>
      </c>
      <c r="AC93" s="485">
        <f>AC92/AC17</f>
        <v>9.4233573360226527E-3</v>
      </c>
      <c r="AD93" s="520">
        <f>AD92/AD17</f>
        <v>3.4617803441770019E-2</v>
      </c>
      <c r="AE93" s="526">
        <f>AE92/AE17</f>
        <v>2.4186430166018073E-2</v>
      </c>
      <c r="AF93" s="217"/>
      <c r="AG93" s="519">
        <f>AG92/AG17</f>
        <v>3.071641724068299E-2</v>
      </c>
      <c r="AH93" s="485">
        <f>AH92/AH17</f>
        <v>2.7651050230425415E-2</v>
      </c>
      <c r="AI93" s="485">
        <f>AI92/AI17</f>
        <v>2.9928874909039692E-2</v>
      </c>
      <c r="AJ93" s="520">
        <f>AJ92/AJ17</f>
        <v>3.2235908497474035E-2</v>
      </c>
      <c r="AK93" s="250">
        <f>AK92/AK17</f>
        <v>3.0148772746690668E-2</v>
      </c>
      <c r="AL93" s="73"/>
      <c r="AM93" s="519">
        <f>AM92/AM17</f>
        <v>2.5098752451050043E-2</v>
      </c>
      <c r="AN93" s="485">
        <f>AN92/AN17</f>
        <v>1.8687366042982101E-2</v>
      </c>
      <c r="AO93" s="485">
        <f>AO92/AO17</f>
        <v>2.2736019242333132E-2</v>
      </c>
      <c r="AP93" s="485">
        <f>AP92/AP17</f>
        <v>1.4846091752233974E-2</v>
      </c>
      <c r="AQ93" s="250">
        <f>AQ92/AQ17</f>
        <v>2.0307040486918122E-2</v>
      </c>
      <c r="AR93" s="73"/>
      <c r="AS93" s="519">
        <f>AS92/AS17</f>
        <v>2.6499859168153221E-2</v>
      </c>
      <c r="AT93" s="485">
        <f>AT92/AT17</f>
        <v>2.8684730740977424E-2</v>
      </c>
      <c r="AU93" s="485">
        <f>AU92/AU17</f>
        <v>1.4830508474576265E-2</v>
      </c>
      <c r="AV93" s="485">
        <f>AV92/AV17</f>
        <v>1.5805153829011112E-2</v>
      </c>
      <c r="AW93" s="250">
        <f>AW92/AW17</f>
        <v>2.1473608572815633E-2</v>
      </c>
      <c r="AX93" s="73"/>
      <c r="AY93" s="519">
        <f>AY92/AY17</f>
        <v>2.440024479804162E-2</v>
      </c>
      <c r="AZ93" s="485">
        <f>AZ92/AZ17</f>
        <v>2.5724770642201831E-2</v>
      </c>
      <c r="BA93" s="485">
        <f>BA92/BA17</f>
        <v>2.6142595978062164E-2</v>
      </c>
      <c r="BB93" s="485">
        <f>BB92/BB17</f>
        <v>3.2360939431396792E-2</v>
      </c>
      <c r="BC93" s="250">
        <f>BC92/BC17</f>
        <v>2.7143075980392159E-2</v>
      </c>
      <c r="BD93" s="73"/>
      <c r="BE93" s="519">
        <f>BE92/BE17</f>
        <v>2.4341133004926106E-2</v>
      </c>
      <c r="BF93" s="485">
        <f>BF92/BF17</f>
        <v>3.5443188578227251E-2</v>
      </c>
      <c r="BG93" s="485">
        <f>BG92/BG17</f>
        <v>2.4734177215189883E-2</v>
      </c>
      <c r="BH93" s="485">
        <f>BH92/BH17</f>
        <v>2.0472103004291847E-2</v>
      </c>
      <c r="BI93" s="250">
        <f>BI92/BI17</f>
        <v>2.6332105586249228E-2</v>
      </c>
      <c r="BJ93" s="73"/>
      <c r="BK93" s="519">
        <v>3.1546543075279938E-2</v>
      </c>
      <c r="BL93" s="485">
        <f>BK93</f>
        <v>3.1546543075279938E-2</v>
      </c>
      <c r="BM93" s="485">
        <f>BL93</f>
        <v>3.1546543075279938E-2</v>
      </c>
      <c r="BN93" s="485">
        <f>BM93</f>
        <v>3.1546543075279938E-2</v>
      </c>
      <c r="BO93" s="250">
        <f>BO92/BO17</f>
        <v>3.1546543075279938E-2</v>
      </c>
      <c r="BP93" s="73"/>
      <c r="BQ93" s="252">
        <f>BO93</f>
        <v>3.1546543075279938E-2</v>
      </c>
      <c r="BR93" s="73">
        <f>BQ93</f>
        <v>3.1546543075279938E-2</v>
      </c>
      <c r="BS93" s="73">
        <f>BR93</f>
        <v>3.1546543075279938E-2</v>
      </c>
      <c r="BT93" s="249">
        <f>BS93</f>
        <v>3.1546543075279938E-2</v>
      </c>
      <c r="BU93" s="250">
        <f>BU92/BU17</f>
        <v>3.1546543075279938E-2</v>
      </c>
      <c r="BV93" s="73"/>
      <c r="BW93" s="252">
        <f>BU93</f>
        <v>3.1546543075279938E-2</v>
      </c>
      <c r="BX93" s="73">
        <f>BW93</f>
        <v>3.1546543075279938E-2</v>
      </c>
      <c r="BY93" s="73">
        <f>BX93</f>
        <v>3.1546543075279938E-2</v>
      </c>
      <c r="BZ93" s="249">
        <f>BY93</f>
        <v>3.1546543075279938E-2</v>
      </c>
      <c r="CA93" s="250">
        <f>CA92/CA17</f>
        <v>3.1546543075279945E-2</v>
      </c>
      <c r="CB93" s="73"/>
      <c r="CC93" s="252">
        <f>CA93</f>
        <v>3.1546543075279945E-2</v>
      </c>
      <c r="CD93" s="73">
        <f>CC93</f>
        <v>3.1546543075279945E-2</v>
      </c>
      <c r="CE93" s="73">
        <f>CD93</f>
        <v>3.1546543075279945E-2</v>
      </c>
      <c r="CF93" s="249">
        <f>CE93</f>
        <v>3.1546543075279945E-2</v>
      </c>
      <c r="CG93" s="250">
        <f>CG92/CG17</f>
        <v>3.1546543075279938E-2</v>
      </c>
      <c r="CH93" s="73"/>
      <c r="CI93" s="252">
        <f>CG93</f>
        <v>3.1546543075279938E-2</v>
      </c>
      <c r="CJ93" s="73">
        <f>CI93</f>
        <v>3.1546543075279938E-2</v>
      </c>
      <c r="CK93" s="73">
        <f>CJ93</f>
        <v>3.1546543075279938E-2</v>
      </c>
      <c r="CL93" s="249">
        <f>CK93</f>
        <v>3.1546543075279938E-2</v>
      </c>
      <c r="CM93" s="250">
        <f>CM92/CM17</f>
        <v>3.1546543075279938E-2</v>
      </c>
      <c r="CN93" s="173"/>
      <c r="CO93" s="173"/>
      <c r="CP93" s="173"/>
      <c r="CQ93" s="173"/>
      <c r="CR93" s="173"/>
    </row>
    <row r="94" spans="1:96" ht="12.75" hidden="1" customHeight="1" outlineLevel="1">
      <c r="A94" s="511" t="s">
        <v>48</v>
      </c>
      <c r="B94" s="493"/>
      <c r="C94" s="512">
        <f>C32</f>
        <v>31.33255999999998</v>
      </c>
      <c r="D94" s="513">
        <f>D32</f>
        <v>36.730779999999982</v>
      </c>
      <c r="E94" s="513">
        <f>E32</f>
        <v>40.504180000000026</v>
      </c>
      <c r="F94" s="514">
        <f>F32</f>
        <v>50.622550000000039</v>
      </c>
      <c r="G94" s="515">
        <f>SUM(C94:F94)</f>
        <v>159.19007000000002</v>
      </c>
      <c r="H94" s="50"/>
      <c r="I94" s="512">
        <f>I32</f>
        <v>30.565719999999985</v>
      </c>
      <c r="J94" s="513">
        <f>J32</f>
        <v>39.163040000000066</v>
      </c>
      <c r="K94" s="513">
        <f>K32</f>
        <v>42.424999999999997</v>
      </c>
      <c r="L94" s="514">
        <f>L32</f>
        <v>60.226890000000019</v>
      </c>
      <c r="M94" s="515">
        <f>SUM(I94:L94)</f>
        <v>172.38065000000006</v>
      </c>
      <c r="N94" s="50"/>
      <c r="O94" s="512">
        <f>O32</f>
        <v>30.559760000000018</v>
      </c>
      <c r="P94" s="513">
        <f>P32</f>
        <v>32.669439999999952</v>
      </c>
      <c r="Q94" s="513">
        <f>Q32</f>
        <v>32.788559999999997</v>
      </c>
      <c r="R94" s="514">
        <f>R32</f>
        <v>29.264939999999875</v>
      </c>
      <c r="S94" s="515">
        <f>SUM(O94:R94)</f>
        <v>125.28269999999983</v>
      </c>
      <c r="T94" s="50"/>
      <c r="U94" s="512">
        <f>U32</f>
        <v>29.749789999999997</v>
      </c>
      <c r="V94" s="513">
        <f>V32</f>
        <v>12.281679999999994</v>
      </c>
      <c r="W94" s="513">
        <f>W32</f>
        <v>39.870630000000006</v>
      </c>
      <c r="X94" s="514">
        <f>X32</f>
        <v>54.800660000000086</v>
      </c>
      <c r="Y94" s="515">
        <f>SUM(U94:X94)</f>
        <v>136.70276000000007</v>
      </c>
      <c r="Z94" s="50"/>
      <c r="AA94" s="521">
        <f>AA32</f>
        <v>77.938400000000058</v>
      </c>
      <c r="AB94" s="333">
        <f>AB32</f>
        <v>88.435140000000089</v>
      </c>
      <c r="AC94" s="333">
        <f>AC32</f>
        <v>85.384499999999974</v>
      </c>
      <c r="AD94" s="527">
        <f>AD32</f>
        <v>69.990079999999793</v>
      </c>
      <c r="AE94" s="515">
        <f>SUM(AA94:AD94)</f>
        <v>321.74811999999991</v>
      </c>
      <c r="AF94" s="497"/>
      <c r="AG94" s="512">
        <f>AG32</f>
        <v>49.567560000000071</v>
      </c>
      <c r="AH94" s="513">
        <f>AH32</f>
        <v>60.53572000000004</v>
      </c>
      <c r="AI94" s="513">
        <f>AI32</f>
        <v>52.074600000000018</v>
      </c>
      <c r="AJ94" s="514">
        <f>AJ32</f>
        <v>74.931360000000097</v>
      </c>
      <c r="AK94" s="515">
        <f>SUM(AG94:AJ94)</f>
        <v>237.10924000000023</v>
      </c>
      <c r="AL94" s="497"/>
      <c r="AM94" s="512">
        <f>AM32</f>
        <v>41.455280000000002</v>
      </c>
      <c r="AN94" s="513">
        <f>AN32</f>
        <v>57.597680000000068</v>
      </c>
      <c r="AO94" s="513">
        <f>AO32</f>
        <v>56.111082660000065</v>
      </c>
      <c r="AP94" s="514">
        <f>AP32</f>
        <v>82.725061000000096</v>
      </c>
      <c r="AQ94" s="515">
        <f>SUM(AM94:AP94)</f>
        <v>237.88910366000022</v>
      </c>
      <c r="AR94" s="490"/>
      <c r="AS94" s="512">
        <f>AS32</f>
        <v>53.404368000000311</v>
      </c>
      <c r="AT94" s="513">
        <f>AT32</f>
        <v>67.720837000000017</v>
      </c>
      <c r="AU94" s="513">
        <f>AU32</f>
        <v>64.607966200000078</v>
      </c>
      <c r="AV94" s="514">
        <f>AV32</f>
        <v>96.437086116800202</v>
      </c>
      <c r="AW94" s="515">
        <f>SUM(AS94:AV94)</f>
        <v>282.17025731680064</v>
      </c>
      <c r="AX94" s="490"/>
      <c r="AY94" s="512">
        <f>AY32</f>
        <v>49.361460000000037</v>
      </c>
      <c r="AZ94" s="513">
        <f>AZ32</f>
        <v>60.91695</v>
      </c>
      <c r="BA94" s="513">
        <f>BA32</f>
        <v>60.730980000000031</v>
      </c>
      <c r="BB94" s="514">
        <f>BB32</f>
        <v>91.296180000000078</v>
      </c>
      <c r="BC94" s="515">
        <f>SUM(AY94:BB94)</f>
        <v>262.3055700000001</v>
      </c>
      <c r="BD94" s="490"/>
      <c r="BE94" s="512">
        <f>BE32</f>
        <v>56.150399999999991</v>
      </c>
      <c r="BF94" s="513">
        <f>BF32</f>
        <v>68.992400000000032</v>
      </c>
      <c r="BG94" s="513">
        <f>BG32</f>
        <v>70.24769999999998</v>
      </c>
      <c r="BH94" s="514">
        <f>BH32</f>
        <v>91.583989999999986</v>
      </c>
      <c r="BI94" s="515">
        <f>SUM(BE94:BH94)</f>
        <v>286.97449</v>
      </c>
      <c r="BJ94" s="490"/>
      <c r="BK94" s="512">
        <f>BK32</f>
        <v>60.292879999999933</v>
      </c>
      <c r="BL94" s="513">
        <f>BL32</f>
        <v>73.801200000000051</v>
      </c>
      <c r="BM94" s="513">
        <f>BM32</f>
        <v>81.024889999999985</v>
      </c>
      <c r="BN94" s="514">
        <f>BN32</f>
        <v>108.61363999999992</v>
      </c>
      <c r="BO94" s="515">
        <f>SUM(BK94:BN94)</f>
        <v>323.73260999999991</v>
      </c>
      <c r="BP94" s="490"/>
      <c r="BQ94" s="512">
        <f>BQ32</f>
        <v>68.609013639952934</v>
      </c>
      <c r="BR94" s="513">
        <f>BR32</f>
        <v>97.452243894468609</v>
      </c>
      <c r="BS94" s="513">
        <f>BS32</f>
        <v>103.86564342593735</v>
      </c>
      <c r="BT94" s="514">
        <f>BT32</f>
        <v>131.58808557044591</v>
      </c>
      <c r="BU94" s="515">
        <f>SUM(BQ94:BT94)</f>
        <v>401.51498653080483</v>
      </c>
      <c r="BV94" s="490"/>
      <c r="BW94" s="512">
        <f>BW32</f>
        <v>82.8344052645012</v>
      </c>
      <c r="BX94" s="513">
        <f>BX32</f>
        <v>113.81681221564055</v>
      </c>
      <c r="BY94" s="513">
        <f>BY32</f>
        <v>120.81544441985635</v>
      </c>
      <c r="BZ94" s="514">
        <f>BZ32</f>
        <v>150.66279131093756</v>
      </c>
      <c r="CA94" s="515">
        <f>SUM(BW94:BZ94)</f>
        <v>468.12945321093565</v>
      </c>
      <c r="CB94" s="490"/>
      <c r="CC94" s="512">
        <f>CC32</f>
        <v>96.151858050325004</v>
      </c>
      <c r="CD94" s="513">
        <f>CD32</f>
        <v>139.08173863202208</v>
      </c>
      <c r="CE94" s="513">
        <f>CE32</f>
        <v>147.39656346311301</v>
      </c>
      <c r="CF94" s="514">
        <f>CF32</f>
        <v>182.29223786266368</v>
      </c>
      <c r="CG94" s="515">
        <f>SUM(CC94:CF94)</f>
        <v>564.92239800812376</v>
      </c>
      <c r="CH94" s="490"/>
      <c r="CI94" s="512">
        <f>CI32</f>
        <v>122.62710988597433</v>
      </c>
      <c r="CJ94" s="513">
        <f>CJ32</f>
        <v>146.1724836874765</v>
      </c>
      <c r="CK94" s="513">
        <f>CK32</f>
        <v>154.3734463011827</v>
      </c>
      <c r="CL94" s="514">
        <f>CL32</f>
        <v>189.51894385172164</v>
      </c>
      <c r="CM94" s="515">
        <f>SUM(CI94:CL94)</f>
        <v>612.69198372635515</v>
      </c>
      <c r="CN94" s="490"/>
      <c r="CO94" s="490"/>
      <c r="CP94" s="490"/>
      <c r="CQ94" s="490"/>
      <c r="CR94" s="490"/>
    </row>
    <row r="95" spans="1:96" ht="12.75" hidden="1" customHeight="1" outlineLevel="1">
      <c r="A95" s="7" t="s">
        <v>55</v>
      </c>
      <c r="B95" s="6"/>
      <c r="C95" s="26">
        <f>SUM(C96:C100)</f>
        <v>19.942999999999998</v>
      </c>
      <c r="D95" s="4">
        <f>SUM(D96:D100)</f>
        <v>2.6710000000000012</v>
      </c>
      <c r="E95" s="4">
        <f>SUM(E96:E100)</f>
        <v>12.17</v>
      </c>
      <c r="F95" s="3">
        <f>SUM(F96:F100)</f>
        <v>22.216999999999999</v>
      </c>
      <c r="G95" s="528">
        <f>SUM(G96:G100)</f>
        <v>57.001000000000005</v>
      </c>
      <c r="H95" s="5"/>
      <c r="I95" s="26">
        <f>SUM(I96:I100)</f>
        <v>14.938000000000001</v>
      </c>
      <c r="J95" s="4">
        <f>SUM(J96:J100)</f>
        <v>14.988</v>
      </c>
      <c r="K95" s="4">
        <f>SUM(K96:K100)</f>
        <v>21.047999999999998</v>
      </c>
      <c r="L95" s="3">
        <f>SUM(L96:L100)</f>
        <v>13.752000000000001</v>
      </c>
      <c r="M95" s="528">
        <f>SUM(M96:M100)</f>
        <v>64.725999999999999</v>
      </c>
      <c r="N95" s="5"/>
      <c r="O95" s="26">
        <f>SUM(O96:O100)</f>
        <v>22.669999999999998</v>
      </c>
      <c r="P95" s="4">
        <f>SUM(P96:P100)</f>
        <v>14.281000000000001</v>
      </c>
      <c r="Q95" s="4">
        <f>SUM(Q96:Q100)</f>
        <v>25.643999999999998</v>
      </c>
      <c r="R95" s="3">
        <f>SUM(R96:R100)</f>
        <v>13.007999999999999</v>
      </c>
      <c r="S95" s="528">
        <f>SUM(S96:S100)</f>
        <v>75.602999999999994</v>
      </c>
      <c r="T95" s="5"/>
      <c r="U95" s="26">
        <f>SUM(U96:U100)</f>
        <v>15.202</v>
      </c>
      <c r="V95" s="4">
        <f>SUM(V96:V100)</f>
        <v>22.683</v>
      </c>
      <c r="W95" s="4">
        <f>SUM(W96:W100)</f>
        <v>16.091000000000001</v>
      </c>
      <c r="X95" s="3">
        <f>SUM(X96:X100)</f>
        <v>26.105999999999995</v>
      </c>
      <c r="Y95" s="528">
        <f>SUM(Y96:Y100)</f>
        <v>80.081999999999994</v>
      </c>
      <c r="Z95" s="5"/>
      <c r="AA95" s="26">
        <f>SUM(AA96:AA100)</f>
        <v>19.684000000000001</v>
      </c>
      <c r="AB95" s="4">
        <f>SUM(AB96:AB100)</f>
        <v>30.883999999999997</v>
      </c>
      <c r="AC95" s="4">
        <f>SUM(AC96:AC100)</f>
        <v>31.443999999999999</v>
      </c>
      <c r="AD95" s="3">
        <f>SUM(AD96:AD100)</f>
        <v>129.82799999999997</v>
      </c>
      <c r="AE95" s="528">
        <f>SUM(AE96:AE100)</f>
        <v>211.83999999999997</v>
      </c>
      <c r="AF95" s="5"/>
      <c r="AG95" s="26">
        <f>SUM(AG96:AG100)</f>
        <v>42.575000000000003</v>
      </c>
      <c r="AH95" s="4">
        <f>SUM(AH96:AH100)</f>
        <v>39.946000000000005</v>
      </c>
      <c r="AI95" s="4">
        <f>SUM(AI96:AI100)</f>
        <v>35.055000000000007</v>
      </c>
      <c r="AJ95" s="3">
        <f>SUM(AJ96:AJ100)</f>
        <v>136.43200000000002</v>
      </c>
      <c r="AK95" s="528">
        <f>SUM(AK96:AK100)</f>
        <v>254.00799999999998</v>
      </c>
      <c r="AL95" s="5"/>
      <c r="AM95" s="26">
        <f>SUM(AM96:AM100)</f>
        <v>27.802</v>
      </c>
      <c r="AN95" s="4">
        <f>SUM(AN96:AN100)</f>
        <v>45.215000000000003</v>
      </c>
      <c r="AO95" s="4">
        <f>SUM(AO96:AO100)</f>
        <v>24.085000000000001</v>
      </c>
      <c r="AP95" s="3">
        <f>SUM(AP96:AP100)</f>
        <v>43.552</v>
      </c>
      <c r="AQ95" s="528">
        <f>SUM(AQ96:AQ100)</f>
        <v>140.654</v>
      </c>
      <c r="AR95" s="2"/>
      <c r="AS95" s="26">
        <f>SUM(AS96:AS100)</f>
        <v>27.652000000000001</v>
      </c>
      <c r="AT95" s="4">
        <f>SUM(AT96:AT100)</f>
        <v>23.638999999999999</v>
      </c>
      <c r="AU95" s="4">
        <f>SUM(AU96:AU100)</f>
        <v>32.535000000000004</v>
      </c>
      <c r="AV95" s="3">
        <f>SUM(AV96:AV100)</f>
        <v>100.06399999999999</v>
      </c>
      <c r="AW95" s="528">
        <f>SUM(AW96:AW100)</f>
        <v>183.89</v>
      </c>
      <c r="AX95" s="2"/>
      <c r="AY95" s="26">
        <f>SUM(AY96:AY100)</f>
        <v>25.416999999999998</v>
      </c>
      <c r="AZ95" s="4">
        <f>SUM(AZ96:AZ100)</f>
        <v>27.713000000000001</v>
      </c>
      <c r="BA95" s="4">
        <f>SUM(BA96:BA100)</f>
        <v>19.827000000000002</v>
      </c>
      <c r="BB95" s="3">
        <f>SUM(BB96:BB100)</f>
        <v>41.1</v>
      </c>
      <c r="BC95" s="528">
        <f>SUM(BC96:BC100)</f>
        <v>114.05700000000002</v>
      </c>
      <c r="BD95" s="2"/>
      <c r="BE95" s="26">
        <f>SUM(BE96:BE100)</f>
        <v>21.06</v>
      </c>
      <c r="BF95" s="4">
        <f>SUM(BF96:BF100)</f>
        <v>28.92</v>
      </c>
      <c r="BG95" s="4">
        <f>SUM(BG96:BG100)</f>
        <v>22.6</v>
      </c>
      <c r="BH95" s="3">
        <f>SUM(BH96:BH100)</f>
        <v>40.200000000000003</v>
      </c>
      <c r="BI95" s="528">
        <f>SUM(BI96:BI100)</f>
        <v>112.77999999999999</v>
      </c>
      <c r="BJ95" s="2"/>
      <c r="BK95" s="26">
        <f>SUM(BK96:BK100)</f>
        <v>32.5</v>
      </c>
      <c r="BL95" s="4">
        <f>SUM(BL96:BL100)</f>
        <v>23.573</v>
      </c>
      <c r="BM95" s="4">
        <f>SUM(BM96:BM100)</f>
        <v>-3.7780400000000043</v>
      </c>
      <c r="BN95" s="3">
        <f>SUM(BN96:BN100)</f>
        <v>39.6</v>
      </c>
      <c r="BO95" s="528">
        <f>SUM(BO96:BO100)</f>
        <v>91.894960000000012</v>
      </c>
      <c r="BP95" s="2"/>
      <c r="BQ95" s="26">
        <f>SUM(BQ96:BQ100)</f>
        <v>39.299999999999997</v>
      </c>
      <c r="BR95" s="4">
        <f>SUM(BR96:BR100)</f>
        <v>39.299999999999997</v>
      </c>
      <c r="BS95" s="4">
        <f>SUM(BS96:BS100)</f>
        <v>39.299999999999997</v>
      </c>
      <c r="BT95" s="3">
        <f>SUM(BT96:BT100)</f>
        <v>39.299999999999997</v>
      </c>
      <c r="BU95" s="528">
        <f>SUM(BU96:BU100)</f>
        <v>157.19999999999999</v>
      </c>
      <c r="BV95" s="2"/>
      <c r="BW95" s="26">
        <f>SUM(BW96:BW100)</f>
        <v>39.299999999999997</v>
      </c>
      <c r="BX95" s="4">
        <f>SUM(BX96:BX100)</f>
        <v>39.299999999999997</v>
      </c>
      <c r="BY95" s="4">
        <f>SUM(BY96:BY100)</f>
        <v>39.299999999999997</v>
      </c>
      <c r="BZ95" s="3">
        <f>SUM(BZ96:BZ100)</f>
        <v>39.299999999999997</v>
      </c>
      <c r="CA95" s="528">
        <f>SUM(CA96:CA100)</f>
        <v>157.19999999999999</v>
      </c>
      <c r="CB95" s="2"/>
      <c r="CC95" s="26">
        <f>SUM(CC96:CC100)</f>
        <v>39.299999999999997</v>
      </c>
      <c r="CD95" s="4">
        <f>SUM(CD96:CD100)</f>
        <v>39.299999999999997</v>
      </c>
      <c r="CE95" s="4">
        <f>SUM(CE96:CE100)</f>
        <v>39.299999999999997</v>
      </c>
      <c r="CF95" s="3">
        <f>SUM(CF96:CF100)</f>
        <v>39.299999999999997</v>
      </c>
      <c r="CG95" s="528">
        <f>SUM(CG96:CG100)</f>
        <v>157.19999999999999</v>
      </c>
      <c r="CH95" s="2"/>
      <c r="CI95" s="26">
        <f>SUM(CI96:CI100)</f>
        <v>39.299999999999997</v>
      </c>
      <c r="CJ95" s="4">
        <f>SUM(CJ96:CJ100)</f>
        <v>39.299999999999997</v>
      </c>
      <c r="CK95" s="4">
        <f>SUM(CK96:CK100)</f>
        <v>39.299999999999997</v>
      </c>
      <c r="CL95" s="3">
        <f>SUM(CL96:CL100)</f>
        <v>39.299999999999997</v>
      </c>
      <c r="CM95" s="528">
        <f>SUM(CM96:CM100)</f>
        <v>157.19999999999999</v>
      </c>
      <c r="CN95" s="36"/>
      <c r="CO95" s="36"/>
      <c r="CP95" s="36"/>
      <c r="CQ95" s="36"/>
      <c r="CR95" s="36"/>
    </row>
    <row r="96" spans="1:96" ht="12.75" hidden="1" customHeight="1" outlineLevel="1">
      <c r="A96" s="1" t="s">
        <v>121</v>
      </c>
      <c r="B96" s="6"/>
      <c r="C96" s="28">
        <v>10.436</v>
      </c>
      <c r="D96" s="31">
        <v>10.663</v>
      </c>
      <c r="E96" s="31">
        <v>10.769</v>
      </c>
      <c r="F96" s="245">
        <v>12.22</v>
      </c>
      <c r="G96" s="254">
        <f t="shared" ref="G96:G101" si="136">SUM(C96:F96)</f>
        <v>44.088000000000001</v>
      </c>
      <c r="H96" s="140"/>
      <c r="I96" s="253">
        <v>13.585000000000001</v>
      </c>
      <c r="J96" s="137">
        <v>14.356999999999999</v>
      </c>
      <c r="K96" s="137">
        <v>14.071</v>
      </c>
      <c r="L96" s="245">
        <v>13.582000000000001</v>
      </c>
      <c r="M96" s="254">
        <f t="shared" ref="M96:M101" si="137">SUM(I96:L96)</f>
        <v>55.594999999999999</v>
      </c>
      <c r="N96" s="140"/>
      <c r="O96" s="253">
        <v>13.404999999999999</v>
      </c>
      <c r="P96" s="137">
        <v>14.019</v>
      </c>
      <c r="Q96" s="137">
        <v>13.694000000000001</v>
      </c>
      <c r="R96" s="245">
        <f>54.116-O96-P96-Q96</f>
        <v>12.997999999999999</v>
      </c>
      <c r="S96" s="528">
        <f t="shared" ref="S96:S101" si="138">SUM(O96:R96)</f>
        <v>54.116</v>
      </c>
      <c r="T96" s="5"/>
      <c r="U96" s="28">
        <v>14.301</v>
      </c>
      <c r="V96" s="31">
        <v>14.893000000000001</v>
      </c>
      <c r="W96" s="31">
        <v>15.692</v>
      </c>
      <c r="X96" s="581">
        <f>60.721-U96-V96-W96</f>
        <v>15.834999999999994</v>
      </c>
      <c r="Y96" s="528">
        <f t="shared" ref="Y96:Y101" si="139">SUM(U96:X96)</f>
        <v>60.720999999999997</v>
      </c>
      <c r="Z96" s="5"/>
      <c r="AA96" s="28">
        <v>16.385000000000002</v>
      </c>
      <c r="AB96" s="31">
        <v>19.298999999999999</v>
      </c>
      <c r="AC96" s="31">
        <v>20.276</v>
      </c>
      <c r="AD96" s="581">
        <f>79.99-AA96-AB96-AC96</f>
        <v>24.02999999999999</v>
      </c>
      <c r="AE96" s="528">
        <f t="shared" ref="AE96:AE101" si="140">SUM(AA96:AD96)</f>
        <v>79.989999999999981</v>
      </c>
      <c r="AF96" s="4">
        <f>AJ96/4</f>
        <v>5.6234999999999999</v>
      </c>
      <c r="AG96" s="28">
        <v>23.399000000000001</v>
      </c>
      <c r="AH96" s="31">
        <v>23.341000000000001</v>
      </c>
      <c r="AI96" s="31">
        <v>21.984000000000002</v>
      </c>
      <c r="AJ96" s="581">
        <v>22.494</v>
      </c>
      <c r="AK96" s="528">
        <f t="shared" ref="AK96:AK101" si="141">SUM(AG96:AJ96)</f>
        <v>91.218000000000004</v>
      </c>
      <c r="AL96" s="4">
        <f>AP96/4</f>
        <v>5.6247500000000006</v>
      </c>
      <c r="AM96" s="28">
        <v>22.488</v>
      </c>
      <c r="AN96" s="31">
        <v>21.997</v>
      </c>
      <c r="AO96" s="31">
        <v>22.824000000000002</v>
      </c>
      <c r="AP96" s="581">
        <v>22.499000000000002</v>
      </c>
      <c r="AQ96" s="528">
        <f t="shared" ref="AQ96:AQ101" si="142">SUM(AM96:AP96)</f>
        <v>89.807999999999993</v>
      </c>
      <c r="AR96" s="4"/>
      <c r="AS96" s="28">
        <v>20.695</v>
      </c>
      <c r="AT96" s="31">
        <v>20.576000000000001</v>
      </c>
      <c r="AU96" s="31">
        <v>20.6</v>
      </c>
      <c r="AV96" s="581">
        <v>21.521999999999998</v>
      </c>
      <c r="AW96" s="528">
        <f t="shared" ref="AW96:AW101" si="143">SUM(AS96:AV96)</f>
        <v>83.393000000000001</v>
      </c>
      <c r="AX96" s="4"/>
      <c r="AY96" s="28">
        <v>19.838000000000001</v>
      </c>
      <c r="AZ96" s="31">
        <f>19.853</f>
        <v>19.853000000000002</v>
      </c>
      <c r="BA96" s="1725">
        <v>18.849</v>
      </c>
      <c r="BB96" s="581">
        <v>20</v>
      </c>
      <c r="BC96" s="528">
        <f t="shared" ref="BC96:BC101" si="144">SUM(AY96:BB96)</f>
        <v>78.540000000000006</v>
      </c>
      <c r="BD96" s="4"/>
      <c r="BE96" s="28">
        <v>19.038</v>
      </c>
      <c r="BF96" s="1725">
        <v>18.893999999999998</v>
      </c>
      <c r="BG96" s="1725">
        <v>17.3</v>
      </c>
      <c r="BH96" s="1725">
        <v>17.600000000000001</v>
      </c>
      <c r="BI96" s="528">
        <f t="shared" ref="BI96:BI101" si="145">SUM(BE96:BH96)</f>
        <v>72.831999999999994</v>
      </c>
      <c r="BJ96" s="4"/>
      <c r="BK96" s="28">
        <v>17</v>
      </c>
      <c r="BL96" s="1725">
        <v>17.538</v>
      </c>
      <c r="BM96" s="1725">
        <v>17.7</v>
      </c>
      <c r="BN96" s="1725">
        <v>21.4</v>
      </c>
      <c r="BO96" s="528">
        <f t="shared" ref="BO96:BO101" si="146">SUM(BK96:BN96)</f>
        <v>73.638000000000005</v>
      </c>
      <c r="BP96" s="4"/>
      <c r="BQ96" s="26">
        <f>BN96</f>
        <v>21.4</v>
      </c>
      <c r="BR96" s="4">
        <f t="shared" ref="BR96:BT98" si="147">BQ96</f>
        <v>21.4</v>
      </c>
      <c r="BS96" s="4">
        <f t="shared" si="147"/>
        <v>21.4</v>
      </c>
      <c r="BT96" s="3">
        <f t="shared" si="147"/>
        <v>21.4</v>
      </c>
      <c r="BU96" s="528">
        <f t="shared" ref="BU96:BU101" si="148">SUM(BQ96:BT96)</f>
        <v>85.6</v>
      </c>
      <c r="BV96" s="4"/>
      <c r="BW96" s="26">
        <f>BT96</f>
        <v>21.4</v>
      </c>
      <c r="BX96" s="4">
        <f t="shared" ref="BX96:BZ98" si="149">BW96</f>
        <v>21.4</v>
      </c>
      <c r="BY96" s="4">
        <f t="shared" si="149"/>
        <v>21.4</v>
      </c>
      <c r="BZ96" s="3">
        <f t="shared" si="149"/>
        <v>21.4</v>
      </c>
      <c r="CA96" s="528">
        <f t="shared" ref="CA96:CA101" si="150">SUM(BW96:BZ96)</f>
        <v>85.6</v>
      </c>
      <c r="CB96" s="4"/>
      <c r="CC96" s="26">
        <f>BZ96</f>
        <v>21.4</v>
      </c>
      <c r="CD96" s="4">
        <f t="shared" ref="CD96:CD98" si="151">CC96</f>
        <v>21.4</v>
      </c>
      <c r="CE96" s="4">
        <f t="shared" ref="CE96:CE98" si="152">CD96</f>
        <v>21.4</v>
      </c>
      <c r="CF96" s="3">
        <f t="shared" ref="CF96:CF98" si="153">CE96</f>
        <v>21.4</v>
      </c>
      <c r="CG96" s="528">
        <f t="shared" ref="CG96:CG101" si="154">SUM(CC96:CF96)</f>
        <v>85.6</v>
      </c>
      <c r="CH96" s="4"/>
      <c r="CI96" s="26">
        <f>CF96</f>
        <v>21.4</v>
      </c>
      <c r="CJ96" s="4">
        <f t="shared" ref="CJ96:CJ98" si="155">CI96</f>
        <v>21.4</v>
      </c>
      <c r="CK96" s="4">
        <f t="shared" ref="CK96:CK98" si="156">CJ96</f>
        <v>21.4</v>
      </c>
      <c r="CL96" s="3">
        <f t="shared" ref="CL96:CL98" si="157">CK96</f>
        <v>21.4</v>
      </c>
      <c r="CM96" s="528">
        <f t="shared" ref="CM96:CM101" si="158">SUM(CI96:CL96)</f>
        <v>85.6</v>
      </c>
      <c r="CN96" s="36"/>
      <c r="CO96" s="36"/>
      <c r="CP96" s="36"/>
      <c r="CQ96" s="36"/>
      <c r="CR96" s="36"/>
    </row>
    <row r="97" spans="1:96" ht="12.75" hidden="1" customHeight="1" outlineLevel="1">
      <c r="A97" s="63" t="s">
        <v>27</v>
      </c>
      <c r="B97" s="230"/>
      <c r="C97" s="253">
        <v>0</v>
      </c>
      <c r="D97" s="137">
        <v>0</v>
      </c>
      <c r="E97" s="137">
        <v>0</v>
      </c>
      <c r="F97" s="245">
        <v>0.96199999999999997</v>
      </c>
      <c r="G97" s="254">
        <f t="shared" si="136"/>
        <v>0.96199999999999997</v>
      </c>
      <c r="H97" s="140"/>
      <c r="I97" s="253">
        <v>1.353</v>
      </c>
      <c r="J97" s="137">
        <v>0.93600000000000005</v>
      </c>
      <c r="K97" s="137">
        <v>0.48199999999999998</v>
      </c>
      <c r="L97" s="245">
        <v>0.17</v>
      </c>
      <c r="M97" s="254">
        <f t="shared" si="137"/>
        <v>2.9409999999999998</v>
      </c>
      <c r="N97" s="140"/>
      <c r="O97" s="253">
        <v>1.417</v>
      </c>
      <c r="P97" s="137">
        <v>0.26200000000000001</v>
      </c>
      <c r="Q97" s="137">
        <v>1.1539999999999999</v>
      </c>
      <c r="R97" s="245">
        <f>3.5-O97-P97-Q97</f>
        <v>0.66700000000000026</v>
      </c>
      <c r="S97" s="528">
        <f t="shared" si="138"/>
        <v>3.5000000000000004</v>
      </c>
      <c r="T97" s="5"/>
      <c r="U97" s="28">
        <v>0.90100000000000002</v>
      </c>
      <c r="V97" s="31">
        <v>1.3129999999999999</v>
      </c>
      <c r="W97" s="31">
        <f>0.175+0.224</f>
        <v>0.39900000000000002</v>
      </c>
      <c r="X97" s="581">
        <f>0.964+2.562-U97-V97-W97</f>
        <v>0.91300000000000003</v>
      </c>
      <c r="Y97" s="528">
        <f t="shared" si="139"/>
        <v>3.5259999999999998</v>
      </c>
      <c r="Z97" s="5"/>
      <c r="AA97" s="28">
        <f>0.592+2.87</f>
        <v>3.4620000000000002</v>
      </c>
      <c r="AB97" s="31">
        <v>8.2449999999999992</v>
      </c>
      <c r="AC97" s="31">
        <f>10.103+1.065</f>
        <v>11.167999999999999</v>
      </c>
      <c r="AD97" s="581">
        <f>35.391+10.701-AA97-AB97-AC97</f>
        <v>23.216999999999999</v>
      </c>
      <c r="AE97" s="528">
        <f t="shared" si="140"/>
        <v>46.091999999999999</v>
      </c>
      <c r="AF97" s="5"/>
      <c r="AG97" s="28">
        <f>11.547+0.251</f>
        <v>11.798</v>
      </c>
      <c r="AH97" s="31">
        <f>11.307+0.095</f>
        <v>11.402000000000001</v>
      </c>
      <c r="AI97" s="31">
        <f>3.108+0.291</f>
        <v>3.399</v>
      </c>
      <c r="AJ97" s="581">
        <f>4.589+0.551</f>
        <v>5.1400000000000006</v>
      </c>
      <c r="AK97" s="528">
        <f t="shared" si="141"/>
        <v>31.739000000000004</v>
      </c>
      <c r="AL97" s="5"/>
      <c r="AM97" s="28">
        <v>1.98</v>
      </c>
      <c r="AN97" s="31">
        <v>3.9049999999999998</v>
      </c>
      <c r="AO97" s="31">
        <v>0.17</v>
      </c>
      <c r="AP97" s="581">
        <v>2.923</v>
      </c>
      <c r="AQ97" s="528">
        <f t="shared" si="142"/>
        <v>8.9779999999999998</v>
      </c>
      <c r="AR97" s="2"/>
      <c r="AS97" s="28">
        <v>1.538</v>
      </c>
      <c r="AT97" s="31">
        <v>-1.167</v>
      </c>
      <c r="AU97" s="31">
        <v>0.8</v>
      </c>
      <c r="AV97" s="581">
        <v>1.496</v>
      </c>
      <c r="AW97" s="528">
        <f t="shared" si="143"/>
        <v>2.6669999999999998</v>
      </c>
      <c r="AX97" s="2"/>
      <c r="AY97" s="28">
        <v>5.15</v>
      </c>
      <c r="AZ97" s="31">
        <f>1.842</f>
        <v>1.8420000000000001</v>
      </c>
      <c r="BA97" s="1725">
        <v>1.0029999999999999</v>
      </c>
      <c r="BB97" s="581">
        <v>0.2</v>
      </c>
      <c r="BC97" s="528">
        <f t="shared" si="144"/>
        <v>8.1950000000000003</v>
      </c>
      <c r="BD97" s="2"/>
      <c r="BE97" s="28">
        <v>1.659</v>
      </c>
      <c r="BF97" s="1725">
        <v>4.7759999999999998</v>
      </c>
      <c r="BG97" s="1725">
        <v>4.3</v>
      </c>
      <c r="BH97" s="1725">
        <v>6.7</v>
      </c>
      <c r="BI97" s="528">
        <f t="shared" si="145"/>
        <v>17.434999999999999</v>
      </c>
      <c r="BJ97" s="2"/>
      <c r="BK97" s="28">
        <v>3.2</v>
      </c>
      <c r="BL97" s="1725">
        <v>2.3780000000000001</v>
      </c>
      <c r="BM97" s="1725">
        <v>0.9</v>
      </c>
      <c r="BN97" s="1725">
        <v>2.8</v>
      </c>
      <c r="BO97" s="528">
        <f t="shared" si="146"/>
        <v>9.2780000000000005</v>
      </c>
      <c r="BP97" s="2"/>
      <c r="BQ97" s="26">
        <f>BN97</f>
        <v>2.8</v>
      </c>
      <c r="BR97" s="4">
        <f t="shared" si="147"/>
        <v>2.8</v>
      </c>
      <c r="BS97" s="4">
        <f t="shared" si="147"/>
        <v>2.8</v>
      </c>
      <c r="BT97" s="3">
        <f t="shared" si="147"/>
        <v>2.8</v>
      </c>
      <c r="BU97" s="528">
        <f t="shared" si="148"/>
        <v>11.2</v>
      </c>
      <c r="BV97" s="2"/>
      <c r="BW97" s="26">
        <f>BT97</f>
        <v>2.8</v>
      </c>
      <c r="BX97" s="4">
        <f t="shared" si="149"/>
        <v>2.8</v>
      </c>
      <c r="BY97" s="4">
        <f t="shared" si="149"/>
        <v>2.8</v>
      </c>
      <c r="BZ97" s="3">
        <f t="shared" si="149"/>
        <v>2.8</v>
      </c>
      <c r="CA97" s="528">
        <f t="shared" si="150"/>
        <v>11.2</v>
      </c>
      <c r="CB97" s="2"/>
      <c r="CC97" s="26">
        <f>BZ97</f>
        <v>2.8</v>
      </c>
      <c r="CD97" s="4">
        <f t="shared" si="151"/>
        <v>2.8</v>
      </c>
      <c r="CE97" s="4">
        <f t="shared" si="152"/>
        <v>2.8</v>
      </c>
      <c r="CF97" s="3">
        <f t="shared" si="153"/>
        <v>2.8</v>
      </c>
      <c r="CG97" s="528">
        <f t="shared" si="154"/>
        <v>11.2</v>
      </c>
      <c r="CH97" s="2"/>
      <c r="CI97" s="26">
        <f>CF97</f>
        <v>2.8</v>
      </c>
      <c r="CJ97" s="4">
        <f t="shared" si="155"/>
        <v>2.8</v>
      </c>
      <c r="CK97" s="4">
        <f t="shared" si="156"/>
        <v>2.8</v>
      </c>
      <c r="CL97" s="3">
        <f t="shared" si="157"/>
        <v>2.8</v>
      </c>
      <c r="CM97" s="528">
        <f t="shared" si="158"/>
        <v>11.2</v>
      </c>
      <c r="CN97" s="36"/>
      <c r="CO97" s="36"/>
      <c r="CP97" s="36"/>
      <c r="CQ97" s="36"/>
      <c r="CR97" s="36"/>
    </row>
    <row r="98" spans="1:96" ht="12.75" hidden="1" customHeight="1" outlineLevel="1">
      <c r="A98" s="63" t="s">
        <v>122</v>
      </c>
      <c r="B98" s="230"/>
      <c r="C98" s="253">
        <v>0</v>
      </c>
      <c r="D98" s="137">
        <v>0</v>
      </c>
      <c r="E98" s="137">
        <v>0</v>
      </c>
      <c r="F98" s="245">
        <f>0-C98-D98-E98</f>
        <v>0</v>
      </c>
      <c r="G98" s="254">
        <f t="shared" si="136"/>
        <v>0</v>
      </c>
      <c r="H98" s="140"/>
      <c r="I98" s="253">
        <v>0</v>
      </c>
      <c r="J98" s="137"/>
      <c r="K98" s="137">
        <v>0</v>
      </c>
      <c r="L98" s="245">
        <v>0</v>
      </c>
      <c r="M98" s="254">
        <f t="shared" si="137"/>
        <v>0</v>
      </c>
      <c r="N98" s="140"/>
      <c r="O98" s="253">
        <v>0</v>
      </c>
      <c r="P98" s="137">
        <v>0</v>
      </c>
      <c r="Q98" s="137">
        <v>0</v>
      </c>
      <c r="R98" s="245">
        <v>0</v>
      </c>
      <c r="S98" s="528">
        <f t="shared" si="138"/>
        <v>0</v>
      </c>
      <c r="T98" s="5"/>
      <c r="U98" s="28">
        <v>0</v>
      </c>
      <c r="V98" s="31">
        <v>-3.3559999999999999</v>
      </c>
      <c r="W98" s="31">
        <v>0</v>
      </c>
      <c r="X98" s="581">
        <f>-3.356-U98-V98-W98</f>
        <v>0</v>
      </c>
      <c r="Y98" s="528">
        <f t="shared" si="139"/>
        <v>-3.3559999999999999</v>
      </c>
      <c r="Z98" s="5"/>
      <c r="AA98" s="28">
        <v>0</v>
      </c>
      <c r="AB98" s="31">
        <v>0</v>
      </c>
      <c r="AC98" s="31">
        <v>0</v>
      </c>
      <c r="AD98" s="581">
        <v>0</v>
      </c>
      <c r="AE98" s="528">
        <f t="shared" si="140"/>
        <v>0</v>
      </c>
      <c r="AF98" s="5"/>
      <c r="AG98" s="28">
        <v>0</v>
      </c>
      <c r="AH98" s="31">
        <v>0</v>
      </c>
      <c r="AI98" s="31">
        <v>0</v>
      </c>
      <c r="AJ98" s="581">
        <v>0</v>
      </c>
      <c r="AK98" s="528">
        <f t="shared" si="141"/>
        <v>0</v>
      </c>
      <c r="AL98" s="5"/>
      <c r="AM98" s="28">
        <v>0</v>
      </c>
      <c r="AN98" s="31">
        <v>0</v>
      </c>
      <c r="AO98" s="31">
        <v>-3.3000000000000002E-2</v>
      </c>
      <c r="AP98" s="581">
        <v>0</v>
      </c>
      <c r="AQ98" s="528">
        <f t="shared" si="142"/>
        <v>-3.3000000000000002E-2</v>
      </c>
      <c r="AR98" s="2"/>
      <c r="AS98" s="28">
        <v>0</v>
      </c>
      <c r="AT98" s="31">
        <v>0</v>
      </c>
      <c r="AU98" s="31">
        <v>3.5000000000000003E-2</v>
      </c>
      <c r="AV98" s="581">
        <v>0</v>
      </c>
      <c r="AW98" s="528">
        <f t="shared" si="143"/>
        <v>3.5000000000000003E-2</v>
      </c>
      <c r="AX98" s="2"/>
      <c r="AY98" s="28">
        <v>0</v>
      </c>
      <c r="AZ98" s="31">
        <v>0</v>
      </c>
      <c r="BA98" s="1725">
        <v>0</v>
      </c>
      <c r="BB98" s="581">
        <v>0</v>
      </c>
      <c r="BC98" s="528">
        <f t="shared" si="144"/>
        <v>0</v>
      </c>
      <c r="BD98" s="2"/>
      <c r="BE98" s="28">
        <v>0</v>
      </c>
      <c r="BF98" s="1725">
        <v>0</v>
      </c>
      <c r="BG98" s="1725">
        <v>0</v>
      </c>
      <c r="BH98" s="1725">
        <v>0</v>
      </c>
      <c r="BI98" s="528">
        <f t="shared" si="145"/>
        <v>0</v>
      </c>
      <c r="BJ98" s="2"/>
      <c r="BK98" s="28">
        <f>BH98</f>
        <v>0</v>
      </c>
      <c r="BL98" s="1725">
        <v>0</v>
      </c>
      <c r="BM98" s="1725">
        <f>-BM108*BM49</f>
        <v>-31.078040000000001</v>
      </c>
      <c r="BN98" s="1725">
        <v>15.1</v>
      </c>
      <c r="BO98" s="528">
        <f t="shared" si="146"/>
        <v>-15.978040000000002</v>
      </c>
      <c r="BP98" s="2"/>
      <c r="BQ98" s="26">
        <f>BN98</f>
        <v>15.1</v>
      </c>
      <c r="BR98" s="4">
        <f t="shared" si="147"/>
        <v>15.1</v>
      </c>
      <c r="BS98" s="4">
        <f t="shared" si="147"/>
        <v>15.1</v>
      </c>
      <c r="BT98" s="3">
        <f t="shared" si="147"/>
        <v>15.1</v>
      </c>
      <c r="BU98" s="528">
        <f t="shared" si="148"/>
        <v>60.4</v>
      </c>
      <c r="BV98" s="2"/>
      <c r="BW98" s="26">
        <f>BT98</f>
        <v>15.1</v>
      </c>
      <c r="BX98" s="4">
        <f t="shared" si="149"/>
        <v>15.1</v>
      </c>
      <c r="BY98" s="4">
        <f t="shared" si="149"/>
        <v>15.1</v>
      </c>
      <c r="BZ98" s="3">
        <f t="shared" si="149"/>
        <v>15.1</v>
      </c>
      <c r="CA98" s="528">
        <f t="shared" si="150"/>
        <v>60.4</v>
      </c>
      <c r="CB98" s="2"/>
      <c r="CC98" s="26">
        <f>BZ98</f>
        <v>15.1</v>
      </c>
      <c r="CD98" s="4">
        <f t="shared" si="151"/>
        <v>15.1</v>
      </c>
      <c r="CE98" s="4">
        <f t="shared" si="152"/>
        <v>15.1</v>
      </c>
      <c r="CF98" s="3">
        <f t="shared" si="153"/>
        <v>15.1</v>
      </c>
      <c r="CG98" s="528">
        <f t="shared" si="154"/>
        <v>60.4</v>
      </c>
      <c r="CH98" s="2"/>
      <c r="CI98" s="26">
        <f>CF98</f>
        <v>15.1</v>
      </c>
      <c r="CJ98" s="4">
        <f t="shared" si="155"/>
        <v>15.1</v>
      </c>
      <c r="CK98" s="4">
        <f t="shared" si="156"/>
        <v>15.1</v>
      </c>
      <c r="CL98" s="3">
        <f t="shared" si="157"/>
        <v>15.1</v>
      </c>
      <c r="CM98" s="528">
        <f t="shared" si="158"/>
        <v>60.4</v>
      </c>
      <c r="CN98" s="36"/>
      <c r="CO98" s="36"/>
      <c r="CP98" s="36"/>
      <c r="CQ98" s="36"/>
      <c r="CR98" s="36"/>
    </row>
    <row r="99" spans="1:96" ht="12.75" hidden="1" customHeight="1" outlineLevel="1">
      <c r="A99" s="63" t="s">
        <v>123</v>
      </c>
      <c r="B99" s="230"/>
      <c r="C99" s="253">
        <v>4.4379999999999997</v>
      </c>
      <c r="D99" s="137">
        <v>4.5469999999999997</v>
      </c>
      <c r="E99" s="137">
        <v>-1.4319999999999999</v>
      </c>
      <c r="F99" s="255">
        <v>4.6849999999999996</v>
      </c>
      <c r="G99" s="254">
        <f t="shared" si="136"/>
        <v>12.238</v>
      </c>
      <c r="H99" s="140"/>
      <c r="I99" s="253">
        <v>0</v>
      </c>
      <c r="J99" s="137">
        <v>-0.30499999999999999</v>
      </c>
      <c r="K99" s="137">
        <v>6.4950000000000001</v>
      </c>
      <c r="L99" s="255">
        <v>0</v>
      </c>
      <c r="M99" s="254">
        <f t="shared" si="137"/>
        <v>6.19</v>
      </c>
      <c r="N99" s="140"/>
      <c r="O99" s="253">
        <v>7.8479999999999999</v>
      </c>
      <c r="P99" s="137">
        <v>0</v>
      </c>
      <c r="Q99" s="137">
        <v>10.795999999999999</v>
      </c>
      <c r="R99" s="255">
        <f>17.987-O99-P99-Q99</f>
        <v>-0.65700000000000003</v>
      </c>
      <c r="S99" s="528">
        <f t="shared" si="138"/>
        <v>17.986999999999998</v>
      </c>
      <c r="T99" s="5"/>
      <c r="U99" s="28">
        <v>0</v>
      </c>
      <c r="V99" s="31">
        <v>9.8330000000000002</v>
      </c>
      <c r="W99" s="31">
        <v>0</v>
      </c>
      <c r="X99" s="582">
        <f>18.963-U99-V99-W99</f>
        <v>9.1300000000000008</v>
      </c>
      <c r="Y99" s="528">
        <f t="shared" si="139"/>
        <v>18.963000000000001</v>
      </c>
      <c r="Z99" s="5"/>
      <c r="AA99" s="28">
        <v>0</v>
      </c>
      <c r="AB99" s="583">
        <v>3.34</v>
      </c>
      <c r="AC99" s="583">
        <v>0</v>
      </c>
      <c r="AD99" s="582">
        <f>13.452-AA99-AB99-AC99</f>
        <v>10.112</v>
      </c>
      <c r="AE99" s="528">
        <f t="shared" si="140"/>
        <v>13.452</v>
      </c>
      <c r="AF99" s="5"/>
      <c r="AG99" s="28">
        <v>6.1589999999999998</v>
      </c>
      <c r="AH99" s="31">
        <v>5.2030000000000003</v>
      </c>
      <c r="AI99" s="31">
        <f>9.672</f>
        <v>9.6720000000000006</v>
      </c>
      <c r="AJ99" s="581">
        <v>4.1029999999999998</v>
      </c>
      <c r="AK99" s="528">
        <f t="shared" si="141"/>
        <v>25.137</v>
      </c>
      <c r="AL99" s="5"/>
      <c r="AM99" s="28">
        <v>3.31</v>
      </c>
      <c r="AN99" s="31">
        <v>19.247</v>
      </c>
      <c r="AO99" s="31">
        <v>1.1240000000000001</v>
      </c>
      <c r="AP99" s="581">
        <v>10.215</v>
      </c>
      <c r="AQ99" s="528">
        <f t="shared" si="142"/>
        <v>33.896000000000001</v>
      </c>
      <c r="AR99" s="2"/>
      <c r="AS99" s="28">
        <v>2.1349999999999998</v>
      </c>
      <c r="AT99" s="31">
        <v>0.74199999999999999</v>
      </c>
      <c r="AU99" s="31">
        <v>11.1</v>
      </c>
      <c r="AV99" s="581">
        <v>-0.57899999999999996</v>
      </c>
      <c r="AW99" s="528">
        <f t="shared" si="143"/>
        <v>13.398</v>
      </c>
      <c r="AX99" s="2"/>
      <c r="AY99" s="28">
        <v>0</v>
      </c>
      <c r="AZ99" s="31">
        <v>4.9560000000000004</v>
      </c>
      <c r="BA99" s="1725">
        <v>-0.11799999999999999</v>
      </c>
      <c r="BB99" s="581">
        <v>8.8000000000000007</v>
      </c>
      <c r="BC99" s="528">
        <f t="shared" si="144"/>
        <v>13.638000000000002</v>
      </c>
      <c r="BD99" s="2"/>
      <c r="BE99" s="28">
        <v>0</v>
      </c>
      <c r="BF99" s="1725">
        <v>5.0890000000000004</v>
      </c>
      <c r="BG99" s="1725">
        <v>0.6</v>
      </c>
      <c r="BH99" s="1725">
        <v>0</v>
      </c>
      <c r="BI99" s="528">
        <f t="shared" si="145"/>
        <v>5.6890000000000001</v>
      </c>
      <c r="BJ99" s="2"/>
      <c r="BK99" s="28">
        <v>9.6999999999999993</v>
      </c>
      <c r="BL99" s="1725">
        <v>0</v>
      </c>
      <c r="BM99" s="1725">
        <v>0</v>
      </c>
      <c r="BN99" s="1725">
        <v>2.7</v>
      </c>
      <c r="BO99" s="528">
        <f t="shared" si="146"/>
        <v>12.399999999999999</v>
      </c>
      <c r="BP99" s="2"/>
      <c r="BQ99" s="26">
        <v>0</v>
      </c>
      <c r="BR99" s="4">
        <v>0</v>
      </c>
      <c r="BS99" s="4">
        <v>0</v>
      </c>
      <c r="BT99" s="3">
        <v>0</v>
      </c>
      <c r="BU99" s="528">
        <f t="shared" si="148"/>
        <v>0</v>
      </c>
      <c r="BV99" s="2"/>
      <c r="BW99" s="26">
        <v>0</v>
      </c>
      <c r="BX99" s="4">
        <v>0</v>
      </c>
      <c r="BY99" s="4">
        <v>0</v>
      </c>
      <c r="BZ99" s="3">
        <v>0</v>
      </c>
      <c r="CA99" s="528">
        <f t="shared" si="150"/>
        <v>0</v>
      </c>
      <c r="CB99" s="2"/>
      <c r="CC99" s="26">
        <v>0</v>
      </c>
      <c r="CD99" s="4">
        <v>0</v>
      </c>
      <c r="CE99" s="4">
        <v>0</v>
      </c>
      <c r="CF99" s="3">
        <v>0</v>
      </c>
      <c r="CG99" s="528">
        <f t="shared" si="154"/>
        <v>0</v>
      </c>
      <c r="CH99" s="2"/>
      <c r="CI99" s="26">
        <v>0</v>
      </c>
      <c r="CJ99" s="4">
        <v>0</v>
      </c>
      <c r="CK99" s="4">
        <v>0</v>
      </c>
      <c r="CL99" s="3">
        <v>0</v>
      </c>
      <c r="CM99" s="528">
        <f t="shared" si="158"/>
        <v>0</v>
      </c>
      <c r="CN99" s="36"/>
      <c r="CO99" s="36"/>
      <c r="CP99" s="36"/>
      <c r="CQ99" s="36"/>
      <c r="CR99" s="36"/>
    </row>
    <row r="100" spans="1:96" ht="12.75" hidden="1" customHeight="1" outlineLevel="1">
      <c r="A100" s="63" t="s">
        <v>426</v>
      </c>
      <c r="B100" s="140"/>
      <c r="C100" s="253">
        <f>2.19+1.377+1.502</f>
        <v>5.069</v>
      </c>
      <c r="D100" s="137">
        <f>2.137+0.67-15.346</f>
        <v>-12.539</v>
      </c>
      <c r="E100" s="137">
        <f>2.388+0.445</f>
        <v>2.8329999999999997</v>
      </c>
      <c r="F100" s="245">
        <f>2.35+2</f>
        <v>4.3499999999999996</v>
      </c>
      <c r="G100" s="254">
        <f t="shared" si="136"/>
        <v>-0.28700000000000081</v>
      </c>
      <c r="H100" s="140"/>
      <c r="I100" s="253">
        <v>0</v>
      </c>
      <c r="J100" s="137">
        <v>0</v>
      </c>
      <c r="K100" s="137">
        <v>0</v>
      </c>
      <c r="L100" s="245">
        <v>0</v>
      </c>
      <c r="M100" s="254">
        <f t="shared" si="137"/>
        <v>0</v>
      </c>
      <c r="N100" s="140"/>
      <c r="O100" s="253">
        <v>0</v>
      </c>
      <c r="P100" s="137">
        <v>0</v>
      </c>
      <c r="Q100" s="137">
        <v>0</v>
      </c>
      <c r="R100" s="245">
        <v>0</v>
      </c>
      <c r="S100" s="528">
        <f t="shared" si="138"/>
        <v>0</v>
      </c>
      <c r="T100" s="5"/>
      <c r="U100" s="28">
        <v>0</v>
      </c>
      <c r="V100" s="31">
        <v>0</v>
      </c>
      <c r="W100" s="31">
        <v>0</v>
      </c>
      <c r="X100" s="581">
        <f>0.228-U100-V100-W100</f>
        <v>0.22800000000000001</v>
      </c>
      <c r="Y100" s="528">
        <f t="shared" si="139"/>
        <v>0.22800000000000001</v>
      </c>
      <c r="Z100" s="5"/>
      <c r="AA100" s="28">
        <v>-0.16300000000000001</v>
      </c>
      <c r="AB100" s="31">
        <v>0</v>
      </c>
      <c r="AC100" s="31">
        <v>0</v>
      </c>
      <c r="AD100" s="581">
        <f>69.3+3.006-AA100-AB100-AC100</f>
        <v>72.468999999999994</v>
      </c>
      <c r="AE100" s="528">
        <f t="shared" si="140"/>
        <v>72.305999999999997</v>
      </c>
      <c r="AF100" s="5"/>
      <c r="AG100" s="28">
        <v>1.2190000000000001</v>
      </c>
      <c r="AH100" s="31">
        <v>0</v>
      </c>
      <c r="AI100" s="31">
        <v>0</v>
      </c>
      <c r="AJ100" s="581">
        <f>30.542+74.153</f>
        <v>104.69500000000001</v>
      </c>
      <c r="AK100" s="528">
        <f t="shared" si="141"/>
        <v>105.914</v>
      </c>
      <c r="AL100" s="5"/>
      <c r="AM100" s="28">
        <f>0.071-0.047</f>
        <v>2.3999999999999994E-2</v>
      </c>
      <c r="AN100" s="31">
        <f>0.066</f>
        <v>6.6000000000000003E-2</v>
      </c>
      <c r="AO100" s="31">
        <v>0</v>
      </c>
      <c r="AP100" s="581">
        <f>-6.198+12.613+1.5</f>
        <v>7.9149999999999991</v>
      </c>
      <c r="AQ100" s="528">
        <f t="shared" si="142"/>
        <v>8.004999999999999</v>
      </c>
      <c r="AR100" s="2"/>
      <c r="AS100" s="28">
        <f>3.227+0.111-0.054</f>
        <v>3.2840000000000003</v>
      </c>
      <c r="AT100" s="31">
        <f>3.418+0.07</f>
        <v>3.488</v>
      </c>
      <c r="AU100" s="31">
        <v>0</v>
      </c>
      <c r="AV100" s="581">
        <f>2.843-1.191+75.973</f>
        <v>77.625</v>
      </c>
      <c r="AW100" s="528">
        <f t="shared" si="143"/>
        <v>84.397000000000006</v>
      </c>
      <c r="AX100" s="2"/>
      <c r="AY100" s="28">
        <f>0.195+0.234</f>
        <v>0.42900000000000005</v>
      </c>
      <c r="AZ100" s="31">
        <f>0.23+0.832</f>
        <v>1.0620000000000001</v>
      </c>
      <c r="BA100" s="1725">
        <v>9.2999999999999999E-2</v>
      </c>
      <c r="BB100" s="581">
        <f>0.8+0+11.3</f>
        <v>12.100000000000001</v>
      </c>
      <c r="BC100" s="528">
        <f t="shared" si="144"/>
        <v>13.684000000000001</v>
      </c>
      <c r="BD100" s="2"/>
      <c r="BE100" s="28">
        <f>0.366-0.003</f>
        <v>0.36299999999999999</v>
      </c>
      <c r="BF100" s="1725">
        <f>0.161</f>
        <v>0.161</v>
      </c>
      <c r="BG100" s="1725">
        <v>0.4</v>
      </c>
      <c r="BH100" s="1725">
        <f>0.6+15.3</f>
        <v>15.9</v>
      </c>
      <c r="BI100" s="528">
        <f t="shared" si="145"/>
        <v>16.824000000000002</v>
      </c>
      <c r="BJ100" s="2"/>
      <c r="BK100" s="28">
        <v>2.6</v>
      </c>
      <c r="BL100" s="1725">
        <f>3.703-0.046</f>
        <v>3.657</v>
      </c>
      <c r="BM100" s="1725">
        <f>5.4+3.3</f>
        <v>8.6999999999999993</v>
      </c>
      <c r="BN100" s="1725">
        <f>-2.1-0.3</f>
        <v>-2.4</v>
      </c>
      <c r="BO100" s="528">
        <f t="shared" si="146"/>
        <v>12.556999999999999</v>
      </c>
      <c r="BP100" s="2"/>
      <c r="BQ100" s="26"/>
      <c r="BR100" s="4"/>
      <c r="BS100" s="4"/>
      <c r="BT100" s="3"/>
      <c r="BU100" s="528">
        <f t="shared" si="148"/>
        <v>0</v>
      </c>
      <c r="BV100" s="2"/>
      <c r="BW100" s="26"/>
      <c r="BX100" s="4"/>
      <c r="BY100" s="4"/>
      <c r="BZ100" s="3"/>
      <c r="CA100" s="528">
        <f t="shared" si="150"/>
        <v>0</v>
      </c>
      <c r="CB100" s="2"/>
      <c r="CC100" s="26"/>
      <c r="CD100" s="4"/>
      <c r="CE100" s="4"/>
      <c r="CF100" s="3"/>
      <c r="CG100" s="528">
        <f t="shared" si="154"/>
        <v>0</v>
      </c>
      <c r="CH100" s="2"/>
      <c r="CI100" s="26"/>
      <c r="CJ100" s="4"/>
      <c r="CK100" s="4"/>
      <c r="CL100" s="3"/>
      <c r="CM100" s="528">
        <f t="shared" si="158"/>
        <v>0</v>
      </c>
      <c r="CN100" s="36"/>
      <c r="CO100" s="36"/>
      <c r="CP100" s="36"/>
      <c r="CQ100" s="36"/>
      <c r="CR100" s="36"/>
    </row>
    <row r="101" spans="1:96" ht="12.75" hidden="1" customHeight="1" outlineLevel="1">
      <c r="A101" s="65" t="s">
        <v>200</v>
      </c>
      <c r="B101" s="141"/>
      <c r="C101" s="248">
        <f>C95+(SUM(C106:C113)*C49)</f>
        <v>5.1514399999999974</v>
      </c>
      <c r="D101" s="138">
        <f>D95+(SUM(D106:D113)*D49)</f>
        <v>0.257220000000002</v>
      </c>
      <c r="E101" s="138">
        <f>E95+(SUM(E106:E113)*E49)</f>
        <v>5.0028200000000007</v>
      </c>
      <c r="F101" s="244">
        <f>F95+(SUM(F106:F113)*F49)</f>
        <v>25.78745</v>
      </c>
      <c r="G101" s="251">
        <f t="shared" si="136"/>
        <v>36.198930000000004</v>
      </c>
      <c r="H101" s="52"/>
      <c r="I101" s="248">
        <f>I95+(SUM(I106:I113)*I49)</f>
        <v>5.4612800000000004</v>
      </c>
      <c r="J101" s="138">
        <f>J95+(SUM(J106:J113)*J49)</f>
        <v>5.4469599999999989</v>
      </c>
      <c r="K101" s="138">
        <f>K95+(SUM(K106:K113)*K49)</f>
        <v>21.047999999999998</v>
      </c>
      <c r="L101" s="244">
        <f>L95+(SUM(L106:L113)*L49)</f>
        <v>-6.2088899999999985</v>
      </c>
      <c r="M101" s="251">
        <f t="shared" si="137"/>
        <v>25.747349999999997</v>
      </c>
      <c r="N101" s="52"/>
      <c r="O101" s="248">
        <f>O95+(SUM(O106:O113)*O49)</f>
        <v>7.5182399999999969</v>
      </c>
      <c r="P101" s="138">
        <f>P95+(SUM(P106:P113)*P49)</f>
        <v>4.9795600000000011</v>
      </c>
      <c r="Q101" s="138">
        <f>Q95+(SUM(Q106:Q113)*Q49)</f>
        <v>6.9814399999999956</v>
      </c>
      <c r="R101" s="244">
        <f>S95+(SUM(S106:S113)*S49)-O101-P101-Q101</f>
        <v>5.9900600000000015</v>
      </c>
      <c r="S101" s="27">
        <f t="shared" si="138"/>
        <v>25.469299999999997</v>
      </c>
      <c r="T101" s="224"/>
      <c r="U101" s="26">
        <f>U95+(SUM(U106:U113)*U49)</f>
        <v>4.5882100000000001</v>
      </c>
      <c r="V101" s="4">
        <f>V95+(SUM(V106:V113)*V49)</f>
        <v>32.147320000000001</v>
      </c>
      <c r="W101" s="4">
        <f>W95+(SUM(W106:W113)*W49)</f>
        <v>5.4523700000000019</v>
      </c>
      <c r="X101" s="3">
        <f>Y95+(SUM(Y106:Y113)*Y49)-U101-V101-W101</f>
        <v>16.657339999999984</v>
      </c>
      <c r="Y101" s="27">
        <f t="shared" si="139"/>
        <v>58.845239999999983</v>
      </c>
      <c r="Z101" s="224"/>
      <c r="AA101" s="26">
        <f>AA95+(SUM(AA106:AA113)*AA49)</f>
        <v>7.0186000000000011</v>
      </c>
      <c r="AB101" s="4">
        <f>AB95+(SUM(AB106:AB113)*AB49)</f>
        <v>10.431859999999997</v>
      </c>
      <c r="AC101" s="4">
        <f>AC95+(SUM(AC106:AC113)*AC49)</f>
        <v>11.0275</v>
      </c>
      <c r="AD101" s="3">
        <f>AE95+(SUM(AE106:AE113)*AE49)-AA101-AB101-AC101</f>
        <v>-25.00908000000004</v>
      </c>
      <c r="AE101" s="27">
        <f t="shared" si="140"/>
        <v>3.4688799999999596</v>
      </c>
      <c r="AF101" s="5"/>
      <c r="AG101" s="26">
        <f>AG95+(SUM(AG106:AG113)*AG49)</f>
        <v>15.186440000000001</v>
      </c>
      <c r="AH101" s="4">
        <f>AH95+(SUM(AH106:AH113)*AH49)</f>
        <v>12.447279999999999</v>
      </c>
      <c r="AI101" s="4">
        <f>AI95+(SUM(AI106:AI113)*AI49)</f>
        <v>12.055400000000006</v>
      </c>
      <c r="AJ101" s="3">
        <f>AJ95+(SUM(AJ106:AJ113)*AJ49)</f>
        <v>45.566640000000007</v>
      </c>
      <c r="AK101" s="27">
        <f t="shared" si="141"/>
        <v>85.255760000000009</v>
      </c>
      <c r="AL101" s="5"/>
      <c r="AM101" s="26">
        <f>AM95+(SUM(AM106:AM113)*AM49)</f>
        <v>18.577719999999999</v>
      </c>
      <c r="AN101" s="4">
        <f>AN95+(SUM(AN106:AN113)*AN49)</f>
        <v>15.90832</v>
      </c>
      <c r="AO101" s="4">
        <f>AO95+(SUM(AO106:AO113)*AO49)</f>
        <v>9.5157879999999988</v>
      </c>
      <c r="AP101" s="3">
        <f>AP95+(SUM(AP106:AP113)*AP49)</f>
        <v>26.872938999999999</v>
      </c>
      <c r="AQ101" s="27">
        <f t="shared" si="142"/>
        <v>70.874767000000006</v>
      </c>
      <c r="AR101" s="2"/>
      <c r="AS101" s="26">
        <f>AS95+(SUM(AS106:AS113)*AS49)</f>
        <v>9.6126799999999974</v>
      </c>
      <c r="AT101" s="4">
        <f>AT95+(SUM(AT106:AT113)*AT49)</f>
        <v>8.8227699999999984</v>
      </c>
      <c r="AU101" s="4">
        <f>AU95+(SUM(AU106:AU113)*AU49)</f>
        <v>12.058380000000003</v>
      </c>
      <c r="AV101" s="3">
        <f>AV95+(SUM(AV106:AV113)*AV49)</f>
        <v>34.264160000000004</v>
      </c>
      <c r="AW101" s="27">
        <f t="shared" si="143"/>
        <v>64.757990000000007</v>
      </c>
      <c r="AX101" s="2"/>
      <c r="AY101" s="26">
        <f>AY95+(SUM(AY106:AY113)*AY49)</f>
        <v>9.5355399999999975</v>
      </c>
      <c r="AZ101" s="4">
        <f>AZ95+(SUM(AZ106:AZ113)*AZ49)</f>
        <v>9.8060500000000026</v>
      </c>
      <c r="BA101" s="4">
        <f>BA95+(SUM(BA106:BA113)*BA49)</f>
        <v>7.3505800000000008</v>
      </c>
      <c r="BB101" s="3">
        <f>BB95+(SUM(BB106:BB113)*BB49)</f>
        <v>14.156879999999994</v>
      </c>
      <c r="BC101" s="27">
        <f t="shared" si="144"/>
        <v>40.849049999999991</v>
      </c>
      <c r="BD101" s="2"/>
      <c r="BE101" s="26">
        <f>BE95+(SUM(BE106:BE113)*BE49)</f>
        <v>7.7165999999999961</v>
      </c>
      <c r="BF101" s="4">
        <f>BF95+(SUM(BF106:BF113)*BF49)</f>
        <v>17.935600000000001</v>
      </c>
      <c r="BG101" s="4">
        <f>BG95+(SUM(BG106:BG113)*BG49)</f>
        <v>6.0883000000000003</v>
      </c>
      <c r="BH101" s="3">
        <f>BH95+(SUM(BH106:BH113)*BH49)</f>
        <v>10.463010000000001</v>
      </c>
      <c r="BI101" s="27">
        <f t="shared" si="145"/>
        <v>42.203509999999994</v>
      </c>
      <c r="BJ101" s="2"/>
      <c r="BK101" s="26">
        <f>BK95+(SUM(BK106:BK113)*BK49)</f>
        <v>8.2551200000000051</v>
      </c>
      <c r="BL101" s="4">
        <f>BL95+(SUM(BL106:BL113)*BL49)</f>
        <v>12.4968</v>
      </c>
      <c r="BM101" s="4">
        <f>BM95+(SUM(BM106:BM113)*BM49)</f>
        <v>11.760979999999996</v>
      </c>
      <c r="BN101" s="3">
        <f>BN95+(SUM(BN106:BN113)*BN49)</f>
        <v>-107.54963999999993</v>
      </c>
      <c r="BO101" s="27">
        <f t="shared" si="146"/>
        <v>-75.036739999999924</v>
      </c>
      <c r="BP101" s="2"/>
      <c r="BQ101" s="26">
        <f>BQ95+(SUM(BQ106:BQ113)*BQ49)</f>
        <v>23.749568793900004</v>
      </c>
      <c r="BR101" s="4">
        <f>BR95+(SUM(BR106:BR113)*BR49)</f>
        <v>23.746589093506138</v>
      </c>
      <c r="BS101" s="4">
        <f>BS95+(SUM(BS106:BS113)*BS49)</f>
        <v>23.749585797119565</v>
      </c>
      <c r="BT101" s="3">
        <f>BT95+(SUM(BT106:BT113)*BT49)</f>
        <v>23.756980713581697</v>
      </c>
      <c r="BU101" s="27">
        <f t="shared" si="148"/>
        <v>95.002724398107404</v>
      </c>
      <c r="BV101" s="2"/>
      <c r="BW101" s="26">
        <f>BW95+(SUM(BW106:BW113)*BW49)</f>
        <v>23.789890808845996</v>
      </c>
      <c r="BX101" s="4">
        <f>BX95+(SUM(BX106:BX113)*BX49)</f>
        <v>23.809417747979975</v>
      </c>
      <c r="BY101" s="4">
        <f>BY95+(SUM(BY106:BY113)*BY49)</f>
        <v>23.834244786983675</v>
      </c>
      <c r="BZ101" s="3">
        <f>BZ95+(SUM(BZ106:BZ113)*BZ49)</f>
        <v>23.862792813998915</v>
      </c>
      <c r="CA101" s="27">
        <f t="shared" si="150"/>
        <v>95.296346157808557</v>
      </c>
      <c r="CB101" s="2"/>
      <c r="CC101" s="26">
        <f>CC95+(SUM(CC106:CC113)*CC49)</f>
        <v>23.89210102929345</v>
      </c>
      <c r="CD101" s="4">
        <f>CD95+(SUM(CD106:CD113)*CD49)</f>
        <v>23.894000225705732</v>
      </c>
      <c r="CE101" s="4">
        <f>CE95+(SUM(CE106:CE113)*CE49)</f>
        <v>23.904325085322427</v>
      </c>
      <c r="CF101" s="3">
        <f>CF95+(SUM(CF106:CF113)*CF49)</f>
        <v>23.920662643918661</v>
      </c>
      <c r="CG101" s="27">
        <f t="shared" si="154"/>
        <v>95.611088984240268</v>
      </c>
      <c r="CH101" s="2"/>
      <c r="CI101" s="26">
        <f>CI95+(SUM(CI106:CI113)*CI49)</f>
        <v>23.938618996276933</v>
      </c>
      <c r="CJ101" s="4">
        <f>CJ95+(SUM(CJ106:CJ113)*CJ49)</f>
        <v>23.905822084519304</v>
      </c>
      <c r="CK101" s="4">
        <f>CK95+(SUM(CK106:CK113)*CK49)</f>
        <v>23.888420299923713</v>
      </c>
      <c r="CL101" s="3">
        <f>CL95+(SUM(CL106:CL113)*CL49)</f>
        <v>23.882170505068473</v>
      </c>
      <c r="CM101" s="27">
        <f t="shared" si="158"/>
        <v>95.615031885788426</v>
      </c>
      <c r="CN101" s="36"/>
      <c r="CO101" s="36"/>
      <c r="CP101" s="36"/>
      <c r="CQ101" s="36"/>
      <c r="CR101" s="36"/>
    </row>
    <row r="102" spans="1:96" ht="12.75" hidden="1" customHeight="1" outlineLevel="1">
      <c r="A102" s="502" t="s">
        <v>47</v>
      </c>
      <c r="B102" s="503"/>
      <c r="C102" s="504">
        <f>C94-C95+C101</f>
        <v>16.540999999999979</v>
      </c>
      <c r="D102" s="505">
        <f>D94-D95+D101</f>
        <v>34.316999999999986</v>
      </c>
      <c r="E102" s="505">
        <f>E94-E95+E101</f>
        <v>33.337000000000025</v>
      </c>
      <c r="F102" s="506">
        <f>F94-F95+F101</f>
        <v>54.19300000000004</v>
      </c>
      <c r="G102" s="507">
        <f>G94-G95+G101</f>
        <v>138.38800000000003</v>
      </c>
      <c r="H102" s="508"/>
      <c r="I102" s="504">
        <f>I94-I95+I101</f>
        <v>21.088999999999984</v>
      </c>
      <c r="J102" s="505">
        <f>J94-J95+J101</f>
        <v>29.622000000000064</v>
      </c>
      <c r="K102" s="505">
        <f>K94-K95+K101</f>
        <v>42.424999999999997</v>
      </c>
      <c r="L102" s="506">
        <f>L94-L95+L101</f>
        <v>40.26600000000002</v>
      </c>
      <c r="M102" s="507">
        <f>M94-M95+M101</f>
        <v>133.40200000000004</v>
      </c>
      <c r="N102" s="508"/>
      <c r="O102" s="504">
        <f>O94-O95+O101</f>
        <v>15.408000000000017</v>
      </c>
      <c r="P102" s="505">
        <f>P94-P95+P101</f>
        <v>23.367999999999952</v>
      </c>
      <c r="Q102" s="505">
        <f>Q94-Q95+Q101</f>
        <v>14.125999999999994</v>
      </c>
      <c r="R102" s="506">
        <f>R94-R95+R101</f>
        <v>22.246999999999879</v>
      </c>
      <c r="S102" s="507">
        <f>S94-S95+S101</f>
        <v>75.14899999999983</v>
      </c>
      <c r="T102" s="508"/>
      <c r="U102" s="504">
        <f>U94-U95+U101</f>
        <v>19.135999999999996</v>
      </c>
      <c r="V102" s="505">
        <f>V94-V95+V101</f>
        <v>21.745999999999995</v>
      </c>
      <c r="W102" s="505">
        <f>W94-W95+W101</f>
        <v>29.232000000000006</v>
      </c>
      <c r="X102" s="506">
        <f>X94-X95+X101</f>
        <v>45.352000000000075</v>
      </c>
      <c r="Y102" s="507">
        <f>Y94-Y95+Y101</f>
        <v>115.46600000000007</v>
      </c>
      <c r="Z102" s="508"/>
      <c r="AA102" s="504">
        <f>AA94-AA95+AA101</f>
        <v>65.273000000000067</v>
      </c>
      <c r="AB102" s="505">
        <f>AB94-AB95+AB101</f>
        <v>67.983000000000089</v>
      </c>
      <c r="AC102" s="505">
        <f>AC94-AC95+AC101</f>
        <v>64.967999999999975</v>
      </c>
      <c r="AD102" s="506">
        <f>AD94-AD95+AD101</f>
        <v>-84.847000000000222</v>
      </c>
      <c r="AE102" s="507">
        <f>AE94-AE95+AE101</f>
        <v>113.3769999999999</v>
      </c>
      <c r="AF102" s="509"/>
      <c r="AG102" s="504">
        <f>AG94-AG95+AG101</f>
        <v>22.17900000000007</v>
      </c>
      <c r="AH102" s="505">
        <f>AH94-AH95+AH101</f>
        <v>33.037000000000035</v>
      </c>
      <c r="AI102" s="505">
        <f>AI94-AI95+AI101</f>
        <v>29.075000000000017</v>
      </c>
      <c r="AJ102" s="506">
        <f>AJ94-AJ95+AJ101</f>
        <v>-15.933999999999912</v>
      </c>
      <c r="AK102" s="507">
        <f>AK94-AK95+AK101</f>
        <v>68.357000000000255</v>
      </c>
      <c r="AL102" s="509"/>
      <c r="AM102" s="504">
        <f>AM94-AM95+AM101</f>
        <v>32.231000000000002</v>
      </c>
      <c r="AN102" s="505">
        <f>AN94-AN95+AN101</f>
        <v>28.291000000000064</v>
      </c>
      <c r="AO102" s="505">
        <f>AO94-AO95+AO101</f>
        <v>41.541870660000065</v>
      </c>
      <c r="AP102" s="506">
        <f>AP94-AP95+AP101</f>
        <v>66.046000000000092</v>
      </c>
      <c r="AQ102" s="507">
        <f>AQ94-AQ95+AQ101</f>
        <v>168.10987066000024</v>
      </c>
      <c r="AR102" s="510"/>
      <c r="AS102" s="504">
        <f>AS94-AS95+AS101</f>
        <v>35.365048000000307</v>
      </c>
      <c r="AT102" s="505">
        <f>AT94-AT95+AT101</f>
        <v>52.90460700000002</v>
      </c>
      <c r="AU102" s="505">
        <f>AU94-AU95+AU101</f>
        <v>44.131346200000081</v>
      </c>
      <c r="AV102" s="506">
        <f>AV94-AV95+AV101</f>
        <v>30.637246116800213</v>
      </c>
      <c r="AW102" s="507">
        <f>AW94-AW95+AW101</f>
        <v>163.03824731680066</v>
      </c>
      <c r="AX102" s="510"/>
      <c r="AY102" s="1741">
        <f>AY94-AY95+AY101</f>
        <v>33.480000000000032</v>
      </c>
      <c r="AZ102" s="505">
        <f>AZ94-AZ95+AZ101</f>
        <v>43.010000000000005</v>
      </c>
      <c r="BA102" s="505">
        <f>BA94-BA95+BA101</f>
        <v>48.254560000000033</v>
      </c>
      <c r="BB102" s="506">
        <f>BB94-BB95+BB101</f>
        <v>64.35306000000007</v>
      </c>
      <c r="BC102" s="507">
        <f>BC94-BC95+BC101</f>
        <v>189.09762000000006</v>
      </c>
      <c r="BD102" s="510"/>
      <c r="BE102" s="504">
        <f>BE94-BE95+BE101</f>
        <v>42.806999999999988</v>
      </c>
      <c r="BF102" s="505">
        <f>BF94-BF95+BF101</f>
        <v>58.008000000000031</v>
      </c>
      <c r="BG102" s="505">
        <f>BG94-BG95+BG101</f>
        <v>53.735999999999976</v>
      </c>
      <c r="BH102" s="506">
        <f>BH94-BH95+BH101</f>
        <v>61.84699999999998</v>
      </c>
      <c r="BI102" s="507">
        <f>BI94-BI95+BI101</f>
        <v>216.39800000000002</v>
      </c>
      <c r="BJ102" s="510"/>
      <c r="BK102" s="504">
        <f>BK94-BK95+BK101</f>
        <v>36.047999999999938</v>
      </c>
      <c r="BL102" s="505">
        <f>BL94-BL95+BL101</f>
        <v>62.725000000000051</v>
      </c>
      <c r="BM102" s="505">
        <f>BM94-BM95+BM101</f>
        <v>96.563909999999993</v>
      </c>
      <c r="BN102" s="506">
        <f>BN94-BN95+BN101</f>
        <v>-38.536000000000001</v>
      </c>
      <c r="BO102" s="507">
        <f>BO94-BO95+BO101</f>
        <v>156.80090999999996</v>
      </c>
      <c r="BP102" s="510"/>
      <c r="BQ102" s="504">
        <f>BQ94-BQ95+BQ101</f>
        <v>53.058582433852941</v>
      </c>
      <c r="BR102" s="505">
        <f>BR94-BR95+BR101</f>
        <v>81.898832987974743</v>
      </c>
      <c r="BS102" s="505">
        <f>BS94-BS95+BS101</f>
        <v>88.315229223056917</v>
      </c>
      <c r="BT102" s="506">
        <f>BT94-BT95+BT101</f>
        <v>116.04506628402761</v>
      </c>
      <c r="BU102" s="507">
        <f>BU94-BU95+BU101</f>
        <v>339.31771092891222</v>
      </c>
      <c r="BV102" s="510"/>
      <c r="BW102" s="504">
        <f>BW94-BW95+BW101</f>
        <v>67.324296073347199</v>
      </c>
      <c r="BX102" s="505">
        <f>BX94-BX95+BX101</f>
        <v>98.326229963620534</v>
      </c>
      <c r="BY102" s="505">
        <f>BY94-BY95+BY101</f>
        <v>105.34968920684003</v>
      </c>
      <c r="BZ102" s="506">
        <f>BZ94-BZ95+BZ101</f>
        <v>135.22558412493649</v>
      </c>
      <c r="CA102" s="507">
        <f>CA94-CA95+CA101</f>
        <v>406.22579936874422</v>
      </c>
      <c r="CB102" s="510"/>
      <c r="CC102" s="504">
        <f>CC94-CC95+CC101</f>
        <v>80.743959079618463</v>
      </c>
      <c r="CD102" s="505">
        <f>CD94-CD95+CD101</f>
        <v>123.67573885772782</v>
      </c>
      <c r="CE102" s="505">
        <f>CE94-CE95+CE101</f>
        <v>132.00088854843546</v>
      </c>
      <c r="CF102" s="506">
        <f>CF94-CF95+CF101</f>
        <v>166.91290050658233</v>
      </c>
      <c r="CG102" s="507">
        <f>CG94-CG95+CG101</f>
        <v>503.33348699236404</v>
      </c>
      <c r="CH102" s="510"/>
      <c r="CI102" s="504">
        <f>CI94-CI95+CI101</f>
        <v>107.26572888225127</v>
      </c>
      <c r="CJ102" s="505">
        <f>CJ94-CJ95+CJ101</f>
        <v>130.7783057719958</v>
      </c>
      <c r="CK102" s="505">
        <f>CK94-CK95+CK101</f>
        <v>138.96186660110641</v>
      </c>
      <c r="CL102" s="506">
        <f>CL94-CL95+CL101</f>
        <v>174.10111435679011</v>
      </c>
      <c r="CM102" s="507">
        <f>CM94-CM95+CM101</f>
        <v>551.10701561214364</v>
      </c>
      <c r="CN102" s="490"/>
      <c r="CO102" s="490"/>
      <c r="CP102" s="490"/>
      <c r="CQ102" s="490"/>
      <c r="CR102" s="490"/>
    </row>
    <row r="103" spans="1:96" ht="12.75" hidden="1" customHeight="1" outlineLevel="1" thickBot="1">
      <c r="A103" s="809"/>
      <c r="B103" s="810"/>
      <c r="C103" s="810"/>
      <c r="D103" s="810"/>
      <c r="E103" s="810"/>
      <c r="F103" s="810"/>
      <c r="G103" s="810"/>
      <c r="H103" s="810"/>
      <c r="I103" s="810"/>
      <c r="J103" s="810"/>
      <c r="K103" s="810"/>
      <c r="L103" s="810"/>
      <c r="M103" s="810"/>
      <c r="N103" s="810"/>
      <c r="O103" s="810"/>
      <c r="P103" s="810"/>
      <c r="Q103" s="810"/>
      <c r="R103" s="810"/>
      <c r="S103" s="810"/>
      <c r="T103" s="810"/>
      <c r="U103" s="810"/>
      <c r="V103" s="810"/>
      <c r="W103" s="810"/>
      <c r="X103" s="810"/>
      <c r="Y103" s="810"/>
      <c r="Z103" s="810"/>
      <c r="AA103" s="810"/>
      <c r="AB103" s="810"/>
      <c r="AC103" s="810"/>
      <c r="AD103" s="810"/>
      <c r="AE103" s="810"/>
      <c r="AF103" s="810"/>
      <c r="AG103" s="810"/>
      <c r="AH103" s="810"/>
      <c r="AI103" s="810"/>
      <c r="AJ103" s="810"/>
      <c r="AK103" s="810"/>
      <c r="AL103" s="810"/>
      <c r="AM103" s="810"/>
      <c r="AN103" s="810"/>
      <c r="AO103" s="810"/>
      <c r="AP103" s="810"/>
      <c r="AQ103" s="810"/>
      <c r="AR103" s="810"/>
      <c r="AS103" s="810"/>
      <c r="AT103" s="810"/>
      <c r="AU103" s="810"/>
      <c r="AV103" s="810"/>
      <c r="AW103" s="810"/>
      <c r="AX103" s="810"/>
      <c r="AY103" s="810"/>
      <c r="AZ103" s="810"/>
      <c r="BA103" s="810"/>
      <c r="BB103" s="810"/>
      <c r="BC103" s="810"/>
      <c r="BD103" s="810"/>
      <c r="BE103" s="810"/>
      <c r="BF103" s="810"/>
      <c r="BG103" s="810"/>
      <c r="BH103" s="810"/>
      <c r="BI103" s="810"/>
      <c r="BJ103" s="810"/>
      <c r="BK103" s="810"/>
      <c r="BL103" s="810"/>
      <c r="BM103" s="810"/>
      <c r="BN103" s="810"/>
      <c r="BO103" s="810"/>
      <c r="BP103" s="810"/>
      <c r="BQ103" s="810"/>
      <c r="BR103" s="810"/>
      <c r="BS103" s="810"/>
      <c r="BT103" s="810"/>
      <c r="BU103" s="810"/>
      <c r="BV103" s="810"/>
      <c r="BW103" s="810"/>
      <c r="BX103" s="810"/>
      <c r="BY103" s="810"/>
      <c r="BZ103" s="810"/>
      <c r="CA103" s="810"/>
      <c r="CB103" s="810"/>
      <c r="CC103" s="810"/>
      <c r="CD103" s="810"/>
      <c r="CE103" s="810"/>
      <c r="CF103" s="810"/>
      <c r="CG103" s="810"/>
      <c r="CH103" s="810"/>
      <c r="CI103" s="810"/>
      <c r="CJ103" s="810"/>
      <c r="CK103" s="810"/>
      <c r="CL103" s="810"/>
      <c r="CM103" s="810"/>
      <c r="CN103" s="806"/>
      <c r="CO103" s="806"/>
      <c r="CP103" s="806"/>
      <c r="CQ103" s="806"/>
      <c r="CR103" s="806"/>
    </row>
    <row r="104" spans="1:96" ht="12.75" hidden="1" customHeight="1" outlineLevel="1">
      <c r="A104" s="300" t="s">
        <v>30</v>
      </c>
      <c r="B104" s="301"/>
      <c r="C104" s="311"/>
      <c r="D104" s="301"/>
      <c r="E104" s="302"/>
      <c r="F104" s="301"/>
      <c r="G104" s="307"/>
      <c r="H104" s="301"/>
      <c r="I104" s="315"/>
      <c r="J104" s="302"/>
      <c r="K104" s="301"/>
      <c r="L104" s="301"/>
      <c r="M104" s="307"/>
      <c r="N104" s="301"/>
      <c r="O104" s="316"/>
      <c r="P104" s="303"/>
      <c r="Q104" s="303"/>
      <c r="R104" s="303"/>
      <c r="S104" s="307"/>
      <c r="T104" s="301"/>
      <c r="U104" s="311"/>
      <c r="V104" s="302"/>
      <c r="W104" s="887"/>
      <c r="X104" s="887"/>
      <c r="Y104" s="307"/>
      <c r="Z104" s="301"/>
      <c r="AA104" s="888"/>
      <c r="AB104" s="887"/>
      <c r="AC104" s="887"/>
      <c r="AD104" s="887"/>
      <c r="AE104" s="307"/>
      <c r="AF104" s="303"/>
      <c r="AG104" s="888"/>
      <c r="AH104" s="303"/>
      <c r="AI104" s="303"/>
      <c r="AJ104" s="303"/>
      <c r="AK104" s="307"/>
      <c r="AL104" s="303"/>
      <c r="AM104" s="316"/>
      <c r="AN104" s="303"/>
      <c r="AO104" s="303"/>
      <c r="AP104" s="303"/>
      <c r="AQ104" s="307"/>
      <c r="AR104" s="303"/>
      <c r="AS104" s="316"/>
      <c r="AT104" s="303"/>
      <c r="AU104" s="303"/>
      <c r="AV104" s="303"/>
      <c r="AW104" s="307"/>
      <c r="AX104" s="303"/>
      <c r="AY104" s="316"/>
      <c r="AZ104" s="303"/>
      <c r="BA104" s="303"/>
      <c r="BB104" s="303"/>
      <c r="BC104" s="307"/>
      <c r="BD104" s="303"/>
      <c r="BE104" s="316"/>
      <c r="BF104" s="303"/>
      <c r="BG104" s="303"/>
      <c r="BH104" s="303"/>
      <c r="BI104" s="307"/>
      <c r="BJ104" s="303"/>
      <c r="BK104" s="316"/>
      <c r="BL104" s="303"/>
      <c r="BM104" s="303"/>
      <c r="BN104" s="303"/>
      <c r="BO104" s="307"/>
      <c r="BP104" s="303"/>
      <c r="BQ104" s="316"/>
      <c r="BR104" s="303"/>
      <c r="BS104" s="303"/>
      <c r="BT104" s="303"/>
      <c r="BU104" s="307"/>
      <c r="BV104" s="303"/>
      <c r="BW104" s="316"/>
      <c r="BX104" s="303"/>
      <c r="BY104" s="303"/>
      <c r="BZ104" s="303"/>
      <c r="CA104" s="307"/>
      <c r="CB104" s="303"/>
      <c r="CC104" s="316"/>
      <c r="CD104" s="303"/>
      <c r="CE104" s="303"/>
      <c r="CF104" s="303"/>
      <c r="CG104" s="307"/>
      <c r="CH104" s="303"/>
      <c r="CI104" s="316"/>
      <c r="CJ104" s="303"/>
      <c r="CK104" s="303"/>
      <c r="CL104" s="303"/>
      <c r="CM104" s="307"/>
      <c r="CN104" s="36"/>
      <c r="CO104" s="36"/>
      <c r="CP104" s="36"/>
      <c r="CQ104" s="36"/>
      <c r="CR104" s="36"/>
    </row>
    <row r="105" spans="1:96" ht="12.75" hidden="1" customHeight="1" outlineLevel="1">
      <c r="A105" s="54" t="s">
        <v>432</v>
      </c>
      <c r="B105" s="58"/>
      <c r="C105" s="312">
        <f>C32/C49</f>
        <v>0.25419274234766293</v>
      </c>
      <c r="D105" s="222">
        <f>D32/D49</f>
        <v>0.30434240071588947</v>
      </c>
      <c r="E105" s="222">
        <f>E32/E49</f>
        <v>0.33908047516596507</v>
      </c>
      <c r="F105" s="222">
        <f>F32/F49</f>
        <v>0.42534596479435399</v>
      </c>
      <c r="G105" s="308">
        <f>G32/G49</f>
        <v>1.3199292732473773</v>
      </c>
      <c r="H105" s="58"/>
      <c r="I105" s="312">
        <f>I32/I49</f>
        <v>0.2580278408563299</v>
      </c>
      <c r="J105" s="222">
        <f>J32/J49</f>
        <v>0.32837543915548045</v>
      </c>
      <c r="K105" s="222">
        <f>K32/K49</f>
        <v>0.35469738899246711</v>
      </c>
      <c r="L105" s="222">
        <f>L32/L49</f>
        <v>0.51293160274917615</v>
      </c>
      <c r="M105" s="308">
        <f>M32/M49</f>
        <v>1.4523970611777202</v>
      </c>
      <c r="N105" s="58"/>
      <c r="O105" s="312">
        <f>O32/O49</f>
        <v>0.26219850367218078</v>
      </c>
      <c r="P105" s="222">
        <f>P32/P49</f>
        <v>0.28098393367048502</v>
      </c>
      <c r="Q105" s="222">
        <f>Q32/Q49</f>
        <v>0.2811066434615615</v>
      </c>
      <c r="R105" s="222">
        <f>R32/R49</f>
        <v>0.25034165953806564</v>
      </c>
      <c r="S105" s="308">
        <f>S32/S49</f>
        <v>1.0745578523029407</v>
      </c>
      <c r="T105" s="58"/>
      <c r="U105" s="312">
        <f>U32/U49</f>
        <v>0.25226437493110376</v>
      </c>
      <c r="V105" s="222">
        <f>V32/V49</f>
        <v>0.10381457938869348</v>
      </c>
      <c r="W105" s="222">
        <f>W32/W49</f>
        <v>0.33729499945011721</v>
      </c>
      <c r="X105" s="222">
        <f>X32/X49</f>
        <v>0.46644020189467844</v>
      </c>
      <c r="Y105" s="308">
        <f>Y32/Y49</f>
        <v>1.1586747130918287</v>
      </c>
      <c r="Z105" s="58"/>
      <c r="AA105" s="312">
        <f>AA32/AA49</f>
        <v>0.67690116380059107</v>
      </c>
      <c r="AB105" s="222">
        <f>AB32/AB49</f>
        <v>0.77832076252167326</v>
      </c>
      <c r="AC105" s="222">
        <f>AC32/AC49</f>
        <v>0.75278377782675754</v>
      </c>
      <c r="AD105" s="222">
        <f>AD32/AD49</f>
        <v>0.62099142023121723</v>
      </c>
      <c r="AE105" s="308">
        <f>AE32/AE49</f>
        <v>2.8257229677509983</v>
      </c>
      <c r="AF105" s="54"/>
      <c r="AG105" s="312">
        <f>AG32/AG49</f>
        <v>0.4343497577090587</v>
      </c>
      <c r="AH105" s="222">
        <f>AH32/AH49</f>
        <v>0.52833632983644363</v>
      </c>
      <c r="AI105" s="222">
        <f>AI32/AI49</f>
        <v>0.45283048400841769</v>
      </c>
      <c r="AJ105" s="222">
        <f>AJ32/AJ49</f>
        <v>0.65476546662006374</v>
      </c>
      <c r="AK105" s="308">
        <f>AK32/AK49</f>
        <v>2.0643325787915692</v>
      </c>
      <c r="AL105" s="54"/>
      <c r="AM105" s="312">
        <f>AM32/AM49</f>
        <v>0.36137313016492906</v>
      </c>
      <c r="AN105" s="222">
        <f>AN32/AN49</f>
        <v>0.51098919427243272</v>
      </c>
      <c r="AO105" s="222">
        <f>AO32/AO49</f>
        <v>0.49605342050126039</v>
      </c>
      <c r="AP105" s="222">
        <f>AP32/AP49</f>
        <v>0.72909284083798331</v>
      </c>
      <c r="AQ105" s="308">
        <f>AQ32/AQ49</f>
        <v>2.095883841484365</v>
      </c>
      <c r="AR105" s="54"/>
      <c r="AS105" s="312">
        <f>AS32/AS49</f>
        <v>0.46937753676050792</v>
      </c>
      <c r="AT105" s="222">
        <f>AT32/AT49</f>
        <v>0.59419358433285674</v>
      </c>
      <c r="AU105" s="222">
        <f>AU32/AU49</f>
        <v>0.56793718475021826</v>
      </c>
      <c r="AV105" s="222">
        <f>AV32/AV49</f>
        <v>0.85005540967491899</v>
      </c>
      <c r="AW105" s="308">
        <f>AW32/AW49</f>
        <v>2.4808575538452136</v>
      </c>
      <c r="AX105" s="54"/>
      <c r="AY105" s="312">
        <f>AY32/AY49</f>
        <v>0.4351365932351311</v>
      </c>
      <c r="AZ105" s="222">
        <f>AZ32/AZ49</f>
        <v>0.53514314829618825</v>
      </c>
      <c r="BA105" s="222">
        <f>BA32/BA49</f>
        <v>0.53544268307735743</v>
      </c>
      <c r="BB105" s="222">
        <f>BB32/BB49</f>
        <v>0.81323481467625192</v>
      </c>
      <c r="BC105" s="308">
        <f>BC32/BC49</f>
        <v>2.3148353704275682</v>
      </c>
      <c r="BD105" s="54"/>
      <c r="BE105" s="312">
        <f>BE32/BE49</f>
        <v>0.50497234587886142</v>
      </c>
      <c r="BF105" s="222">
        <f>BF32/BF49</f>
        <v>0.62809438840537524</v>
      </c>
      <c r="BG105" s="222">
        <f>BG32/BG49</f>
        <v>0.63816293900688581</v>
      </c>
      <c r="BH105" s="222">
        <f>BH32/BH49</f>
        <v>0.83154607443456774</v>
      </c>
      <c r="BI105" s="308">
        <f>BI32/BI49</f>
        <v>2.6014566732841993</v>
      </c>
      <c r="BJ105" s="54"/>
      <c r="BK105" s="312">
        <f>BK32/BK49</f>
        <v>0.5471024645203435</v>
      </c>
      <c r="BL105" s="222">
        <f>BL32/BL49</f>
        <v>0.66630432819920238</v>
      </c>
      <c r="BM105" s="222">
        <f>BM32/BM49</f>
        <v>0.72999999999999987</v>
      </c>
      <c r="BN105" s="222">
        <f>BN32/BN49</f>
        <v>0.97431434286893237</v>
      </c>
      <c r="BO105" s="308">
        <f>BO32/BO49</f>
        <v>2.9202194679728275</v>
      </c>
      <c r="BP105" s="54"/>
      <c r="BQ105" s="312">
        <f>BQ32/BQ49</f>
        <v>0.61768460194374131</v>
      </c>
      <c r="BR105" s="222">
        <f>BR32/BR49</f>
        <v>0.87719113365218493</v>
      </c>
      <c r="BS105" s="222">
        <f>BS32/BS49</f>
        <v>0.93509985585707012</v>
      </c>
      <c r="BT105" s="222">
        <f>BT32/BT49</f>
        <v>1.1852479650437098</v>
      </c>
      <c r="BU105" s="308">
        <f>BU32/BU49</f>
        <v>3.6150842666557055</v>
      </c>
      <c r="BV105" s="54"/>
      <c r="BW105" s="312">
        <f>BW32/BW49</f>
        <v>0.7476940744971845</v>
      </c>
      <c r="BX105" s="222">
        <f>BX32/BX49</f>
        <v>1.0286478229772018</v>
      </c>
      <c r="BY105" s="222">
        <f>BY32/BY49</f>
        <v>1.093652523644274</v>
      </c>
      <c r="BZ105" s="222">
        <f>BZ32/BZ49</f>
        <v>1.3663605423822272</v>
      </c>
      <c r="CA105" s="308">
        <f>CA32/CA49</f>
        <v>4.2348468551859471</v>
      </c>
      <c r="CB105" s="54"/>
      <c r="CC105" s="312">
        <f>CC32/CC49</f>
        <v>0.87365968277946304</v>
      </c>
      <c r="CD105" s="222">
        <f>CD32/CD49</f>
        <v>1.2638870371121409</v>
      </c>
      <c r="CE105" s="222">
        <f>CE32/CE49</f>
        <v>1.3403451942962767</v>
      </c>
      <c r="CF105" s="222">
        <f>CF32/CF49</f>
        <v>1.6594286678210726</v>
      </c>
      <c r="CG105" s="308">
        <f>CG32/CG49</f>
        <v>5.1365828306916823</v>
      </c>
      <c r="CH105" s="54"/>
      <c r="CI105" s="312">
        <f>CI32/CI49</f>
        <v>1.1175945300670251</v>
      </c>
      <c r="CJ105" s="222">
        <f>CJ32/CJ49</f>
        <v>1.329343328926162</v>
      </c>
      <c r="CK105" s="222">
        <f>CK32/CK49</f>
        <v>1.4023405064737522</v>
      </c>
      <c r="CL105" s="222">
        <f>CL32/CL49</f>
        <v>1.7209070931782846</v>
      </c>
      <c r="CM105" s="308">
        <f>CM32/CM49</f>
        <v>5.5712866531075145</v>
      </c>
      <c r="CN105" s="54"/>
      <c r="CO105" s="54"/>
      <c r="CP105" s="54"/>
      <c r="CQ105" s="54"/>
      <c r="CR105" s="54"/>
    </row>
    <row r="106" spans="1:96" ht="12.75" hidden="1" customHeight="1" outlineLevel="1">
      <c r="A106" s="36" t="s">
        <v>31</v>
      </c>
      <c r="B106" s="32"/>
      <c r="C106" s="313">
        <v>-0.06</v>
      </c>
      <c r="D106" s="132">
        <v>-0.06</v>
      </c>
      <c r="E106" s="132">
        <v>-0.06</v>
      </c>
      <c r="F106" s="132">
        <v>-7.0000000000000007E-2</v>
      </c>
      <c r="G106" s="309">
        <f t="shared" ref="G106:G113" si="159">SUM(C106:F106)</f>
        <v>-0.25</v>
      </c>
      <c r="H106" s="32"/>
      <c r="I106" s="313">
        <v>-7.0000000000000007E-2</v>
      </c>
      <c r="J106" s="132">
        <v>-0.08</v>
      </c>
      <c r="K106" s="132">
        <v>-0.08</v>
      </c>
      <c r="L106" s="132">
        <v>-0.08</v>
      </c>
      <c r="M106" s="309">
        <f>SUM(I106:L106)</f>
        <v>-0.31000000000000005</v>
      </c>
      <c r="N106" s="32"/>
      <c r="O106" s="313">
        <v>-7.0000000000000007E-2</v>
      </c>
      <c r="P106" s="132">
        <v>-0.08</v>
      </c>
      <c r="Q106" s="132">
        <v>-0.08</v>
      </c>
      <c r="R106" s="132">
        <f>-0.3-O106-P106-Q106</f>
        <v>-6.9999999999999965E-2</v>
      </c>
      <c r="S106" s="309">
        <f t="shared" ref="S106:S113" si="160">SUM(O106:R106)</f>
        <v>-0.3</v>
      </c>
      <c r="T106" s="32"/>
      <c r="U106" s="313">
        <v>-0.08</v>
      </c>
      <c r="V106" s="132">
        <v>-0.08</v>
      </c>
      <c r="W106" s="132">
        <v>-0.09</v>
      </c>
      <c r="X106" s="132">
        <v>-0.08</v>
      </c>
      <c r="Y106" s="309">
        <f t="shared" ref="Y106:Y113" si="161">SUM(U106:X106)</f>
        <v>-0.33</v>
      </c>
      <c r="Z106" s="32"/>
      <c r="AA106" s="313">
        <v>-0.09</v>
      </c>
      <c r="AB106" s="132">
        <v>-0.11</v>
      </c>
      <c r="AC106" s="132">
        <v>-0.12</v>
      </c>
      <c r="AD106" s="132">
        <f>-0.45-AA106-AB106-AC106</f>
        <v>-0.13</v>
      </c>
      <c r="AE106" s="309">
        <f t="shared" ref="AE106:AE113" si="162">SUM(AA106:AD106)</f>
        <v>-0.45</v>
      </c>
      <c r="AF106" s="36"/>
      <c r="AG106" s="313">
        <v>-0.13</v>
      </c>
      <c r="AH106" s="132">
        <v>-0.13</v>
      </c>
      <c r="AI106" s="132">
        <v>-0.13</v>
      </c>
      <c r="AJ106" s="132">
        <v>-0.125</v>
      </c>
      <c r="AK106" s="309">
        <f t="shared" ref="AK106:AK113" si="163">SUM(AG106:AJ106)</f>
        <v>-0.51500000000000001</v>
      </c>
      <c r="AL106" s="36"/>
      <c r="AM106" s="313">
        <v>-0.13</v>
      </c>
      <c r="AN106" s="132">
        <v>-0.13</v>
      </c>
      <c r="AO106" s="132">
        <v>-0.13400000000000001</v>
      </c>
      <c r="AP106" s="132">
        <v>-0.12</v>
      </c>
      <c r="AQ106" s="309">
        <f t="shared" ref="AQ106:AQ113" si="164">SUM(AM106:AP106)</f>
        <v>-0.51400000000000001</v>
      </c>
      <c r="AR106" s="36"/>
      <c r="AS106" s="313">
        <v>-0.12</v>
      </c>
      <c r="AT106" s="132">
        <v>-0.12</v>
      </c>
      <c r="AU106" s="132">
        <v>-0.11</v>
      </c>
      <c r="AV106" s="132">
        <v>-0.11</v>
      </c>
      <c r="AW106" s="309">
        <f t="shared" ref="AW106:AW113" si="165">SUM(AS106:AV106)</f>
        <v>-0.45999999999999996</v>
      </c>
      <c r="AX106" s="36"/>
      <c r="AY106" s="313">
        <v>-0.17</v>
      </c>
      <c r="AZ106" s="132">
        <v>-0.17</v>
      </c>
      <c r="BA106" s="132">
        <v>-0.16</v>
      </c>
      <c r="BB106" s="132">
        <v>-0.17</v>
      </c>
      <c r="BC106" s="309">
        <f t="shared" ref="BC106:BC113" si="166">SUM(AY106:BB106)</f>
        <v>-0.67</v>
      </c>
      <c r="BD106" s="36"/>
      <c r="BE106" s="313">
        <v>-0.17</v>
      </c>
      <c r="BF106" s="1379">
        <v>-0.17</v>
      </c>
      <c r="BG106" s="1379">
        <v>-0.15</v>
      </c>
      <c r="BH106" s="1379">
        <v>-0.16</v>
      </c>
      <c r="BI106" s="309">
        <f t="shared" ref="BI106:BI113" si="167">SUM(BE106:BH106)</f>
        <v>-0.65</v>
      </c>
      <c r="BJ106" s="36"/>
      <c r="BK106" s="313">
        <v>-0.15</v>
      </c>
      <c r="BL106" s="1379">
        <v>-0.16</v>
      </c>
      <c r="BM106" s="1379">
        <v>-0.16</v>
      </c>
      <c r="BN106" s="1379">
        <v>-0.19</v>
      </c>
      <c r="BO106" s="309">
        <f t="shared" ref="BO106:BO113" si="168">SUM(BK106:BN106)</f>
        <v>-0.65999999999999992</v>
      </c>
      <c r="BP106" s="36"/>
      <c r="BQ106" s="205">
        <f>-(BQ96-(BQ96-0.12*BQ$49))/BQ$49</f>
        <v>-0.12</v>
      </c>
      <c r="BR106" s="83">
        <f>-(BR96-(BR96-0.12*BR$49))/BR$49</f>
        <v>-0.11999999999999998</v>
      </c>
      <c r="BS106" s="83">
        <f>-(BS96-(BS96-0.12*BS$49))/BS$49</f>
        <v>-0.12000000000000001</v>
      </c>
      <c r="BT106" s="83">
        <f>-(BT96-(BT96-0.12*BT$49))/BT$49</f>
        <v>-0.12</v>
      </c>
      <c r="BU106" s="309">
        <f t="shared" ref="BU106:BU111" si="169">SUM(BQ106:BT106)</f>
        <v>-0.48</v>
      </c>
      <c r="BV106" s="36"/>
      <c r="BW106" s="205">
        <f>-(BW96-(BW96-0.12*BW$49))/BW$49</f>
        <v>-0.12</v>
      </c>
      <c r="BX106" s="83">
        <f>-(BX96-(BX96-0.12*BX$49))/BX$49</f>
        <v>-0.12</v>
      </c>
      <c r="BY106" s="83">
        <f>-(BY96-(BY96-0.12*BY$49))/BY$49</f>
        <v>-0.12</v>
      </c>
      <c r="BZ106" s="83">
        <f>-(BZ96-(BZ96-0.12*BZ$49))/BZ$49</f>
        <v>-0.12</v>
      </c>
      <c r="CA106" s="309">
        <f t="shared" ref="CA106:CA111" si="170">SUM(BW106:BZ106)</f>
        <v>-0.48</v>
      </c>
      <c r="CB106" s="36"/>
      <c r="CC106" s="205">
        <f>-(CC96-(CC96-0.12*CC$49))/CC$49</f>
        <v>-0.12</v>
      </c>
      <c r="CD106" s="83">
        <f>-(CD96-(CD96-0.12*CD$49))/CD$49</f>
        <v>-0.12</v>
      </c>
      <c r="CE106" s="83">
        <f>-(CE96-(CE96-0.12*CE$49))/CE$49</f>
        <v>-0.12</v>
      </c>
      <c r="CF106" s="83">
        <f>-(CF96-(CF96-0.12*CF$49))/CF$49</f>
        <v>-0.12</v>
      </c>
      <c r="CG106" s="309">
        <f t="shared" ref="CG106:CG111" si="171">SUM(CC106:CF106)</f>
        <v>-0.48</v>
      </c>
      <c r="CH106" s="36"/>
      <c r="CI106" s="205">
        <f>-(CI96-(CI96-0.12*CI$49))/CI$49</f>
        <v>-0.12</v>
      </c>
      <c r="CJ106" s="83">
        <f>-(CJ96-(CJ96-0.12*CJ$49))/CJ$49</f>
        <v>-0.12000000000000001</v>
      </c>
      <c r="CK106" s="83">
        <f>-(CK96-(CK96-0.12*CK$49))/CK$49</f>
        <v>-0.12</v>
      </c>
      <c r="CL106" s="83">
        <f>-(CL96-(CL96-0.12*CL$49))/CL$49</f>
        <v>-0.12</v>
      </c>
      <c r="CM106" s="309">
        <f t="shared" ref="CM106:CM111" si="172">SUM(CI106:CL106)</f>
        <v>-0.48</v>
      </c>
      <c r="CN106" s="36"/>
      <c r="CO106" s="36"/>
      <c r="CP106" s="36"/>
      <c r="CQ106" s="36"/>
      <c r="CR106" s="36"/>
    </row>
    <row r="107" spans="1:96" ht="12.75" hidden="1" customHeight="1" outlineLevel="1">
      <c r="A107" s="36" t="s">
        <v>32</v>
      </c>
      <c r="B107" s="32"/>
      <c r="C107" s="313">
        <v>0</v>
      </c>
      <c r="D107" s="132">
        <v>0</v>
      </c>
      <c r="E107" s="132">
        <v>0</v>
      </c>
      <c r="F107" s="132"/>
      <c r="G107" s="309">
        <f t="shared" si="159"/>
        <v>0</v>
      </c>
      <c r="H107" s="32"/>
      <c r="I107" s="313">
        <v>-0.01</v>
      </c>
      <c r="J107" s="132">
        <v>0</v>
      </c>
      <c r="K107" s="132">
        <v>0</v>
      </c>
      <c r="L107" s="132">
        <v>0</v>
      </c>
      <c r="M107" s="309">
        <f>SUM(I107:L107)</f>
        <v>-0.01</v>
      </c>
      <c r="N107" s="32"/>
      <c r="O107" s="313">
        <v>-0.01</v>
      </c>
      <c r="P107" s="132">
        <v>0</v>
      </c>
      <c r="Q107" s="132">
        <v>-0.01</v>
      </c>
      <c r="R107" s="132">
        <f>-0.02-O107-P107-Q107</f>
        <v>0</v>
      </c>
      <c r="S107" s="309">
        <f t="shared" si="160"/>
        <v>-0.02</v>
      </c>
      <c r="T107" s="32"/>
      <c r="U107" s="313">
        <v>-0.01</v>
      </c>
      <c r="V107" s="132">
        <v>0.2</v>
      </c>
      <c r="W107" s="132">
        <v>0</v>
      </c>
      <c r="X107" s="132">
        <v>-0.01</v>
      </c>
      <c r="Y107" s="309">
        <f t="shared" si="161"/>
        <v>0.18</v>
      </c>
      <c r="Z107" s="32"/>
      <c r="AA107" s="313">
        <v>-0.02</v>
      </c>
      <c r="AB107" s="132">
        <v>-0.05</v>
      </c>
      <c r="AC107" s="132">
        <v>-0.05</v>
      </c>
      <c r="AD107" s="132">
        <f>-0.19-AA107-AB107-AC107</f>
        <v>-7.0000000000000007E-2</v>
      </c>
      <c r="AE107" s="309">
        <f t="shared" si="162"/>
        <v>-0.19</v>
      </c>
      <c r="AF107" s="36"/>
      <c r="AG107" s="313">
        <v>-0.06</v>
      </c>
      <c r="AH107" s="132">
        <v>-0.06</v>
      </c>
      <c r="AI107" s="132">
        <v>-0.01</v>
      </c>
      <c r="AJ107" s="132">
        <v>-0.03</v>
      </c>
      <c r="AK107" s="309">
        <f t="shared" si="163"/>
        <v>-0.16</v>
      </c>
      <c r="AL107" s="36"/>
      <c r="AM107" s="313">
        <v>-0.01</v>
      </c>
      <c r="AN107" s="132">
        <v>-0.02</v>
      </c>
      <c r="AO107" s="132">
        <v>1E-4</v>
      </c>
      <c r="AP107" s="132">
        <v>-2.3E-2</v>
      </c>
      <c r="AQ107" s="309">
        <f t="shared" si="164"/>
        <v>-5.2900000000000003E-2</v>
      </c>
      <c r="AR107" s="36"/>
      <c r="AS107" s="313">
        <v>-0.01</v>
      </c>
      <c r="AT107" s="132">
        <v>0.01</v>
      </c>
      <c r="AU107" s="132">
        <v>0</v>
      </c>
      <c r="AV107" s="132">
        <v>-0.01</v>
      </c>
      <c r="AW107" s="309">
        <f t="shared" si="165"/>
        <v>-0.01</v>
      </c>
      <c r="AX107" s="36"/>
      <c r="AY107" s="313">
        <v>-0.05</v>
      </c>
      <c r="AZ107" s="132">
        <v>-0.02</v>
      </c>
      <c r="BA107" s="132">
        <v>-0.01</v>
      </c>
      <c r="BB107" s="132">
        <v>0</v>
      </c>
      <c r="BC107" s="309">
        <f t="shared" si="166"/>
        <v>-0.08</v>
      </c>
      <c r="BD107" s="36"/>
      <c r="BE107" s="313">
        <v>-0.01</v>
      </c>
      <c r="BF107" s="1379">
        <v>-0.04</v>
      </c>
      <c r="BG107" s="1379">
        <v>-0.04</v>
      </c>
      <c r="BH107" s="1379">
        <v>-0.06</v>
      </c>
      <c r="BI107" s="309">
        <f t="shared" si="167"/>
        <v>-0.15</v>
      </c>
      <c r="BJ107" s="36"/>
      <c r="BK107" s="313">
        <v>-0.03</v>
      </c>
      <c r="BL107" s="1379">
        <v>-0.02</v>
      </c>
      <c r="BM107" s="1379">
        <v>-0.01</v>
      </c>
      <c r="BN107" s="1379">
        <v>-0.03</v>
      </c>
      <c r="BO107" s="309">
        <f t="shared" si="168"/>
        <v>-0.09</v>
      </c>
      <c r="BP107" s="36"/>
      <c r="BQ107" s="205">
        <f>-(BQ97-(BQ97-0.05*BQ$49))/BQ$49</f>
        <v>-0.05</v>
      </c>
      <c r="BR107" s="83">
        <f>-(BR97-(BR97-0.05*BR$49))/BR$49</f>
        <v>-0.05</v>
      </c>
      <c r="BS107" s="83">
        <f>-(BS97-(BS97-0.05*BS$49))/BS$49</f>
        <v>-5.000000000000001E-2</v>
      </c>
      <c r="BT107" s="83">
        <f>-(BT97-(BT97-0.05*BT$49))/BT$49</f>
        <v>-0.05</v>
      </c>
      <c r="BU107" s="309">
        <f t="shared" si="169"/>
        <v>-0.2</v>
      </c>
      <c r="BV107" s="36"/>
      <c r="BW107" s="205">
        <f>-(BW97-(BW97-0.05*BW$49))/BW$49</f>
        <v>-0.05</v>
      </c>
      <c r="BX107" s="83">
        <f>-(BX97-(BX97-0.05*BX$49))/BX$49</f>
        <v>-0.05</v>
      </c>
      <c r="BY107" s="83">
        <f>-(BY97-(BY97-0.05*BY$49))/BY$49</f>
        <v>-0.05</v>
      </c>
      <c r="BZ107" s="83">
        <f>-(BZ97-(BZ97-0.05*BZ$49))/BZ$49</f>
        <v>-0.05</v>
      </c>
      <c r="CA107" s="309">
        <f t="shared" si="170"/>
        <v>-0.2</v>
      </c>
      <c r="CB107" s="36"/>
      <c r="CC107" s="205">
        <f>-(CC97-(CC97-0.05*CC$49))/CC$49</f>
        <v>-0.05</v>
      </c>
      <c r="CD107" s="83">
        <f>-(CD97-(CD97-0.05*CD$49))/CD$49</f>
        <v>-5.000000000000001E-2</v>
      </c>
      <c r="CE107" s="83">
        <f>-(CE97-(CE97-0.05*CE$49))/CE$49</f>
        <v>-0.05</v>
      </c>
      <c r="CF107" s="83">
        <f>-(CF97-(CF97-0.05*CF$49))/CF$49</f>
        <v>-0.05</v>
      </c>
      <c r="CG107" s="309">
        <f t="shared" si="171"/>
        <v>-0.2</v>
      </c>
      <c r="CH107" s="36"/>
      <c r="CI107" s="205">
        <f>-(CI97-(CI97-0.05*CI$49))/CI$49</f>
        <v>-0.05</v>
      </c>
      <c r="CJ107" s="83">
        <f>-(CJ97-(CJ97-0.05*CJ$49))/CJ$49</f>
        <v>-0.05</v>
      </c>
      <c r="CK107" s="83">
        <f>-(CK97-(CK97-0.05*CK$49))/CK$49</f>
        <v>-0.05</v>
      </c>
      <c r="CL107" s="83">
        <f>-(CL97-(CL97-0.05*CL$49))/CL$49</f>
        <v>-0.05</v>
      </c>
      <c r="CM107" s="309">
        <f t="shared" si="172"/>
        <v>-0.2</v>
      </c>
      <c r="CN107" s="36"/>
      <c r="CO107" s="36"/>
      <c r="CP107" s="36"/>
      <c r="CQ107" s="36"/>
      <c r="CR107" s="36"/>
    </row>
    <row r="108" spans="1:96" ht="12.75" hidden="1" customHeight="1" outlineLevel="1">
      <c r="A108" s="36" t="s">
        <v>51</v>
      </c>
      <c r="B108" s="32"/>
      <c r="C108" s="313">
        <f>-(0.01+0.01+0.01)</f>
        <v>-0.03</v>
      </c>
      <c r="D108" s="132">
        <f>-(0.01-0.08+0.01)</f>
        <v>6.0000000000000005E-2</v>
      </c>
      <c r="E108" s="132">
        <v>-0.01</v>
      </c>
      <c r="F108" s="132">
        <f>-(0.01+0.01-0.16+0.01)</f>
        <v>0.13</v>
      </c>
      <c r="G108" s="309">
        <f t="shared" si="159"/>
        <v>0.15000000000000002</v>
      </c>
      <c r="H108" s="32"/>
      <c r="I108" s="313">
        <v>0</v>
      </c>
      <c r="J108" s="132">
        <v>0</v>
      </c>
      <c r="K108" s="132">
        <v>0.12</v>
      </c>
      <c r="L108" s="132">
        <v>-0.09</v>
      </c>
      <c r="M108" s="309">
        <f>SUM(I108:L108)</f>
        <v>0.03</v>
      </c>
      <c r="N108" s="32"/>
      <c r="O108" s="313">
        <v>0</v>
      </c>
      <c r="P108" s="132">
        <v>0</v>
      </c>
      <c r="Q108" s="132">
        <v>0</v>
      </c>
      <c r="R108" s="132">
        <v>0</v>
      </c>
      <c r="S108" s="309">
        <f t="shared" si="160"/>
        <v>0</v>
      </c>
      <c r="T108" s="32"/>
      <c r="U108" s="313">
        <v>0</v>
      </c>
      <c r="V108" s="132">
        <v>0</v>
      </c>
      <c r="W108" s="132">
        <v>0</v>
      </c>
      <c r="X108" s="132">
        <v>7.0000000000000007E-2</v>
      </c>
      <c r="Y108" s="309">
        <f t="shared" si="161"/>
        <v>7.0000000000000007E-2</v>
      </c>
      <c r="Z108" s="32"/>
      <c r="AA108" s="313">
        <v>0</v>
      </c>
      <c r="AB108" s="132">
        <v>0</v>
      </c>
      <c r="AC108" s="132">
        <v>-0.01</v>
      </c>
      <c r="AD108" s="132">
        <f>-0.09-AA108-AB108-AC108</f>
        <v>-0.08</v>
      </c>
      <c r="AE108" s="309">
        <f t="shared" si="162"/>
        <v>-0.09</v>
      </c>
      <c r="AF108" s="36"/>
      <c r="AG108" s="313">
        <v>0</v>
      </c>
      <c r="AH108" s="132">
        <f>-(0.53-0.29)-AH106-AH107-AH109-AH110-AH111-AH113-AH112</f>
        <v>-1.0000000000000044E-2</v>
      </c>
      <c r="AI108" s="132">
        <v>0</v>
      </c>
      <c r="AJ108" s="132">
        <v>1E-3</v>
      </c>
      <c r="AK108" s="309">
        <f t="shared" si="163"/>
        <v>-9.0000000000000427E-3</v>
      </c>
      <c r="AL108" s="36"/>
      <c r="AM108" s="313">
        <v>0</v>
      </c>
      <c r="AN108" s="132">
        <v>0</v>
      </c>
      <c r="AO108" s="132">
        <v>1E-4</v>
      </c>
      <c r="AP108" s="132">
        <v>-4.0000000000000001E-3</v>
      </c>
      <c r="AQ108" s="309">
        <f t="shared" si="164"/>
        <v>-3.9000000000000003E-3</v>
      </c>
      <c r="AR108" s="36"/>
      <c r="AS108" s="313">
        <f>0.111/AS49</f>
        <v>9.755926065900841E-4</v>
      </c>
      <c r="AT108" s="132">
        <v>0</v>
      </c>
      <c r="AU108" s="132">
        <v>0</v>
      </c>
      <c r="AV108" s="132">
        <v>-0.03</v>
      </c>
      <c r="AW108" s="309">
        <f t="shared" si="165"/>
        <v>-2.9024407393409914E-2</v>
      </c>
      <c r="AX108" s="36"/>
      <c r="AY108" s="313">
        <v>0</v>
      </c>
      <c r="AZ108" s="132">
        <v>0</v>
      </c>
      <c r="BA108" s="132">
        <v>0</v>
      </c>
      <c r="BB108" s="132">
        <v>-0.01</v>
      </c>
      <c r="BC108" s="309">
        <f t="shared" si="166"/>
        <v>-0.01</v>
      </c>
      <c r="BD108" s="36"/>
      <c r="BE108" s="313">
        <v>0</v>
      </c>
      <c r="BF108" s="1379">
        <v>0</v>
      </c>
      <c r="BG108" s="1379">
        <v>0</v>
      </c>
      <c r="BH108" s="1379">
        <v>0</v>
      </c>
      <c r="BI108" s="309">
        <f t="shared" si="167"/>
        <v>0</v>
      </c>
      <c r="BJ108" s="36"/>
      <c r="BK108" s="313">
        <v>-0.03</v>
      </c>
      <c r="BL108" s="1379">
        <v>0.02</v>
      </c>
      <c r="BM108" s="1379">
        <v>0.28000000000000003</v>
      </c>
      <c r="BN108" s="1379">
        <f>-0.02-0.2+0.02+0.07</f>
        <v>-0.13</v>
      </c>
      <c r="BO108" s="309">
        <f t="shared" si="168"/>
        <v>0.14000000000000001</v>
      </c>
      <c r="BP108" s="36"/>
      <c r="BQ108" s="205">
        <f>-(BQ100-(BQ100-0.01*BQ$49))/BQ$49</f>
        <v>-0.01</v>
      </c>
      <c r="BR108" s="83">
        <f>-(BR100-(BR100-0.01*BR$49))/BR$49</f>
        <v>-0.01</v>
      </c>
      <c r="BS108" s="83">
        <f>-(BS100-(BS100-0.01*BS$49))/BS$49</f>
        <v>-0.01</v>
      </c>
      <c r="BT108" s="83">
        <f>-(BT100-(BT100-0.01*BT$49))/BT$49</f>
        <v>-0.01</v>
      </c>
      <c r="BU108" s="309">
        <f t="shared" si="169"/>
        <v>-0.04</v>
      </c>
      <c r="BV108" s="36"/>
      <c r="BW108" s="205">
        <f>-(BW100-(BW100-0.01*BW$49))/BW$49</f>
        <v>-0.01</v>
      </c>
      <c r="BX108" s="83">
        <f>-(BX100-(BX100-0.01*BX$49))/BX$49</f>
        <v>-0.01</v>
      </c>
      <c r="BY108" s="83">
        <f>-(BY100-(BY100-0.01*BY$49))/BY$49</f>
        <v>-0.01</v>
      </c>
      <c r="BZ108" s="83">
        <f>-(BZ100-(BZ100-0.01*BZ$49))/BZ$49</f>
        <v>-0.01</v>
      </c>
      <c r="CA108" s="309">
        <f t="shared" si="170"/>
        <v>-0.04</v>
      </c>
      <c r="CB108" s="36"/>
      <c r="CC108" s="205">
        <f>-(CC100-(CC100-0.01*CC$49))/CC$49</f>
        <v>-0.01</v>
      </c>
      <c r="CD108" s="83">
        <f>-(CD100-(CD100-0.01*CD$49))/CD$49</f>
        <v>-0.01</v>
      </c>
      <c r="CE108" s="83">
        <f>-(CE100-(CE100-0.01*CE$49))/CE$49</f>
        <v>-0.01</v>
      </c>
      <c r="CF108" s="83">
        <f>-(CF100-(CF100-0.01*CF$49))/CF$49</f>
        <v>-0.01</v>
      </c>
      <c r="CG108" s="309">
        <f t="shared" si="171"/>
        <v>-0.04</v>
      </c>
      <c r="CH108" s="36"/>
      <c r="CI108" s="205">
        <f>-(CI100-(CI100-0.01*CI$49))/CI$49</f>
        <v>-0.01</v>
      </c>
      <c r="CJ108" s="83">
        <f>-(CJ100-(CJ100-0.01*CJ$49))/CJ$49</f>
        <v>-0.01</v>
      </c>
      <c r="CK108" s="83">
        <f>-(CK100-(CK100-0.01*CK$49))/CK$49</f>
        <v>-1.0000000000000002E-2</v>
      </c>
      <c r="CL108" s="83">
        <f>-(CL100-(CL100-0.01*CL$49))/CL$49</f>
        <v>-0.01</v>
      </c>
      <c r="CM108" s="309">
        <f t="shared" si="172"/>
        <v>-0.04</v>
      </c>
      <c r="CN108" s="36"/>
      <c r="CO108" s="36"/>
      <c r="CP108" s="36"/>
      <c r="CQ108" s="36"/>
      <c r="CR108" s="36"/>
    </row>
    <row r="109" spans="1:96" ht="12.75" hidden="1" customHeight="1" outlineLevel="1">
      <c r="A109" s="36" t="s">
        <v>431</v>
      </c>
      <c r="B109" s="32"/>
      <c r="C109" s="313">
        <v>0</v>
      </c>
      <c r="D109" s="132">
        <v>0</v>
      </c>
      <c r="E109" s="132">
        <v>0</v>
      </c>
      <c r="F109" s="132">
        <v>0</v>
      </c>
      <c r="G109" s="309">
        <f t="shared" si="159"/>
        <v>0</v>
      </c>
      <c r="H109" s="32"/>
      <c r="I109" s="313">
        <v>0</v>
      </c>
      <c r="J109" s="132">
        <v>0</v>
      </c>
      <c r="K109" s="132">
        <v>0</v>
      </c>
      <c r="L109" s="132">
        <v>0</v>
      </c>
      <c r="M109" s="309"/>
      <c r="N109" s="32"/>
      <c r="O109" s="313">
        <v>0</v>
      </c>
      <c r="P109" s="132">
        <v>0</v>
      </c>
      <c r="Q109" s="132">
        <v>0</v>
      </c>
      <c r="R109" s="132">
        <v>0</v>
      </c>
      <c r="S109" s="309">
        <f t="shared" si="160"/>
        <v>0</v>
      </c>
      <c r="T109" s="32"/>
      <c r="U109" s="313">
        <v>0</v>
      </c>
      <c r="V109" s="132">
        <v>0</v>
      </c>
      <c r="W109" s="132">
        <v>0</v>
      </c>
      <c r="X109" s="132">
        <v>0</v>
      </c>
      <c r="Y109" s="309">
        <f t="shared" si="161"/>
        <v>0</v>
      </c>
      <c r="Z109" s="32"/>
      <c r="AA109" s="313">
        <v>0</v>
      </c>
      <c r="AB109" s="132">
        <v>0</v>
      </c>
      <c r="AC109" s="132">
        <v>0</v>
      </c>
      <c r="AD109" s="132">
        <f>-0.02-AA109-AB109-AC109</f>
        <v>-0.02</v>
      </c>
      <c r="AE109" s="309">
        <f t="shared" si="162"/>
        <v>-0.02</v>
      </c>
      <c r="AF109" s="36"/>
      <c r="AG109" s="313">
        <v>0</v>
      </c>
      <c r="AH109" s="132">
        <v>0</v>
      </c>
      <c r="AI109" s="132">
        <v>0</v>
      </c>
      <c r="AJ109" s="132">
        <v>-0.42</v>
      </c>
      <c r="AK109" s="309">
        <f t="shared" si="163"/>
        <v>-0.42</v>
      </c>
      <c r="AL109" s="36"/>
      <c r="AM109" s="313">
        <v>0</v>
      </c>
      <c r="AN109" s="132">
        <v>0</v>
      </c>
      <c r="AO109" s="132">
        <v>0</v>
      </c>
      <c r="AP109" s="132">
        <v>-4.3999999999999997E-2</v>
      </c>
      <c r="AQ109" s="309">
        <f t="shared" si="164"/>
        <v>-4.3999999999999997E-2</v>
      </c>
      <c r="AR109" s="36"/>
      <c r="AS109" s="313">
        <v>-0.02</v>
      </c>
      <c r="AT109" s="132">
        <v>-0.02</v>
      </c>
      <c r="AU109" s="132">
        <v>0</v>
      </c>
      <c r="AV109" s="132">
        <v>0</v>
      </c>
      <c r="AW109" s="309">
        <f t="shared" si="165"/>
        <v>-0.04</v>
      </c>
      <c r="AX109" s="36"/>
      <c r="AY109" s="313">
        <v>0</v>
      </c>
      <c r="AZ109" s="132">
        <v>0</v>
      </c>
      <c r="BA109" s="132">
        <v>0</v>
      </c>
      <c r="BB109" s="132">
        <v>0</v>
      </c>
      <c r="BC109" s="309">
        <f t="shared" si="166"/>
        <v>0</v>
      </c>
      <c r="BD109" s="36"/>
      <c r="BE109" s="313">
        <v>0</v>
      </c>
      <c r="BF109" s="132">
        <v>0</v>
      </c>
      <c r="BG109" s="132">
        <v>0</v>
      </c>
      <c r="BH109" s="132">
        <v>-0.01</v>
      </c>
      <c r="BI109" s="309">
        <f t="shared" si="167"/>
        <v>-0.01</v>
      </c>
      <c r="BJ109" s="36"/>
      <c r="BK109" s="313">
        <v>0</v>
      </c>
      <c r="BL109" s="1379">
        <v>0</v>
      </c>
      <c r="BM109" s="1379">
        <v>0</v>
      </c>
      <c r="BN109" s="132">
        <v>0</v>
      </c>
      <c r="BO109" s="309">
        <f t="shared" si="168"/>
        <v>0</v>
      </c>
      <c r="BP109" s="36"/>
      <c r="BQ109" s="205"/>
      <c r="BR109" s="83"/>
      <c r="BS109" s="83"/>
      <c r="BT109" s="83"/>
      <c r="BU109" s="309">
        <f t="shared" si="169"/>
        <v>0</v>
      </c>
      <c r="BV109" s="36"/>
      <c r="BW109" s="205"/>
      <c r="BX109" s="83"/>
      <c r="BY109" s="83"/>
      <c r="BZ109" s="83"/>
      <c r="CA109" s="309">
        <f t="shared" si="170"/>
        <v>0</v>
      </c>
      <c r="CB109" s="36"/>
      <c r="CC109" s="205"/>
      <c r="CD109" s="83"/>
      <c r="CE109" s="83"/>
      <c r="CF109" s="83"/>
      <c r="CG109" s="309">
        <f t="shared" si="171"/>
        <v>0</v>
      </c>
      <c r="CH109" s="36"/>
      <c r="CI109" s="205"/>
      <c r="CJ109" s="83"/>
      <c r="CK109" s="83"/>
      <c r="CL109" s="83"/>
      <c r="CM109" s="309">
        <f t="shared" si="172"/>
        <v>0</v>
      </c>
      <c r="CN109" s="36"/>
      <c r="CO109" s="36"/>
      <c r="CP109" s="36"/>
      <c r="CQ109" s="36"/>
      <c r="CR109" s="36"/>
    </row>
    <row r="110" spans="1:96" ht="14.25" hidden="1" customHeight="1" outlineLevel="1">
      <c r="A110" s="36" t="s">
        <v>33</v>
      </c>
      <c r="B110" s="32"/>
      <c r="C110" s="313">
        <f>(C98*(1-40%)/C$49)</f>
        <v>0</v>
      </c>
      <c r="D110" s="132">
        <v>0</v>
      </c>
      <c r="E110" s="132">
        <v>0</v>
      </c>
      <c r="F110" s="132">
        <v>0</v>
      </c>
      <c r="G110" s="309">
        <f t="shared" si="159"/>
        <v>0</v>
      </c>
      <c r="H110" s="32"/>
      <c r="I110" s="313">
        <v>0</v>
      </c>
      <c r="J110" s="132">
        <v>0</v>
      </c>
      <c r="K110" s="132">
        <v>0</v>
      </c>
      <c r="L110" s="132">
        <v>0</v>
      </c>
      <c r="M110" s="309">
        <f>SUM(I110:L110)</f>
        <v>0</v>
      </c>
      <c r="N110" s="32"/>
      <c r="O110" s="313">
        <v>0</v>
      </c>
      <c r="P110" s="132">
        <v>0</v>
      </c>
      <c r="Q110" s="132">
        <v>0</v>
      </c>
      <c r="R110" s="132">
        <v>0</v>
      </c>
      <c r="S110" s="309">
        <f t="shared" si="160"/>
        <v>0</v>
      </c>
      <c r="T110" s="32"/>
      <c r="U110" s="313">
        <v>0</v>
      </c>
      <c r="V110" s="132">
        <v>0.02</v>
      </c>
      <c r="W110" s="132">
        <v>0</v>
      </c>
      <c r="X110" s="132">
        <v>0</v>
      </c>
      <c r="Y110" s="309">
        <f t="shared" si="161"/>
        <v>0.02</v>
      </c>
      <c r="Z110" s="32"/>
      <c r="AA110" s="313">
        <v>0</v>
      </c>
      <c r="AB110" s="132">
        <v>0</v>
      </c>
      <c r="AC110" s="132">
        <v>0</v>
      </c>
      <c r="AD110" s="132">
        <v>0</v>
      </c>
      <c r="AE110" s="309">
        <f t="shared" si="162"/>
        <v>0</v>
      </c>
      <c r="AF110" s="36"/>
      <c r="AG110" s="313">
        <v>0</v>
      </c>
      <c r="AH110" s="132">
        <v>0</v>
      </c>
      <c r="AI110" s="132">
        <v>0</v>
      </c>
      <c r="AJ110" s="132">
        <v>0</v>
      </c>
      <c r="AK110" s="309">
        <f t="shared" si="163"/>
        <v>0</v>
      </c>
      <c r="AL110" s="36"/>
      <c r="AM110" s="313">
        <v>0</v>
      </c>
      <c r="AN110" s="132">
        <v>0</v>
      </c>
      <c r="AO110" s="132">
        <v>0</v>
      </c>
      <c r="AP110" s="132">
        <v>0</v>
      </c>
      <c r="AQ110" s="309">
        <f t="shared" si="164"/>
        <v>0</v>
      </c>
      <c r="AR110" s="36"/>
      <c r="AS110" s="313">
        <v>0</v>
      </c>
      <c r="AT110" s="132">
        <v>0</v>
      </c>
      <c r="AU110" s="132">
        <v>0</v>
      </c>
      <c r="AV110" s="132">
        <v>0.01</v>
      </c>
      <c r="AW110" s="309">
        <f t="shared" si="165"/>
        <v>0.01</v>
      </c>
      <c r="AX110" s="36"/>
      <c r="AY110" s="313">
        <v>0</v>
      </c>
      <c r="AZ110" s="132">
        <v>0</v>
      </c>
      <c r="BA110" s="132">
        <v>0</v>
      </c>
      <c r="BB110" s="132">
        <v>0</v>
      </c>
      <c r="BC110" s="309">
        <f t="shared" si="166"/>
        <v>0</v>
      </c>
      <c r="BD110" s="36"/>
      <c r="BE110" s="313">
        <v>0</v>
      </c>
      <c r="BF110" s="1379">
        <v>0.05</v>
      </c>
      <c r="BG110" s="1379">
        <v>0</v>
      </c>
      <c r="BH110" s="1379">
        <v>0</v>
      </c>
      <c r="BI110" s="309">
        <f t="shared" si="167"/>
        <v>0.05</v>
      </c>
      <c r="BJ110" s="36"/>
      <c r="BK110" s="313">
        <v>0</v>
      </c>
      <c r="BL110" s="1379">
        <v>0</v>
      </c>
      <c r="BM110" s="1379">
        <v>0</v>
      </c>
      <c r="BN110" s="1379">
        <v>0</v>
      </c>
      <c r="BO110" s="309">
        <f t="shared" si="168"/>
        <v>0</v>
      </c>
      <c r="BP110" s="36"/>
      <c r="BQ110" s="205">
        <f>(BQ98-(BQ98-0*BQ$49))/BQ$49</f>
        <v>0</v>
      </c>
      <c r="BR110" s="83">
        <f>(BR98-(BR98-0*BR$49))/BR$49</f>
        <v>0</v>
      </c>
      <c r="BS110" s="83">
        <f>(BS98-(BS98-0*BS$49))/BS$49</f>
        <v>0</v>
      </c>
      <c r="BT110" s="83">
        <f>(BT98-(BT98-0*BT$49))/BT$49</f>
        <v>0</v>
      </c>
      <c r="BU110" s="309">
        <f t="shared" si="169"/>
        <v>0</v>
      </c>
      <c r="BV110" s="36"/>
      <c r="BW110" s="205">
        <f>(BW98-(BW98-0*BW$49))/BW$49</f>
        <v>0</v>
      </c>
      <c r="BX110" s="83">
        <f>(BX98-(BX98-0*BX$49))/BX$49</f>
        <v>0</v>
      </c>
      <c r="BY110" s="83">
        <f>(BY98-(BY98-0*BY$49))/BY$49</f>
        <v>0</v>
      </c>
      <c r="BZ110" s="83">
        <f>(BZ98-(BZ98-0*BZ$49))/BZ$49</f>
        <v>0</v>
      </c>
      <c r="CA110" s="309">
        <f t="shared" si="170"/>
        <v>0</v>
      </c>
      <c r="CB110" s="36"/>
      <c r="CC110" s="205">
        <f>(CC98-(CC98-0*CC$49))/CC$49</f>
        <v>0</v>
      </c>
      <c r="CD110" s="83">
        <f>(CD98-(CD98-0*CD$49))/CD$49</f>
        <v>0</v>
      </c>
      <c r="CE110" s="83">
        <f>(CE98-(CE98-0*CE$49))/CE$49</f>
        <v>0</v>
      </c>
      <c r="CF110" s="83">
        <f>(CF98-(CF98-0*CF$49))/CF$49</f>
        <v>0</v>
      </c>
      <c r="CG110" s="309">
        <f t="shared" si="171"/>
        <v>0</v>
      </c>
      <c r="CH110" s="36"/>
      <c r="CI110" s="205">
        <f>(CI98-(CI98-0*CI$49))/CI$49</f>
        <v>0</v>
      </c>
      <c r="CJ110" s="83">
        <f>(CJ98-(CJ98-0*CJ$49))/CJ$49</f>
        <v>0</v>
      </c>
      <c r="CK110" s="83">
        <f>(CK98-(CK98-0*CK$49))/CK$49</f>
        <v>0</v>
      </c>
      <c r="CL110" s="83">
        <f>(CL98-(CL98-0*CL$49))/CL$49</f>
        <v>0</v>
      </c>
      <c r="CM110" s="309">
        <f t="shared" si="172"/>
        <v>0</v>
      </c>
      <c r="CN110" s="36"/>
      <c r="CO110" s="36"/>
      <c r="CP110" s="36"/>
      <c r="CQ110" s="36"/>
      <c r="CR110" s="36"/>
    </row>
    <row r="111" spans="1:96" ht="14.25" hidden="1" customHeight="1" outlineLevel="1">
      <c r="A111" s="36" t="s">
        <v>437</v>
      </c>
      <c r="B111" s="32"/>
      <c r="C111" s="313">
        <v>0</v>
      </c>
      <c r="D111" s="132">
        <v>0</v>
      </c>
      <c r="E111" s="132">
        <v>0</v>
      </c>
      <c r="F111" s="132">
        <v>0</v>
      </c>
      <c r="G111" s="309">
        <f t="shared" si="159"/>
        <v>0</v>
      </c>
      <c r="H111" s="32"/>
      <c r="I111" s="313">
        <v>0</v>
      </c>
      <c r="J111" s="132">
        <v>0</v>
      </c>
      <c r="K111" s="132">
        <v>0</v>
      </c>
      <c r="L111" s="132">
        <v>0</v>
      </c>
      <c r="M111" s="309">
        <f>SUM(I111:L111)</f>
        <v>0</v>
      </c>
      <c r="N111" s="32"/>
      <c r="O111" s="313">
        <v>0</v>
      </c>
      <c r="P111" s="132">
        <v>0</v>
      </c>
      <c r="Q111" s="132">
        <v>0</v>
      </c>
      <c r="R111" s="132">
        <v>0</v>
      </c>
      <c r="S111" s="309">
        <f t="shared" si="160"/>
        <v>0</v>
      </c>
      <c r="T111" s="32"/>
      <c r="U111" s="313">
        <v>0</v>
      </c>
      <c r="V111" s="132">
        <v>0</v>
      </c>
      <c r="W111" s="132">
        <v>0</v>
      </c>
      <c r="X111" s="132">
        <v>0</v>
      </c>
      <c r="Y111" s="309">
        <f t="shared" si="161"/>
        <v>0</v>
      </c>
      <c r="Z111" s="32"/>
      <c r="AA111" s="313">
        <v>0</v>
      </c>
      <c r="AB111" s="132">
        <v>0</v>
      </c>
      <c r="AC111" s="132">
        <v>0</v>
      </c>
      <c r="AD111" s="132">
        <v>-0.4</v>
      </c>
      <c r="AE111" s="309">
        <f t="shared" si="162"/>
        <v>-0.4</v>
      </c>
      <c r="AF111" s="36"/>
      <c r="AG111" s="313">
        <v>-0.01</v>
      </c>
      <c r="AH111" s="132">
        <v>0</v>
      </c>
      <c r="AI111" s="132">
        <v>0</v>
      </c>
      <c r="AJ111" s="132">
        <v>-0.19</v>
      </c>
      <c r="AK111" s="309">
        <f t="shared" si="163"/>
        <v>-0.2</v>
      </c>
      <c r="AL111" s="36"/>
      <c r="AM111" s="313">
        <f>-0.047/114.716</f>
        <v>-4.0970745144530842E-4</v>
      </c>
      <c r="AN111" s="132">
        <v>0</v>
      </c>
      <c r="AO111" s="132">
        <v>0</v>
      </c>
      <c r="AP111" s="132">
        <v>0.13</v>
      </c>
      <c r="AQ111" s="309">
        <f t="shared" si="164"/>
        <v>0.1295902925485547</v>
      </c>
      <c r="AR111" s="36"/>
      <c r="AS111" s="313">
        <f>0.054/AS49</f>
        <v>4.7461261942220305E-4</v>
      </c>
      <c r="AT111" s="132">
        <v>0</v>
      </c>
      <c r="AU111" s="132">
        <v>0</v>
      </c>
      <c r="AV111" s="132">
        <v>-0.43</v>
      </c>
      <c r="AW111" s="309">
        <f t="shared" si="165"/>
        <v>-0.42952538738057777</v>
      </c>
      <c r="AX111" s="36"/>
      <c r="AY111" s="313">
        <v>0</v>
      </c>
      <c r="AZ111" s="132">
        <f>-0.832/AZ49</f>
        <v>-7.3089525884409614E-3</v>
      </c>
      <c r="BA111" s="132">
        <v>0</v>
      </c>
      <c r="BB111" s="132">
        <v>-0.1</v>
      </c>
      <c r="BC111" s="309">
        <f t="shared" si="166"/>
        <v>-0.10730895258844096</v>
      </c>
      <c r="BD111" s="36"/>
      <c r="BE111" s="313">
        <v>0</v>
      </c>
      <c r="BF111" s="1379">
        <v>0</v>
      </c>
      <c r="BG111" s="1379">
        <v>0</v>
      </c>
      <c r="BH111" s="1379">
        <v>-0.14000000000000001</v>
      </c>
      <c r="BI111" s="309">
        <f t="shared" si="167"/>
        <v>-0.14000000000000001</v>
      </c>
      <c r="BJ111" s="36"/>
      <c r="BK111" s="313">
        <v>0</v>
      </c>
      <c r="BL111" s="1379">
        <v>0</v>
      </c>
      <c r="BM111" s="1379">
        <v>0</v>
      </c>
      <c r="BN111" s="1379">
        <v>0</v>
      </c>
      <c r="BO111" s="309">
        <f t="shared" si="168"/>
        <v>0</v>
      </c>
      <c r="BP111" s="36"/>
      <c r="BQ111" s="205"/>
      <c r="BR111" s="83"/>
      <c r="BS111" s="83"/>
      <c r="BT111" s="83"/>
      <c r="BU111" s="309">
        <f t="shared" si="169"/>
        <v>0</v>
      </c>
      <c r="BV111" s="36"/>
      <c r="BW111" s="205"/>
      <c r="BX111" s="83"/>
      <c r="BY111" s="83"/>
      <c r="BZ111" s="83"/>
      <c r="CA111" s="309">
        <f t="shared" si="170"/>
        <v>0</v>
      </c>
      <c r="CB111" s="36"/>
      <c r="CC111" s="205"/>
      <c r="CD111" s="83"/>
      <c r="CE111" s="83"/>
      <c r="CF111" s="83"/>
      <c r="CG111" s="309">
        <f t="shared" si="171"/>
        <v>0</v>
      </c>
      <c r="CH111" s="36"/>
      <c r="CI111" s="205"/>
      <c r="CJ111" s="83"/>
      <c r="CK111" s="83"/>
      <c r="CL111" s="83"/>
      <c r="CM111" s="309">
        <f t="shared" si="172"/>
        <v>0</v>
      </c>
      <c r="CN111" s="36"/>
      <c r="CO111" s="36"/>
      <c r="CP111" s="36"/>
      <c r="CQ111" s="36"/>
      <c r="CR111" s="36"/>
    </row>
    <row r="112" spans="1:96" ht="12.75" hidden="1" customHeight="1" outlineLevel="1">
      <c r="A112" s="36" t="s">
        <v>123</v>
      </c>
      <c r="B112" s="32"/>
      <c r="C112" s="313">
        <v>-0.03</v>
      </c>
      <c r="D112" s="132">
        <v>-0.02</v>
      </c>
      <c r="E112" s="132">
        <v>0.01</v>
      </c>
      <c r="F112" s="132">
        <v>-0.03</v>
      </c>
      <c r="G112" s="309">
        <f>SUM(C112:F112)</f>
        <v>-7.0000000000000007E-2</v>
      </c>
      <c r="H112" s="32"/>
      <c r="I112" s="313">
        <v>0</v>
      </c>
      <c r="J112" s="132">
        <v>0</v>
      </c>
      <c r="K112" s="132">
        <v>-0.04</v>
      </c>
      <c r="L112" s="132">
        <v>0</v>
      </c>
      <c r="M112" s="309">
        <f>SUM(I112:L112)</f>
        <v>-0.04</v>
      </c>
      <c r="N112" s="32"/>
      <c r="O112" s="313">
        <v>-0.05</v>
      </c>
      <c r="P112" s="132">
        <v>0</v>
      </c>
      <c r="Q112" s="132">
        <v>-7.0000000000000007E-2</v>
      </c>
      <c r="R112" s="132">
        <f>-0.11-O112-P112-Q112</f>
        <v>1.0000000000000009E-2</v>
      </c>
      <c r="S112" s="309">
        <f>SUM(O112:R112)</f>
        <v>-0.11</v>
      </c>
      <c r="T112" s="32"/>
      <c r="U112" s="313">
        <v>0</v>
      </c>
      <c r="V112" s="132">
        <v>-0.06</v>
      </c>
      <c r="W112" s="132">
        <v>0</v>
      </c>
      <c r="X112" s="132">
        <v>-0.06</v>
      </c>
      <c r="Y112" s="309">
        <f>SUM(U112:X112)</f>
        <v>-0.12</v>
      </c>
      <c r="Z112" s="32"/>
      <c r="AA112" s="313">
        <v>0</v>
      </c>
      <c r="AB112" s="132">
        <v>-0.02</v>
      </c>
      <c r="AC112" s="132">
        <v>0</v>
      </c>
      <c r="AD112" s="132">
        <f>-0.08-AA112-AB112-AC112</f>
        <v>-0.06</v>
      </c>
      <c r="AE112" s="309">
        <f>SUM(AA112:AD112)</f>
        <v>-0.08</v>
      </c>
      <c r="AF112" s="36"/>
      <c r="AG112" s="313">
        <v>-0.04</v>
      </c>
      <c r="AH112" s="132">
        <v>-0.04</v>
      </c>
      <c r="AI112" s="132">
        <v>-0.06</v>
      </c>
      <c r="AJ112" s="132">
        <v>-0.03</v>
      </c>
      <c r="AK112" s="309">
        <f>SUM(AG112:AJ112)</f>
        <v>-0.17</v>
      </c>
      <c r="AL112" s="36"/>
      <c r="AM112" s="313">
        <v>-0.02</v>
      </c>
      <c r="AN112" s="132">
        <v>-0.11</v>
      </c>
      <c r="AO112" s="132">
        <v>5.0000000000000001E-3</v>
      </c>
      <c r="AP112" s="132">
        <f>-0.05-0.02-0.08</f>
        <v>-0.15000000000000002</v>
      </c>
      <c r="AQ112" s="309">
        <f t="shared" si="164"/>
        <v>-0.27500000000000002</v>
      </c>
      <c r="AR112" s="36"/>
      <c r="AS112" s="313">
        <v>-0.01</v>
      </c>
      <c r="AT112" s="132">
        <v>0</v>
      </c>
      <c r="AU112" s="132">
        <v>-7.0000000000000007E-2</v>
      </c>
      <c r="AV112" s="132">
        <v>-0.01</v>
      </c>
      <c r="AW112" s="309">
        <f>SUM(AS112:AV112)</f>
        <v>-0.09</v>
      </c>
      <c r="AX112" s="36"/>
      <c r="AY112" s="313">
        <v>0</v>
      </c>
      <c r="AZ112" s="132">
        <v>-0.04</v>
      </c>
      <c r="BA112" s="132">
        <v>0</v>
      </c>
      <c r="BB112" s="132">
        <v>-0.08</v>
      </c>
      <c r="BC112" s="309">
        <f>SUM(AY112:BB112)</f>
        <v>-0.12</v>
      </c>
      <c r="BD112" s="36"/>
      <c r="BE112" s="313">
        <v>0</v>
      </c>
      <c r="BF112" s="1379">
        <v>-0.04</v>
      </c>
      <c r="BG112" s="1379">
        <v>-0.01</v>
      </c>
      <c r="BH112" s="1379">
        <v>0</v>
      </c>
      <c r="BI112" s="309">
        <f>SUM(BE112:BH112)</f>
        <v>-0.05</v>
      </c>
      <c r="BJ112" s="36"/>
      <c r="BK112" s="313">
        <v>-0.09</v>
      </c>
      <c r="BL112" s="1379">
        <v>0</v>
      </c>
      <c r="BM112" s="1379">
        <v>-0.03</v>
      </c>
      <c r="BN112" s="1379">
        <v>0</v>
      </c>
      <c r="BO112" s="309">
        <f>SUM(BK112:BN112)</f>
        <v>-0.12</v>
      </c>
      <c r="BP112" s="36"/>
      <c r="BQ112" s="205">
        <f>-(BQ99-(BQ99-0*BQ$49))/BQ$49</f>
        <v>0</v>
      </c>
      <c r="BR112" s="83">
        <f>-(BR99-(BR99-0*BR$49))/BR$49</f>
        <v>0</v>
      </c>
      <c r="BS112" s="83">
        <f>-(BS99-(BS99-0*BS$49))/BS$49</f>
        <v>0</v>
      </c>
      <c r="BT112" s="83">
        <f>-(BT99-(BT99-0*BT$49))/BT$49</f>
        <v>0</v>
      </c>
      <c r="BU112" s="309">
        <f>SUM(BQ112:BT112)</f>
        <v>0</v>
      </c>
      <c r="BV112" s="36"/>
      <c r="BW112" s="205">
        <f>-(BW99-(BW99-0*BW$49))/BW$49</f>
        <v>0</v>
      </c>
      <c r="BX112" s="83">
        <f>-(BX99-(BX99-0*BX$49))/BX$49</f>
        <v>0</v>
      </c>
      <c r="BY112" s="83">
        <f>-(BY99-(BY99-0*BY$49))/BY$49</f>
        <v>0</v>
      </c>
      <c r="BZ112" s="83">
        <f>-(BZ99-(BZ99-0*BZ$49))/BZ$49</f>
        <v>0</v>
      </c>
      <c r="CA112" s="309">
        <f>SUM(BW112:BZ112)</f>
        <v>0</v>
      </c>
      <c r="CB112" s="36"/>
      <c r="CC112" s="205">
        <f>-(CC99-(CC99-0*CC$49))/CC$49</f>
        <v>0</v>
      </c>
      <c r="CD112" s="83">
        <f>-(CD99-(CD99-0*CD$49))/CD$49</f>
        <v>0</v>
      </c>
      <c r="CE112" s="83">
        <f>-(CE99-(CE99-0*CE$49))/CE$49</f>
        <v>0</v>
      </c>
      <c r="CF112" s="83">
        <f>-(CF99-(CF99-0*CF$49))/CF$49</f>
        <v>0</v>
      </c>
      <c r="CG112" s="309">
        <f>SUM(CC112:CF112)</f>
        <v>0</v>
      </c>
      <c r="CH112" s="36"/>
      <c r="CI112" s="205">
        <f>-(CI99-(CI99-0*CI$49))/CI$49</f>
        <v>0</v>
      </c>
      <c r="CJ112" s="83">
        <f>-(CJ99-(CJ99-0*CJ$49))/CJ$49</f>
        <v>0</v>
      </c>
      <c r="CK112" s="83">
        <f>-(CK99-(CK99-0*CK$49))/CK$49</f>
        <v>0</v>
      </c>
      <c r="CL112" s="83">
        <f>-(CL99-(CL99-0*CL$49))/CL$49</f>
        <v>0</v>
      </c>
      <c r="CM112" s="309">
        <f>SUM(CI112:CL112)</f>
        <v>0</v>
      </c>
      <c r="CN112" s="36"/>
      <c r="CO112" s="36"/>
      <c r="CP112" s="36"/>
      <c r="CQ112" s="36"/>
      <c r="CR112" s="36"/>
    </row>
    <row r="113" spans="1:102" ht="14.25" hidden="1" customHeight="1" outlineLevel="1">
      <c r="A113" s="36" t="s">
        <v>438</v>
      </c>
      <c r="B113" s="32"/>
      <c r="C113" s="313">
        <v>0</v>
      </c>
      <c r="D113" s="132">
        <v>0</v>
      </c>
      <c r="E113" s="132">
        <v>0</v>
      </c>
      <c r="F113" s="132">
        <v>0</v>
      </c>
      <c r="G113" s="309">
        <f t="shared" si="159"/>
        <v>0</v>
      </c>
      <c r="H113" s="32"/>
      <c r="I113" s="313">
        <v>0</v>
      </c>
      <c r="J113" s="132">
        <v>0</v>
      </c>
      <c r="K113" s="132">
        <v>0</v>
      </c>
      <c r="L113" s="132">
        <v>0</v>
      </c>
      <c r="M113" s="309">
        <f>SUM(I113:L113)</f>
        <v>0</v>
      </c>
      <c r="N113" s="32"/>
      <c r="O113" s="313">
        <v>0</v>
      </c>
      <c r="P113" s="132">
        <v>0</v>
      </c>
      <c r="Q113" s="132">
        <v>0</v>
      </c>
      <c r="R113" s="132">
        <v>0</v>
      </c>
      <c r="S113" s="309">
        <f t="shared" si="160"/>
        <v>0</v>
      </c>
      <c r="T113" s="32"/>
      <c r="U113" s="313">
        <v>0</v>
      </c>
      <c r="V113" s="132">
        <v>0</v>
      </c>
      <c r="W113" s="132">
        <v>0</v>
      </c>
      <c r="X113" s="132">
        <v>0</v>
      </c>
      <c r="Y113" s="309">
        <f t="shared" si="161"/>
        <v>0</v>
      </c>
      <c r="Z113" s="32"/>
      <c r="AA113" s="313">
        <v>0</v>
      </c>
      <c r="AB113" s="132">
        <v>0</v>
      </c>
      <c r="AC113" s="132">
        <v>0</v>
      </c>
      <c r="AD113" s="132">
        <f>-0.6-AA113-AB113-AC113</f>
        <v>-0.6</v>
      </c>
      <c r="AE113" s="309">
        <f t="shared" si="162"/>
        <v>-0.6</v>
      </c>
      <c r="AF113" s="36"/>
      <c r="AG113" s="313">
        <v>0</v>
      </c>
      <c r="AH113" s="132">
        <v>0</v>
      </c>
      <c r="AI113" s="132">
        <v>0</v>
      </c>
      <c r="AJ113" s="132">
        <v>0</v>
      </c>
      <c r="AK113" s="309">
        <f t="shared" si="163"/>
        <v>0</v>
      </c>
      <c r="AL113" s="36"/>
      <c r="AM113" s="313">
        <f>0.08</f>
        <v>0.08</v>
      </c>
      <c r="AN113" s="132">
        <v>0</v>
      </c>
      <c r="AO113" s="132">
        <v>0</v>
      </c>
      <c r="AP113" s="132">
        <v>6.4000000000000001E-2</v>
      </c>
      <c r="AQ113" s="309">
        <f t="shared" si="164"/>
        <v>0.14400000000000002</v>
      </c>
      <c r="AR113" s="36"/>
      <c r="AS113" s="313">
        <v>0</v>
      </c>
      <c r="AT113" s="132">
        <v>0</v>
      </c>
      <c r="AU113" s="132">
        <v>0</v>
      </c>
      <c r="AV113" s="132">
        <v>0</v>
      </c>
      <c r="AW113" s="309">
        <f t="shared" si="165"/>
        <v>0</v>
      </c>
      <c r="AX113" s="36"/>
      <c r="AY113" s="313">
        <v>0.08</v>
      </c>
      <c r="AZ113" s="132">
        <v>0.08</v>
      </c>
      <c r="BA113" s="132">
        <v>0.06</v>
      </c>
      <c r="BB113" s="132">
        <v>0.12</v>
      </c>
      <c r="BC113" s="309">
        <f t="shared" si="166"/>
        <v>0.33999999999999997</v>
      </c>
      <c r="BD113" s="36"/>
      <c r="BE113" s="313">
        <v>0.06</v>
      </c>
      <c r="BF113" s="1379">
        <v>0.1</v>
      </c>
      <c r="BG113" s="1379">
        <v>0.05</v>
      </c>
      <c r="BH113" s="1379">
        <v>0.1</v>
      </c>
      <c r="BI113" s="309">
        <f t="shared" si="167"/>
        <v>0.31000000000000005</v>
      </c>
      <c r="BJ113" s="36"/>
      <c r="BK113" s="313">
        <v>0.08</v>
      </c>
      <c r="BL113" s="132">
        <v>0.06</v>
      </c>
      <c r="BM113" s="132">
        <v>0.06</v>
      </c>
      <c r="BN113" s="1379">
        <v>-0.97</v>
      </c>
      <c r="BO113" s="309">
        <f t="shared" si="168"/>
        <v>-0.77</v>
      </c>
      <c r="BP113" s="36"/>
      <c r="BQ113" s="1783">
        <v>0.04</v>
      </c>
      <c r="BR113" s="1784">
        <v>0.04</v>
      </c>
      <c r="BS113" s="1784">
        <v>0.04</v>
      </c>
      <c r="BT113" s="1784">
        <v>0.04</v>
      </c>
      <c r="BU113" s="309">
        <f>SUM(BQ113:BT113)</f>
        <v>0.16</v>
      </c>
      <c r="BV113" s="36"/>
      <c r="BW113" s="1783">
        <v>0.04</v>
      </c>
      <c r="BX113" s="1784">
        <v>0.04</v>
      </c>
      <c r="BY113" s="1784">
        <v>0.04</v>
      </c>
      <c r="BZ113" s="1784">
        <v>0.04</v>
      </c>
      <c r="CA113" s="309">
        <f>SUM(BW113:BZ113)</f>
        <v>0.16</v>
      </c>
      <c r="CB113" s="36"/>
      <c r="CC113" s="1783">
        <v>0.04</v>
      </c>
      <c r="CD113" s="1784">
        <v>0.04</v>
      </c>
      <c r="CE113" s="1784">
        <v>0.04</v>
      </c>
      <c r="CF113" s="1784">
        <v>0.04</v>
      </c>
      <c r="CG113" s="309">
        <f>SUM(CC113:CF113)</f>
        <v>0.16</v>
      </c>
      <c r="CH113" s="36"/>
      <c r="CI113" s="1783">
        <v>0.04</v>
      </c>
      <c r="CJ113" s="1784">
        <v>0.04</v>
      </c>
      <c r="CK113" s="1784">
        <v>0.04</v>
      </c>
      <c r="CL113" s="1784">
        <v>0.04</v>
      </c>
      <c r="CM113" s="309">
        <f>SUM(CI113:CL113)</f>
        <v>0.16</v>
      </c>
      <c r="CN113" s="36"/>
      <c r="CO113" s="36"/>
      <c r="CP113" s="36"/>
      <c r="CQ113" s="36"/>
      <c r="CR113" s="36"/>
    </row>
    <row r="114" spans="1:102" ht="12.75" hidden="1" customHeight="1" outlineLevel="1" collapsed="1" thickBot="1">
      <c r="A114" s="304" t="s">
        <v>433</v>
      </c>
      <c r="B114" s="305"/>
      <c r="C114" s="314">
        <f>SUM(C105:C113)</f>
        <v>0.13419274234766293</v>
      </c>
      <c r="D114" s="306">
        <f>SUM(D105:D113)</f>
        <v>0.28434240071588945</v>
      </c>
      <c r="E114" s="306">
        <f>SUM(E105:E113)</f>
        <v>0.27908047516596507</v>
      </c>
      <c r="F114" s="306">
        <f>SUM(F105:F113)</f>
        <v>0.45534596479435396</v>
      </c>
      <c r="G114" s="310">
        <f>SUM(G105:G113)</f>
        <v>1.1499292732473771</v>
      </c>
      <c r="H114" s="305"/>
      <c r="I114" s="314">
        <f>SUM(I105:I113)</f>
        <v>0.17802784085632989</v>
      </c>
      <c r="J114" s="306">
        <f>SUM(J105:J113)</f>
        <v>0.24837543915548044</v>
      </c>
      <c r="K114" s="306">
        <f>SUM(K105:K113)</f>
        <v>0.35469738899246711</v>
      </c>
      <c r="L114" s="306">
        <f>SUM(L105:L113)</f>
        <v>0.34293160274917611</v>
      </c>
      <c r="M114" s="310">
        <f>SUM(M105:M113)</f>
        <v>1.1223970611777201</v>
      </c>
      <c r="N114" s="305"/>
      <c r="O114" s="314">
        <f>SUM(O105:O113)</f>
        <v>0.13219850367218078</v>
      </c>
      <c r="P114" s="306">
        <f>SUM(P105:P113)</f>
        <v>0.200983933670485</v>
      </c>
      <c r="Q114" s="306">
        <f>SUM(Q105:Q113)</f>
        <v>0.12110664346156147</v>
      </c>
      <c r="R114" s="306">
        <f>SUM(R105:R113)</f>
        <v>0.1903416595380657</v>
      </c>
      <c r="S114" s="310">
        <f>SUM(S105:S113)</f>
        <v>0.6445578523029406</v>
      </c>
      <c r="T114" s="305"/>
      <c r="U114" s="314">
        <f>SUM(U105:U113)</f>
        <v>0.16226437493110374</v>
      </c>
      <c r="V114" s="306">
        <f>SUM(V105:V113)</f>
        <v>0.18381457938869347</v>
      </c>
      <c r="W114" s="306">
        <f>SUM(W105:W113)</f>
        <v>0.24729499945011721</v>
      </c>
      <c r="X114" s="306">
        <f>SUM(X105:X113)</f>
        <v>0.38644020189467843</v>
      </c>
      <c r="Y114" s="310">
        <f>SUM(Y105:Y113)</f>
        <v>0.97867471309182863</v>
      </c>
      <c r="Z114" s="305"/>
      <c r="AA114" s="314">
        <f>SUM(AA105:AA113)</f>
        <v>0.56690116380059108</v>
      </c>
      <c r="AB114" s="306">
        <f>SUM(AB105:AB113)</f>
        <v>0.59832076252167321</v>
      </c>
      <c r="AC114" s="306">
        <f>SUM(AC105:AC113)</f>
        <v>0.57278377782675749</v>
      </c>
      <c r="AD114" s="306">
        <f>SUM(AD105:AD113)</f>
        <v>-0.73900857976878287</v>
      </c>
      <c r="AE114" s="310">
        <f>SUM(AE105:AE113)</f>
        <v>0.99572296775099833</v>
      </c>
      <c r="AF114" s="304"/>
      <c r="AG114" s="314">
        <f>SUM(AG105:AG113)</f>
        <v>0.19434975770905868</v>
      </c>
      <c r="AH114" s="306">
        <f>SUM(AH105:AH113)</f>
        <v>0.28833632983644358</v>
      </c>
      <c r="AI114" s="306">
        <f>SUM(AI105:AI113)</f>
        <v>0.25283048400841768</v>
      </c>
      <c r="AJ114" s="306">
        <f>SUM(AJ105:AJ113)</f>
        <v>-0.13923453337993627</v>
      </c>
      <c r="AK114" s="310">
        <f>SUM(AK105:AK113)</f>
        <v>0.59033257879156908</v>
      </c>
      <c r="AL114" s="304"/>
      <c r="AM114" s="314">
        <f>SUM(AM105:AM113)</f>
        <v>0.28096342271348373</v>
      </c>
      <c r="AN114" s="306">
        <f>SUM(AN105:AN113)</f>
        <v>0.25098919427243271</v>
      </c>
      <c r="AO114" s="306">
        <f>SUM(AO105:AO113)</f>
        <v>0.36725342050126036</v>
      </c>
      <c r="AP114" s="306">
        <f>SUM(AP105:AP113)</f>
        <v>0.58209284083798329</v>
      </c>
      <c r="AQ114" s="310">
        <f>SUM(AQ105:AQ113)</f>
        <v>1.47967413403292</v>
      </c>
      <c r="AR114" s="304"/>
      <c r="AS114" s="314">
        <f>SUM(AS105:AS113)</f>
        <v>0.31082774198652019</v>
      </c>
      <c r="AT114" s="306">
        <f>SUM(AT105:AT113)</f>
        <v>0.46419358433285673</v>
      </c>
      <c r="AU114" s="306">
        <f>SUM(AU105:AU113)</f>
        <v>0.38793718475021827</v>
      </c>
      <c r="AV114" s="306">
        <f>SUM(AV105:AV113)</f>
        <v>0.27005540967491898</v>
      </c>
      <c r="AW114" s="310">
        <f>SUM(AW105:AW113)</f>
        <v>1.4323077590712261</v>
      </c>
      <c r="AX114" s="304"/>
      <c r="AY114" s="314">
        <f>SUM(AY105:AY113)</f>
        <v>0.29513659323513108</v>
      </c>
      <c r="AZ114" s="306">
        <f>SUM(AZ105:AZ113)</f>
        <v>0.37783419570774729</v>
      </c>
      <c r="BA114" s="306">
        <f>SUM(BA105:BA113)</f>
        <v>0.42544268307735739</v>
      </c>
      <c r="BB114" s="306">
        <f>SUM(BB105:BB113)</f>
        <v>0.57323481467625181</v>
      </c>
      <c r="BC114" s="310">
        <f>SUM(BC105:BC113)</f>
        <v>1.6675264178391269</v>
      </c>
      <c r="BD114" s="304"/>
      <c r="BE114" s="314">
        <f>SUM(BE105:BE113)</f>
        <v>0.38497234587886137</v>
      </c>
      <c r="BF114" s="306">
        <f>SUM(BF105:BF113)</f>
        <v>0.52809438840537526</v>
      </c>
      <c r="BG114" s="306">
        <f>SUM(BG105:BG113)</f>
        <v>0.48816293900688579</v>
      </c>
      <c r="BH114" s="306">
        <f>SUM(BH105:BH113)</f>
        <v>0.56154607443456772</v>
      </c>
      <c r="BI114" s="310">
        <f>SUM(BI105:BI113)</f>
        <v>1.9614566732841994</v>
      </c>
      <c r="BJ114" s="304"/>
      <c r="BK114" s="314">
        <f>SUM(BK105:BK113)</f>
        <v>0.32710246452034342</v>
      </c>
      <c r="BL114" s="306">
        <f>SUM(BL105:BL113)</f>
        <v>0.5663043281992024</v>
      </c>
      <c r="BM114" s="306">
        <f>SUM(BM105:BM113)</f>
        <v>0.86999999999999988</v>
      </c>
      <c r="BN114" s="306">
        <f>SUM(BN105:BN113)</f>
        <v>-0.34568565713106769</v>
      </c>
      <c r="BO114" s="310">
        <f>SUM(BO105:BO113)</f>
        <v>1.4202194679728279</v>
      </c>
      <c r="BP114" s="304"/>
      <c r="BQ114" s="314">
        <f>SUM(BQ105:BQ113)</f>
        <v>0.47768460194374129</v>
      </c>
      <c r="BR114" s="306">
        <f>SUM(BR105:BR113)</f>
        <v>0.73719113365218492</v>
      </c>
      <c r="BS114" s="306">
        <f>SUM(BS105:BS113)</f>
        <v>0.7950998558570701</v>
      </c>
      <c r="BT114" s="306">
        <f>SUM(BT105:BT113)</f>
        <v>1.0452479650437096</v>
      </c>
      <c r="BU114" s="310">
        <f>SUM(BU105:BU113)</f>
        <v>3.0550842666557054</v>
      </c>
      <c r="BV114" s="304"/>
      <c r="BW114" s="314">
        <f>SUM(BW105:BW113)</f>
        <v>0.60769407449718449</v>
      </c>
      <c r="BX114" s="306">
        <f>SUM(BX105:BX113)</f>
        <v>0.8886478229772018</v>
      </c>
      <c r="BY114" s="306">
        <f>SUM(BY105:BY113)</f>
        <v>0.953652523644274</v>
      </c>
      <c r="BZ114" s="306">
        <f>SUM(BZ105:BZ113)</f>
        <v>1.2263605423822272</v>
      </c>
      <c r="CA114" s="310">
        <f>SUM(CA105:CA113)</f>
        <v>3.674846855185947</v>
      </c>
      <c r="CB114" s="304"/>
      <c r="CC114" s="314">
        <f>SUM(CC105:CC113)</f>
        <v>0.73365968277946303</v>
      </c>
      <c r="CD114" s="306">
        <f>SUM(CD105:CD113)</f>
        <v>1.1238870371121408</v>
      </c>
      <c r="CE114" s="306">
        <f>SUM(CE105:CE113)</f>
        <v>1.2003451942962768</v>
      </c>
      <c r="CF114" s="306">
        <f>SUM(CF105:CF113)</f>
        <v>1.5194286678210727</v>
      </c>
      <c r="CG114" s="310">
        <f>SUM(CG105:CG113)</f>
        <v>4.5765828306916827</v>
      </c>
      <c r="CH114" s="304"/>
      <c r="CI114" s="314">
        <f>SUM(CI105:CI113)</f>
        <v>0.97759453006702512</v>
      </c>
      <c r="CJ114" s="306">
        <f>SUM(CJ105:CJ113)</f>
        <v>1.1893433289261619</v>
      </c>
      <c r="CK114" s="306">
        <f>SUM(CK105:CK113)</f>
        <v>1.2623405064737523</v>
      </c>
      <c r="CL114" s="306">
        <f>SUM(CL105:CL113)</f>
        <v>1.5809070931782845</v>
      </c>
      <c r="CM114" s="310">
        <f>SUM(CM105:CM113)</f>
        <v>5.0112866531075149</v>
      </c>
      <c r="CN114" s="54"/>
      <c r="CO114" s="54"/>
      <c r="CP114" s="54"/>
      <c r="CQ114" s="54"/>
      <c r="CR114" s="54"/>
    </row>
    <row r="115" spans="1:102" ht="6" customHeight="1" collapsed="1">
      <c r="AJ115" s="108"/>
      <c r="AK115" s="108"/>
      <c r="AL115" s="108"/>
      <c r="AM115" s="108"/>
      <c r="AN115" s="108"/>
    </row>
    <row r="116" spans="1:102" ht="12.6" customHeight="1">
      <c r="A116" s="207" t="s">
        <v>35</v>
      </c>
      <c r="B116" s="206"/>
      <c r="C116" s="206"/>
      <c r="D116" s="206"/>
      <c r="E116" s="206"/>
      <c r="F116" s="233"/>
      <c r="G116" s="206"/>
      <c r="H116" s="234"/>
      <c r="I116" s="206"/>
      <c r="J116" s="206"/>
      <c r="K116" s="206"/>
      <c r="L116" s="206"/>
      <c r="M116" s="235"/>
      <c r="N116" s="231"/>
      <c r="O116" s="231"/>
      <c r="P116" s="231"/>
      <c r="Q116" s="231"/>
      <c r="R116" s="231"/>
      <c r="S116" s="231"/>
      <c r="T116" s="231"/>
      <c r="U116" s="231"/>
      <c r="V116" s="231"/>
      <c r="W116" s="231"/>
      <c r="X116" s="231"/>
      <c r="Y116" s="231"/>
      <c r="Z116" s="231"/>
      <c r="AA116" s="231"/>
      <c r="AB116" s="231"/>
      <c r="AC116" s="231"/>
      <c r="AD116" s="231"/>
      <c r="AE116" s="231"/>
      <c r="AF116" s="231"/>
      <c r="AG116" s="231"/>
      <c r="AH116" s="231"/>
      <c r="AI116" s="231"/>
      <c r="AJ116" s="231"/>
      <c r="AK116" s="231"/>
      <c r="AL116" s="231"/>
      <c r="AM116" s="231"/>
      <c r="AN116" s="231"/>
      <c r="AO116" s="231"/>
      <c r="AP116" s="231"/>
      <c r="AQ116" s="231"/>
      <c r="AR116" s="231"/>
      <c r="AS116" s="231"/>
      <c r="AT116" s="231"/>
      <c r="AU116" s="231"/>
      <c r="AV116" s="231"/>
      <c r="AW116" s="231"/>
      <c r="AX116" s="231"/>
      <c r="AY116" s="231"/>
      <c r="AZ116" s="231"/>
      <c r="BA116" s="231"/>
      <c r="BB116" s="231"/>
      <c r="BC116" s="231"/>
      <c r="BD116" s="231"/>
      <c r="BE116" s="231"/>
      <c r="BF116" s="231"/>
      <c r="BG116" s="231"/>
      <c r="BH116" s="231"/>
      <c r="BI116" s="231"/>
      <c r="BJ116" s="231"/>
      <c r="BK116" s="231"/>
      <c r="BL116" s="231"/>
      <c r="BM116" s="231"/>
      <c r="BN116" s="231"/>
      <c r="BO116" s="231"/>
      <c r="BP116" s="231"/>
      <c r="BQ116" s="231"/>
      <c r="BR116" s="231"/>
      <c r="BS116" s="231"/>
      <c r="BT116" s="231"/>
      <c r="BU116" s="231"/>
      <c r="BV116" s="231"/>
      <c r="BW116" s="231"/>
      <c r="BX116" s="231"/>
      <c r="BY116" s="231"/>
      <c r="BZ116" s="231"/>
      <c r="CA116" s="231"/>
      <c r="CB116" s="231"/>
      <c r="CC116" s="231"/>
      <c r="CD116" s="231"/>
      <c r="CE116" s="231"/>
      <c r="CF116" s="231"/>
      <c r="CG116" s="231"/>
      <c r="CH116" s="231"/>
      <c r="CI116" s="231"/>
      <c r="CJ116" s="231"/>
      <c r="CK116" s="231"/>
      <c r="CL116" s="231"/>
      <c r="CM116" s="231"/>
    </row>
    <row r="117" spans="1:102" ht="12.6" customHeight="1">
      <c r="A117" s="472" t="s">
        <v>208</v>
      </c>
      <c r="B117" s="54"/>
      <c r="C117" s="280"/>
      <c r="D117" s="36"/>
      <c r="E117" s="36"/>
      <c r="F117" s="473"/>
      <c r="G117" s="36"/>
      <c r="H117" s="474"/>
      <c r="I117" s="36"/>
      <c r="J117" s="36"/>
      <c r="K117" s="36"/>
      <c r="L117" s="36"/>
      <c r="M117" s="475"/>
      <c r="N117" s="1935"/>
      <c r="O117" s="476"/>
      <c r="P117" s="477"/>
      <c r="Q117" s="477"/>
      <c r="R117" s="477"/>
      <c r="S117" s="475"/>
      <c r="T117" s="1935"/>
      <c r="U117" s="476"/>
      <c r="V117" s="477"/>
      <c r="W117" s="477"/>
      <c r="X117" s="477"/>
      <c r="Y117" s="475"/>
      <c r="Z117" s="1935"/>
      <c r="AA117" s="476"/>
      <c r="AB117" s="477"/>
      <c r="AC117" s="477"/>
      <c r="AD117" s="477"/>
      <c r="AE117" s="475"/>
      <c r="AF117" s="477"/>
      <c r="AG117" s="476"/>
      <c r="AH117" s="477"/>
      <c r="AI117" s="477"/>
      <c r="AJ117" s="477"/>
      <c r="AK117" s="475"/>
      <c r="AL117" s="477"/>
      <c r="AM117" s="476"/>
      <c r="AN117" s="477"/>
      <c r="AO117" s="477"/>
      <c r="AP117" s="477"/>
      <c r="AQ117" s="475"/>
      <c r="AR117" s="477"/>
      <c r="AS117" s="476"/>
      <c r="AT117" s="477"/>
      <c r="AU117" s="477"/>
      <c r="AV117" s="477"/>
      <c r="AW117" s="475"/>
      <c r="AX117" s="477"/>
      <c r="AY117" s="476"/>
      <c r="AZ117" s="477"/>
      <c r="BA117" s="477"/>
      <c r="BB117" s="477"/>
      <c r="BC117" s="475"/>
      <c r="BD117" s="477"/>
      <c r="BE117" s="476"/>
      <c r="BF117" s="477"/>
      <c r="BG117" s="477"/>
      <c r="BH117" s="477"/>
      <c r="BI117" s="475"/>
      <c r="BJ117" s="477"/>
      <c r="BK117" s="476"/>
      <c r="BL117" s="477"/>
      <c r="BM117" s="477"/>
      <c r="BN117" s="477"/>
      <c r="BO117" s="475"/>
      <c r="BP117" s="477"/>
      <c r="BQ117" s="476"/>
      <c r="BR117" s="477"/>
      <c r="BS117" s="477"/>
      <c r="BT117" s="477"/>
      <c r="BU117" s="475"/>
      <c r="BV117" s="477"/>
      <c r="BW117" s="476"/>
      <c r="BX117" s="477"/>
      <c r="BY117" s="477"/>
      <c r="BZ117" s="477"/>
      <c r="CA117" s="475"/>
      <c r="CB117" s="477"/>
      <c r="CC117" s="476"/>
      <c r="CD117" s="477"/>
      <c r="CE117" s="477"/>
      <c r="CF117" s="477"/>
      <c r="CG117" s="475"/>
      <c r="CH117" s="477"/>
      <c r="CI117" s="476"/>
      <c r="CJ117" s="477"/>
      <c r="CK117" s="477"/>
      <c r="CL117" s="477"/>
      <c r="CM117" s="475"/>
      <c r="CN117" s="108"/>
      <c r="CO117" s="108"/>
      <c r="CP117" s="108"/>
      <c r="CQ117" s="108"/>
      <c r="CR117" s="108"/>
    </row>
    <row r="118" spans="1:102" ht="12.6" hidden="1" customHeight="1" outlineLevel="1">
      <c r="A118" s="516" t="s">
        <v>5</v>
      </c>
      <c r="B118" s="491"/>
      <c r="C118" s="699">
        <f>ProFormaRevBuild!C11</f>
        <v>299.53800000000001</v>
      </c>
      <c r="D118" s="700">
        <f>ProFormaRevBuild!D11</f>
        <v>326.28399999999999</v>
      </c>
      <c r="E118" s="700">
        <f>ProFormaRevBuild!E11</f>
        <v>319.34100000000001</v>
      </c>
      <c r="F118" s="701">
        <f>ProFormaRevBuild!F11</f>
        <v>379.32100000000003</v>
      </c>
      <c r="G118" s="430">
        <f>ProFormaRevBuild!G11</f>
        <v>1324.4839999999999</v>
      </c>
      <c r="H118" s="645"/>
      <c r="I118" s="699">
        <f>ProFormaRevBuild!I11</f>
        <v>180.089</v>
      </c>
      <c r="J118" s="700">
        <f>ProFormaRevBuild!J11</f>
        <v>203.91300000000001</v>
      </c>
      <c r="K118" s="700">
        <f>ProFormaRevBuild!K11</f>
        <v>196.697</v>
      </c>
      <c r="L118" s="701">
        <f>ProFormaRevBuild!L11</f>
        <v>193.90299999999999</v>
      </c>
      <c r="M118" s="430">
        <f>ProFormaRevBuild!M11</f>
        <v>774.60200000000009</v>
      </c>
      <c r="N118" s="734"/>
      <c r="O118" s="699">
        <f>ProFormaRevBuild!O11</f>
        <v>176.00102447295606</v>
      </c>
      <c r="P118" s="700">
        <f>ProFormaRevBuild!P11</f>
        <v>183.53297552704396</v>
      </c>
      <c r="Q118" s="700">
        <f>ProFormaRevBuild!Q11</f>
        <v>179.13200000000001</v>
      </c>
      <c r="R118" s="701">
        <f>ProFormaRevBuild!R11</f>
        <v>192.983</v>
      </c>
      <c r="S118" s="430">
        <f>ProFormaRevBuild!S11</f>
        <v>731.64900000000011</v>
      </c>
      <c r="T118" s="734"/>
      <c r="U118" s="699">
        <f>ProFormaRevBuild!U11</f>
        <v>188.57200000000003</v>
      </c>
      <c r="V118" s="700">
        <f>ProFormaRevBuild!V11</f>
        <v>197.48600000000002</v>
      </c>
      <c r="W118" s="700">
        <f>ProFormaRevBuild!W11</f>
        <v>194.51000000000002</v>
      </c>
      <c r="X118" s="701">
        <f>ProFormaRevBuild!X11</f>
        <v>215.74199999999999</v>
      </c>
      <c r="Y118" s="430">
        <f>ProFormaRevBuild!Y11</f>
        <v>796.31</v>
      </c>
      <c r="Z118" s="734"/>
      <c r="AA118" s="699">
        <f>ProFormaRevBuild!AA11</f>
        <v>121.4356324</v>
      </c>
      <c r="AB118" s="700">
        <f>ProFormaRevBuild!AB11</f>
        <v>130.02323160000003</v>
      </c>
      <c r="AC118" s="700">
        <f>ProFormaRevBuild!AC11</f>
        <v>116.70822202400005</v>
      </c>
      <c r="AD118" s="701">
        <f>ProFormaRevBuild!AD11</f>
        <v>112.45974499999993</v>
      </c>
      <c r="AE118" s="430">
        <f>ProFormaRevBuild!AE11</f>
        <v>480.62683102400001</v>
      </c>
      <c r="AF118" s="706"/>
      <c r="AG118" s="699">
        <f>ProFormaRevBuild!AG11</f>
        <v>130.35551000000007</v>
      </c>
      <c r="AH118" s="700">
        <f>ProFormaRevBuild!AH11</f>
        <v>131.05269179999996</v>
      </c>
      <c r="AI118" s="700">
        <f>ProFormaRevBuild!AI11</f>
        <v>129.14026622760005</v>
      </c>
      <c r="AJ118" s="701">
        <f>ProFormaRevBuild!AJ11</f>
        <v>133.75229999999999</v>
      </c>
      <c r="AK118" s="430">
        <f>ProFormaRevBuild!AK11</f>
        <v>524.30076802760004</v>
      </c>
      <c r="AL118" s="706"/>
      <c r="AM118" s="699">
        <f>ProFormaRevBuild!AM11</f>
        <v>134.11005040000009</v>
      </c>
      <c r="AN118" s="700">
        <f>ProFormaRevBuild!AN11</f>
        <v>139.53187425239994</v>
      </c>
      <c r="AO118" s="700">
        <f>ProFormaRevBuild!AO11</f>
        <v>135.67860875215203</v>
      </c>
      <c r="AP118" s="701">
        <f>ProFormaRevBuild!AP11</f>
        <v>145.072281</v>
      </c>
      <c r="AQ118" s="430">
        <f>ProFormaRevBuild!AQ11</f>
        <v>554.39281440455204</v>
      </c>
      <c r="AR118" s="706"/>
      <c r="AS118" s="699">
        <f>ProFormaRevBuild!AS11</f>
        <v>134.76104470240008</v>
      </c>
      <c r="AT118" s="700">
        <f>ProFormaRevBuild!AT11</f>
        <v>143.60463690917635</v>
      </c>
      <c r="AU118" s="700">
        <f>ProFormaRevBuild!AU11</f>
        <v>147.87673742572699</v>
      </c>
      <c r="AV118" s="701">
        <f>ProFormaRevBuild!AV11</f>
        <v>156.77109788959999</v>
      </c>
      <c r="AW118" s="430">
        <f>ProFormaRevBuild!AW11</f>
        <v>583.01351692690343</v>
      </c>
      <c r="AX118" s="706"/>
      <c r="AY118" s="699">
        <f>ProFormaRevBuild!AY11</f>
        <v>135.572</v>
      </c>
      <c r="AZ118" s="700">
        <f>ProFormaRevBuild!AZ11</f>
        <v>143.739</v>
      </c>
      <c r="BA118" s="700">
        <f>ProFormaRevBuild!BA11</f>
        <v>145.37200000000001</v>
      </c>
      <c r="BB118" s="701">
        <f>ProFormaRevBuild!BB11</f>
        <v>151.72099999999998</v>
      </c>
      <c r="BC118" s="430">
        <f>ProFormaRevBuild!BC11</f>
        <v>576.404</v>
      </c>
      <c r="BD118" s="706"/>
      <c r="BE118" s="699">
        <f>ProFormaRevBuild!BE11</f>
        <v>141.56899999999999</v>
      </c>
      <c r="BF118" s="700">
        <f>ProFormaRevBuild!BF11</f>
        <v>154.738</v>
      </c>
      <c r="BG118" s="700">
        <f>ProFormaRevBuild!BG11</f>
        <v>149.4</v>
      </c>
      <c r="BH118" s="701">
        <f>ProFormaRevBuild!BH11</f>
        <v>156.82599999999999</v>
      </c>
      <c r="BI118" s="430">
        <f>ProFormaRevBuild!BI11</f>
        <v>602.53300000000002</v>
      </c>
      <c r="BJ118" s="706"/>
      <c r="BK118" s="699">
        <f>ProFormaRevBuild!BK11</f>
        <v>152.35499999999999</v>
      </c>
      <c r="BL118" s="700">
        <f>ProFormaRevBuild!BL11</f>
        <v>163.834</v>
      </c>
      <c r="BM118" s="700">
        <f>ProFormaRevBuild!BM11</f>
        <v>168.893</v>
      </c>
      <c r="BN118" s="701">
        <f>ProFormaRevBuild!BN11</f>
        <v>193.441</v>
      </c>
      <c r="BO118" s="430">
        <f>ProFormaRevBuild!BO11</f>
        <v>678.52300000000002</v>
      </c>
      <c r="BP118" s="704"/>
      <c r="BQ118" s="707"/>
      <c r="BR118" s="704"/>
      <c r="BS118" s="704"/>
      <c r="BT118" s="704"/>
      <c r="BU118" s="706"/>
      <c r="BV118" s="704"/>
      <c r="BW118" s="707"/>
      <c r="BX118" s="704"/>
      <c r="BY118" s="704"/>
      <c r="BZ118" s="704"/>
      <c r="CA118" s="706"/>
      <c r="CB118" s="704"/>
      <c r="CC118" s="707"/>
      <c r="CD118" s="704"/>
      <c r="CE118" s="704"/>
      <c r="CF118" s="704"/>
      <c r="CG118" s="706"/>
      <c r="CH118" s="704"/>
      <c r="CI118" s="707"/>
      <c r="CJ118" s="704"/>
      <c r="CK118" s="704"/>
      <c r="CL118" s="704"/>
      <c r="CM118" s="706"/>
      <c r="CN118" s="889"/>
      <c r="CO118" s="889"/>
      <c r="CP118" s="889"/>
      <c r="CQ118" s="889"/>
      <c r="CR118" s="889"/>
    </row>
    <row r="119" spans="1:102" ht="12.6" hidden="1" customHeight="1" outlineLevel="1">
      <c r="A119" s="280" t="s">
        <v>36</v>
      </c>
      <c r="B119" s="54"/>
      <c r="C119" s="602">
        <v>0</v>
      </c>
      <c r="D119" s="621">
        <v>0</v>
      </c>
      <c r="E119" s="621">
        <v>0</v>
      </c>
      <c r="F119" s="622">
        <v>0</v>
      </c>
      <c r="G119" s="616">
        <f>SUM(C119:F119)</f>
        <v>0</v>
      </c>
      <c r="H119" s="529"/>
      <c r="I119" s="602">
        <v>0</v>
      </c>
      <c r="J119" s="621">
        <v>0</v>
      </c>
      <c r="K119" s="621">
        <v>0</v>
      </c>
      <c r="L119" s="622">
        <v>0</v>
      </c>
      <c r="M119" s="616">
        <f>SUM(I119:L119)</f>
        <v>0</v>
      </c>
      <c r="N119" s="1814"/>
      <c r="O119" s="602">
        <v>0</v>
      </c>
      <c r="P119" s="621">
        <v>0</v>
      </c>
      <c r="Q119" s="621">
        <v>0</v>
      </c>
      <c r="R119" s="622">
        <v>0</v>
      </c>
      <c r="S119" s="616">
        <f>SUM(O119:R119)</f>
        <v>0</v>
      </c>
      <c r="T119" s="1814"/>
      <c r="U119" s="602">
        <v>0.18200000000000005</v>
      </c>
      <c r="V119" s="621">
        <v>0.182</v>
      </c>
      <c r="W119" s="621">
        <v>0.182</v>
      </c>
      <c r="X119" s="622">
        <v>0.188</v>
      </c>
      <c r="Y119" s="616">
        <f>SUM(U119:X119)</f>
        <v>0.73399999999999999</v>
      </c>
      <c r="Z119" s="1814"/>
      <c r="AA119" s="602">
        <v>0.191</v>
      </c>
      <c r="AB119" s="621">
        <v>6.1870000000000003</v>
      </c>
      <c r="AC119" s="621">
        <v>9.9190000000000005</v>
      </c>
      <c r="AD119" s="622">
        <v>14.526999999999999</v>
      </c>
      <c r="AE119" s="616">
        <f>SUM(AA119:AD119)</f>
        <v>30.823999999999998</v>
      </c>
      <c r="AF119" s="709"/>
      <c r="AG119" s="602">
        <v>6.4729999999999999</v>
      </c>
      <c r="AH119" s="621">
        <v>10.462999999999999</v>
      </c>
      <c r="AI119" s="621">
        <v>5.2370000000000001</v>
      </c>
      <c r="AJ119" s="622">
        <v>4.0759999999999996</v>
      </c>
      <c r="AK119" s="616">
        <f>SUM(AG119:AJ119)</f>
        <v>26.249000000000002</v>
      </c>
      <c r="AL119" s="709"/>
      <c r="AM119" s="602">
        <v>1.9319999999999999</v>
      </c>
      <c r="AN119" s="621">
        <v>3.7989999999999999</v>
      </c>
      <c r="AO119" s="621">
        <v>0.84199999999999997</v>
      </c>
      <c r="AP119" s="622">
        <v>0.73899999999999999</v>
      </c>
      <c r="AQ119" s="616">
        <f>SUM(AM119:AP119)</f>
        <v>7.3119999999999994</v>
      </c>
      <c r="AR119" s="709"/>
      <c r="AS119" s="602">
        <v>1.452</v>
      </c>
      <c r="AT119" s="621">
        <v>0.42599999999999999</v>
      </c>
      <c r="AU119" s="621">
        <v>0.81100000000000005</v>
      </c>
      <c r="AV119" s="622">
        <v>0.22700000000000001</v>
      </c>
      <c r="AW119" s="616">
        <f>SUM(AS119:AV119)</f>
        <v>2.9159999999999999</v>
      </c>
      <c r="AX119" s="709"/>
      <c r="AY119" s="602">
        <v>0.26900000000000002</v>
      </c>
      <c r="AZ119" s="621">
        <v>0.19500000000000001</v>
      </c>
      <c r="BA119" s="621">
        <v>0.16400000000000001</v>
      </c>
      <c r="BB119" s="622">
        <v>0.16900000000000001</v>
      </c>
      <c r="BC119" s="616">
        <f>SUM(AY119:BB119)</f>
        <v>0.79700000000000004</v>
      </c>
      <c r="BD119" s="709"/>
      <c r="BE119" s="602">
        <v>0.17499999999999999</v>
      </c>
      <c r="BF119" s="621">
        <v>0.17599999999999999</v>
      </c>
      <c r="BG119" s="621">
        <v>0.17599999999999999</v>
      </c>
      <c r="BH119" s="622">
        <v>0.184</v>
      </c>
      <c r="BI119" s="616">
        <f>SUM(BE119:BH119)</f>
        <v>0.71099999999999985</v>
      </c>
      <c r="BJ119" s="709"/>
      <c r="BK119" s="602">
        <v>0.185</v>
      </c>
      <c r="BL119" s="621">
        <v>0.186</v>
      </c>
      <c r="BM119" s="621">
        <v>0.185</v>
      </c>
      <c r="BN119" s="622">
        <v>0.189</v>
      </c>
      <c r="BO119" s="616">
        <f>SUM(BK119:BN119)</f>
        <v>0.74500000000000011</v>
      </c>
      <c r="BP119" s="167"/>
      <c r="BQ119" s="710"/>
      <c r="BR119" s="167"/>
      <c r="BS119" s="167"/>
      <c r="BT119" s="167"/>
      <c r="BU119" s="709"/>
      <c r="BV119" s="167"/>
      <c r="BW119" s="710"/>
      <c r="BX119" s="167"/>
      <c r="BY119" s="167"/>
      <c r="BZ119" s="167"/>
      <c r="CA119" s="709"/>
      <c r="CB119" s="167"/>
      <c r="CC119" s="710"/>
      <c r="CD119" s="167"/>
      <c r="CE119" s="167"/>
      <c r="CF119" s="167"/>
      <c r="CG119" s="709"/>
      <c r="CH119" s="167"/>
      <c r="CI119" s="710"/>
      <c r="CJ119" s="167"/>
      <c r="CK119" s="167"/>
      <c r="CL119" s="167"/>
      <c r="CM119" s="709"/>
      <c r="CN119" s="108"/>
      <c r="CO119" s="108"/>
      <c r="CP119" s="108"/>
      <c r="CQ119" s="108"/>
      <c r="CR119" s="108"/>
    </row>
    <row r="120" spans="1:102" s="470" customFormat="1" ht="12.6" customHeight="1" collapsed="1">
      <c r="A120" s="741" t="s">
        <v>34</v>
      </c>
      <c r="B120" s="642"/>
      <c r="C120" s="742">
        <f>SUM(C118:C119)</f>
        <v>299.53800000000001</v>
      </c>
      <c r="D120" s="643">
        <f>SUM(D118:D119)</f>
        <v>326.28399999999999</v>
      </c>
      <c r="E120" s="643">
        <f>SUM(E118:E119)</f>
        <v>319.34100000000001</v>
      </c>
      <c r="F120" s="743">
        <f>SUM(F118:F119)</f>
        <v>379.32100000000003</v>
      </c>
      <c r="G120" s="643">
        <f>SUM(G118:G119)</f>
        <v>1324.4839999999999</v>
      </c>
      <c r="H120" s="644"/>
      <c r="I120" s="742">
        <f>SUM(I118:I119)</f>
        <v>180.089</v>
      </c>
      <c r="J120" s="643">
        <f>SUM(J118:J119)</f>
        <v>203.91300000000001</v>
      </c>
      <c r="K120" s="643">
        <f>SUM(K118:K119)</f>
        <v>196.697</v>
      </c>
      <c r="L120" s="743">
        <f>SUM(L118:L119)</f>
        <v>193.90299999999999</v>
      </c>
      <c r="M120" s="643">
        <f>SUM(M118:M119)</f>
        <v>774.60200000000009</v>
      </c>
      <c r="N120" s="615"/>
      <c r="O120" s="742">
        <f>SUM(O118:O119)</f>
        <v>176.00102447295606</v>
      </c>
      <c r="P120" s="643">
        <f>SUM(P118:P119)</f>
        <v>183.53297552704396</v>
      </c>
      <c r="Q120" s="643">
        <f>SUM(Q118:Q119)</f>
        <v>179.13200000000001</v>
      </c>
      <c r="R120" s="743">
        <f>SUM(R118:R119)</f>
        <v>192.983</v>
      </c>
      <c r="S120" s="643">
        <f>SUM(S118:S119)</f>
        <v>731.64900000000011</v>
      </c>
      <c r="T120" s="615"/>
      <c r="U120" s="742">
        <f>SUM(U118:U119)</f>
        <v>188.75400000000002</v>
      </c>
      <c r="V120" s="643">
        <f>SUM(V118:V119)</f>
        <v>197.66800000000001</v>
      </c>
      <c r="W120" s="643">
        <f>SUM(W118:W119)</f>
        <v>194.69200000000001</v>
      </c>
      <c r="X120" s="743">
        <f>SUM(X118:X119)</f>
        <v>215.92999999999998</v>
      </c>
      <c r="Y120" s="643">
        <f>SUM(Y118:Y119)</f>
        <v>797.04399999999998</v>
      </c>
      <c r="Z120" s="615"/>
      <c r="AA120" s="742">
        <f>SUM(AA118:AA119)</f>
        <v>121.62663240000001</v>
      </c>
      <c r="AB120" s="643">
        <f>SUM(AB118:AB119)</f>
        <v>136.21023160000004</v>
      </c>
      <c r="AC120" s="643">
        <f>SUM(AC118:AC119)</f>
        <v>126.62722202400005</v>
      </c>
      <c r="AD120" s="743">
        <f>SUM(AD118:AD119)</f>
        <v>126.98674499999993</v>
      </c>
      <c r="AE120" s="643">
        <f>SUM(AE118:AE119)</f>
        <v>511.45083102400002</v>
      </c>
      <c r="AF120" s="618"/>
      <c r="AG120" s="742">
        <f>SUM(AG118:AG119)</f>
        <v>136.82851000000008</v>
      </c>
      <c r="AH120" s="643">
        <f>SUM(AH118:AH119)</f>
        <v>141.51569179999996</v>
      </c>
      <c r="AI120" s="643">
        <f>SUM(AI118:AI119)</f>
        <v>134.37726622760005</v>
      </c>
      <c r="AJ120" s="743">
        <f>SUM(AJ118:AJ119)</f>
        <v>137.82829999999998</v>
      </c>
      <c r="AK120" s="644">
        <f>SUM(AK118:AK119)</f>
        <v>550.54976802760007</v>
      </c>
      <c r="AL120" s="618"/>
      <c r="AM120" s="742">
        <f>SUM(AM118:AM119)</f>
        <v>136.04205040000008</v>
      </c>
      <c r="AN120" s="643">
        <f>SUM(AN118:AN119)</f>
        <v>143.33087425239995</v>
      </c>
      <c r="AO120" s="643">
        <f>SUM(AO118:AO119)</f>
        <v>136.52060875215204</v>
      </c>
      <c r="AP120" s="743">
        <f>SUM(AP118:AP119)</f>
        <v>145.81128100000001</v>
      </c>
      <c r="AQ120" s="643">
        <f>SUM(AQ118:AQ119)</f>
        <v>561.70481440455205</v>
      </c>
      <c r="AR120" s="618"/>
      <c r="AS120" s="742">
        <f>SUM(AS118:AS119)</f>
        <v>136.21304470240008</v>
      </c>
      <c r="AT120" s="643">
        <f>SUM(AT118:AT119)</f>
        <v>144.03063690917634</v>
      </c>
      <c r="AU120" s="643">
        <f>SUM(AU118:AU119)</f>
        <v>148.68773742572699</v>
      </c>
      <c r="AV120" s="743">
        <f>SUM(AV118:AV119)</f>
        <v>156.99809788959999</v>
      </c>
      <c r="AW120" s="643">
        <f>SUM(AW118:AW119)</f>
        <v>585.92951692690349</v>
      </c>
      <c r="AX120" s="618"/>
      <c r="AY120" s="742">
        <f>SUM(AY118:AY119)</f>
        <v>135.84100000000001</v>
      </c>
      <c r="AZ120" s="643">
        <f>SUM(AZ118:AZ119)</f>
        <v>143.934</v>
      </c>
      <c r="BA120" s="643">
        <f>SUM(BA118:BA119)</f>
        <v>145.536</v>
      </c>
      <c r="BB120" s="743">
        <f>SUM(BB118:BB119)</f>
        <v>151.88999999999999</v>
      </c>
      <c r="BC120" s="643">
        <f>SUM(BC118:BC119)</f>
        <v>577.20100000000002</v>
      </c>
      <c r="BD120" s="618"/>
      <c r="BE120" s="742">
        <f>SUM(BE118:BE119)</f>
        <v>141.744</v>
      </c>
      <c r="BF120" s="643">
        <f>SUM(BF118:BF119)</f>
        <v>154.91399999999999</v>
      </c>
      <c r="BG120" s="643">
        <f>SUM(BG118:BG119)</f>
        <v>149.57599999999999</v>
      </c>
      <c r="BH120" s="743">
        <f>SUM(BH118:BH119)</f>
        <v>157.01</v>
      </c>
      <c r="BI120" s="643">
        <f>SUM(BI118:BI119)</f>
        <v>603.24400000000003</v>
      </c>
      <c r="BJ120" s="618"/>
      <c r="BK120" s="742">
        <f>SUM(BK118:BK119)</f>
        <v>152.54</v>
      </c>
      <c r="BL120" s="643">
        <f>SUM(BL118:BL119)</f>
        <v>164.02</v>
      </c>
      <c r="BM120" s="643">
        <f>SUM(BM118:BM119)</f>
        <v>169.078</v>
      </c>
      <c r="BN120" s="743">
        <f>SUM(BN118:BN119)</f>
        <v>193.63</v>
      </c>
      <c r="BO120" s="644">
        <f>SUM(BO118:BO119)</f>
        <v>679.26800000000003</v>
      </c>
      <c r="BP120" s="616"/>
      <c r="BQ120" s="601"/>
      <c r="BR120" s="616"/>
      <c r="BS120" s="616"/>
      <c r="BT120" s="616"/>
      <c r="BU120" s="618"/>
      <c r="BV120" s="616"/>
      <c r="BW120" s="601"/>
      <c r="BX120" s="616"/>
      <c r="BY120" s="616"/>
      <c r="BZ120" s="616"/>
      <c r="CA120" s="618"/>
      <c r="CB120" s="616"/>
      <c r="CC120" s="601"/>
      <c r="CD120" s="616"/>
      <c r="CE120" s="616"/>
      <c r="CF120" s="616"/>
      <c r="CG120" s="618"/>
      <c r="CH120" s="616"/>
      <c r="CI120" s="601"/>
      <c r="CJ120" s="616"/>
      <c r="CK120" s="616"/>
      <c r="CL120" s="616"/>
      <c r="CM120" s="618"/>
      <c r="CN120" s="214"/>
      <c r="CO120" s="214"/>
      <c r="CP120" s="214"/>
      <c r="CQ120" s="214"/>
      <c r="CR120" s="214"/>
      <c r="CS120"/>
      <c r="CT120"/>
      <c r="CU120"/>
      <c r="CV120"/>
      <c r="CW120"/>
      <c r="CX120"/>
    </row>
    <row r="121" spans="1:102" s="470" customFormat="1" ht="12.6" hidden="1" customHeight="1" outlineLevel="1">
      <c r="A121" s="741" t="s">
        <v>37</v>
      </c>
      <c r="B121" s="642"/>
      <c r="C121" s="606">
        <v>14.852</v>
      </c>
      <c r="D121" s="598">
        <v>44.616999999999997</v>
      </c>
      <c r="E121" s="598">
        <v>29.312000000000001</v>
      </c>
      <c r="F121" s="744">
        <v>40.777000000000001</v>
      </c>
      <c r="G121" s="745">
        <f>SUM(C121:F121)</f>
        <v>129.55799999999999</v>
      </c>
      <c r="H121" s="596"/>
      <c r="I121" s="598">
        <v>11.833</v>
      </c>
      <c r="J121" s="598">
        <v>19.629000000000001</v>
      </c>
      <c r="K121" s="598">
        <v>21.391999999999999</v>
      </c>
      <c r="L121" s="598">
        <v>26.269000000000002</v>
      </c>
      <c r="M121" s="746">
        <f>SUM(I121:L121)</f>
        <v>79.123000000000005</v>
      </c>
      <c r="N121" s="621"/>
      <c r="O121" s="606">
        <v>12.686999999999999</v>
      </c>
      <c r="P121" s="598">
        <v>24.068999999999999</v>
      </c>
      <c r="Q121" s="598">
        <v>19.041</v>
      </c>
      <c r="R121" s="598">
        <v>24.784000000000002</v>
      </c>
      <c r="S121" s="746">
        <f>SUM(O121:R121)</f>
        <v>80.581000000000003</v>
      </c>
      <c r="T121" s="600"/>
      <c r="U121" s="606">
        <v>22.07</v>
      </c>
      <c r="V121" s="598">
        <v>26.088999999999999</v>
      </c>
      <c r="W121" s="598">
        <v>25.303000000000001</v>
      </c>
      <c r="X121" s="598">
        <v>24.393000000000001</v>
      </c>
      <c r="Y121" s="746">
        <f>SUM(U121:X121)</f>
        <v>97.855000000000004</v>
      </c>
      <c r="Z121" s="621"/>
      <c r="AA121" s="606">
        <v>21.536999999999999</v>
      </c>
      <c r="AB121" s="598">
        <v>28.446000000000002</v>
      </c>
      <c r="AC121" s="598">
        <v>27.548999999999999</v>
      </c>
      <c r="AD121" s="598">
        <v>21.774000000000001</v>
      </c>
      <c r="AE121" s="746">
        <f>SUM(AA121:AD121)</f>
        <v>99.306000000000012</v>
      </c>
      <c r="AF121" s="621"/>
      <c r="AG121" s="606">
        <v>21.945</v>
      </c>
      <c r="AH121" s="598">
        <v>31.538</v>
      </c>
      <c r="AI121" s="598">
        <v>35.020000000000003</v>
      </c>
      <c r="AJ121" s="598">
        <v>-23.765999999999998</v>
      </c>
      <c r="AK121" s="618">
        <f t="shared" ref="AK121:AK128" si="173">SUM(AG121:AJ121)</f>
        <v>64.737000000000023</v>
      </c>
      <c r="AL121" s="616"/>
      <c r="AM121" s="606">
        <v>25.02</v>
      </c>
      <c r="AN121" s="598">
        <v>30.628</v>
      </c>
      <c r="AO121" s="598">
        <v>43.901000000000003</v>
      </c>
      <c r="AP121" s="598">
        <v>47.103000000000002</v>
      </c>
      <c r="AQ121" s="618">
        <f t="shared" ref="AQ121:AQ128" si="174">SUM(AM121:AP121)</f>
        <v>146.65200000000002</v>
      </c>
      <c r="AR121" s="616"/>
      <c r="AS121" s="606">
        <v>43.981999999999999</v>
      </c>
      <c r="AT121" s="598">
        <v>57.908000000000001</v>
      </c>
      <c r="AU121" s="598">
        <v>48.088999999999999</v>
      </c>
      <c r="AV121" s="598">
        <v>83.71</v>
      </c>
      <c r="AW121" s="618">
        <f t="shared" ref="AW121:AW128" si="175">SUM(AS121:AV121)</f>
        <v>233.68899999999996</v>
      </c>
      <c r="AX121" s="616"/>
      <c r="AY121" s="606">
        <v>55.881999999999998</v>
      </c>
      <c r="AZ121" s="598">
        <v>60.530999999999999</v>
      </c>
      <c r="BA121" s="598">
        <v>63.146999999999998</v>
      </c>
      <c r="BB121" s="598">
        <v>72.183000000000007</v>
      </c>
      <c r="BC121" s="618">
        <f t="shared" ref="BC121:BC128" si="176">SUM(AY121:BB121)</f>
        <v>251.74299999999999</v>
      </c>
      <c r="BD121" s="616"/>
      <c r="BE121" s="606">
        <v>54.726999999999997</v>
      </c>
      <c r="BF121" s="598">
        <v>57.591999999999999</v>
      </c>
      <c r="BG121" s="598">
        <v>64.599999999999994</v>
      </c>
      <c r="BH121" s="598">
        <v>34.033000000000001</v>
      </c>
      <c r="BI121" s="618">
        <f t="shared" ref="BI121:BI128" si="177">SUM(BE121:BH121)</f>
        <v>210.952</v>
      </c>
      <c r="BJ121" s="616"/>
      <c r="BK121" s="606">
        <v>33.409999999999997</v>
      </c>
      <c r="BL121" s="598">
        <v>37.640999999999998</v>
      </c>
      <c r="BM121" s="598">
        <v>44.054000000000002</v>
      </c>
      <c r="BN121" s="598">
        <v>34.530999999999999</v>
      </c>
      <c r="BO121" s="618">
        <f t="shared" ref="BO121:BO128" si="178">SUM(BK121:BN121)</f>
        <v>149.636</v>
      </c>
      <c r="BP121" s="616"/>
      <c r="BQ121" s="601"/>
      <c r="BR121" s="616"/>
      <c r="BS121" s="616"/>
      <c r="BT121" s="616"/>
      <c r="BU121" s="618"/>
      <c r="BV121" s="616"/>
      <c r="BW121" s="601"/>
      <c r="BX121" s="616"/>
      <c r="BY121" s="616"/>
      <c r="BZ121" s="616"/>
      <c r="CA121" s="618"/>
      <c r="CB121" s="616"/>
      <c r="CC121" s="601"/>
      <c r="CD121" s="616"/>
      <c r="CE121" s="616"/>
      <c r="CF121" s="616"/>
      <c r="CG121" s="618"/>
      <c r="CH121" s="616"/>
      <c r="CI121" s="601"/>
      <c r="CJ121" s="616"/>
      <c r="CK121" s="616"/>
      <c r="CL121" s="616"/>
      <c r="CM121" s="618"/>
      <c r="CN121" s="214"/>
      <c r="CO121" s="214"/>
      <c r="CP121" s="214"/>
      <c r="CQ121" s="214"/>
      <c r="CR121" s="214"/>
      <c r="CS121"/>
      <c r="CT121"/>
      <c r="CU121"/>
      <c r="CV121"/>
      <c r="CW121"/>
      <c r="CX121"/>
    </row>
    <row r="122" spans="1:102" ht="12.6" hidden="1" customHeight="1" outlineLevel="1">
      <c r="A122" s="280" t="s">
        <v>38</v>
      </c>
      <c r="B122" s="479"/>
      <c r="C122" s="602">
        <v>9.7829999999999995</v>
      </c>
      <c r="D122" s="621">
        <v>10</v>
      </c>
      <c r="E122" s="621">
        <v>10.099</v>
      </c>
      <c r="F122" s="621">
        <f>41.415-C122-D122-E122</f>
        <v>11.532999999999998</v>
      </c>
      <c r="G122" s="615">
        <f>SUM(C122:F122)</f>
        <v>41.414999999999999</v>
      </c>
      <c r="H122" s="711"/>
      <c r="I122" s="602">
        <v>9.8650000000000002</v>
      </c>
      <c r="J122" s="621">
        <v>10.542</v>
      </c>
      <c r="K122" s="621">
        <v>10.311</v>
      </c>
      <c r="L122" s="621">
        <f>40.672-I122-J122-K122</f>
        <v>9.9539999999999935</v>
      </c>
      <c r="M122" s="615">
        <f>SUM(I122:L122)</f>
        <v>40.671999999999997</v>
      </c>
      <c r="N122" s="712"/>
      <c r="O122" s="602">
        <v>9.7789999999999999</v>
      </c>
      <c r="P122" s="621">
        <v>10.227</v>
      </c>
      <c r="Q122" s="621">
        <v>9.9580000000000002</v>
      </c>
      <c r="R122" s="621">
        <f>41.305-O122-P122-Q122</f>
        <v>11.340999999999999</v>
      </c>
      <c r="S122" s="615">
        <f>SUM(O122:R122)</f>
        <v>41.305</v>
      </c>
      <c r="T122" s="621"/>
      <c r="U122" s="602">
        <v>10.965999999999999</v>
      </c>
      <c r="V122" s="621">
        <v>11.391</v>
      </c>
      <c r="W122" s="621">
        <v>12.117000000000001</v>
      </c>
      <c r="X122" s="621">
        <v>12.225</v>
      </c>
      <c r="Y122" s="615">
        <f>SUM(U122:X122)</f>
        <v>46.699000000000005</v>
      </c>
      <c r="Z122" s="621"/>
      <c r="AA122" s="602">
        <v>12.65</v>
      </c>
      <c r="AB122" s="621">
        <v>12.281000000000001</v>
      </c>
      <c r="AC122" s="621">
        <v>12.349</v>
      </c>
      <c r="AD122" s="621">
        <v>16.614000000000001</v>
      </c>
      <c r="AE122" s="615">
        <f>SUM(AA122:AD122)</f>
        <v>53.894000000000005</v>
      </c>
      <c r="AF122" s="616"/>
      <c r="AG122" s="602">
        <v>17.666</v>
      </c>
      <c r="AH122" s="621">
        <v>17.201000000000001</v>
      </c>
      <c r="AI122" s="621">
        <v>16.553000000000001</v>
      </c>
      <c r="AJ122" s="621">
        <v>19.945</v>
      </c>
      <c r="AK122" s="618">
        <f t="shared" si="173"/>
        <v>71.365000000000009</v>
      </c>
      <c r="AL122" s="616"/>
      <c r="AM122" s="602">
        <v>20.026</v>
      </c>
      <c r="AN122" s="621">
        <v>19.523</v>
      </c>
      <c r="AO122" s="621">
        <v>20.565999999999999</v>
      </c>
      <c r="AP122" s="621">
        <v>19.829000000000001</v>
      </c>
      <c r="AQ122" s="618">
        <f t="shared" si="174"/>
        <v>79.943999999999988</v>
      </c>
      <c r="AR122" s="616"/>
      <c r="AS122" s="602">
        <v>18.02</v>
      </c>
      <c r="AT122" s="621">
        <v>18.288</v>
      </c>
      <c r="AU122" s="621">
        <v>18.402000000000001</v>
      </c>
      <c r="AV122" s="621">
        <v>18.507999999999999</v>
      </c>
      <c r="AW122" s="618">
        <f t="shared" si="175"/>
        <v>73.218000000000004</v>
      </c>
      <c r="AX122" s="616"/>
      <c r="AY122" s="602">
        <v>15.473000000000001</v>
      </c>
      <c r="AZ122" s="621">
        <v>15.27</v>
      </c>
      <c r="BA122" s="621">
        <v>15.298</v>
      </c>
      <c r="BB122" s="621">
        <v>15.827</v>
      </c>
      <c r="BC122" s="618">
        <f t="shared" si="176"/>
        <v>61.868000000000002</v>
      </c>
      <c r="BD122" s="616"/>
      <c r="BE122" s="602">
        <v>13.771000000000001</v>
      </c>
      <c r="BF122" s="621">
        <v>13.675000000000001</v>
      </c>
      <c r="BG122" s="621">
        <v>13.7</v>
      </c>
      <c r="BH122" s="621">
        <v>4.5720000000000001</v>
      </c>
      <c r="BI122" s="618">
        <f t="shared" si="177"/>
        <v>45.718000000000004</v>
      </c>
      <c r="BJ122" s="616"/>
      <c r="BK122" s="602">
        <v>4.7960000000000003</v>
      </c>
      <c r="BL122" s="621">
        <v>5.1609999999999996</v>
      </c>
      <c r="BM122" s="621">
        <v>4.8499999999999996</v>
      </c>
      <c r="BN122" s="621">
        <v>8.1760000000000002</v>
      </c>
      <c r="BO122" s="618">
        <f t="shared" si="178"/>
        <v>22.983000000000001</v>
      </c>
      <c r="BP122" s="616"/>
      <c r="BQ122" s="601"/>
      <c r="BR122" s="616"/>
      <c r="BS122" s="616"/>
      <c r="BT122" s="616"/>
      <c r="BU122" s="618"/>
      <c r="BV122" s="616"/>
      <c r="BW122" s="601"/>
      <c r="BX122" s="616"/>
      <c r="BY122" s="616"/>
      <c r="BZ122" s="616"/>
      <c r="CA122" s="618"/>
      <c r="CB122" s="616"/>
      <c r="CC122" s="601"/>
      <c r="CD122" s="616"/>
      <c r="CE122" s="616"/>
      <c r="CF122" s="616"/>
      <c r="CG122" s="618"/>
      <c r="CH122" s="616"/>
      <c r="CI122" s="601"/>
      <c r="CJ122" s="616"/>
      <c r="CK122" s="616"/>
      <c r="CL122" s="616"/>
      <c r="CM122" s="618"/>
      <c r="CN122" s="108"/>
      <c r="CO122" s="108"/>
      <c r="CP122" s="108"/>
      <c r="CQ122" s="108"/>
      <c r="CR122" s="108"/>
    </row>
    <row r="123" spans="1:102" ht="12.6" hidden="1" customHeight="1" outlineLevel="1">
      <c r="A123" s="280" t="s">
        <v>439</v>
      </c>
      <c r="B123" s="479"/>
      <c r="C123" s="602"/>
      <c r="D123" s="621"/>
      <c r="E123" s="621"/>
      <c r="F123" s="622"/>
      <c r="G123" s="623"/>
      <c r="H123" s="711"/>
      <c r="I123" s="621"/>
      <c r="J123" s="621"/>
      <c r="K123" s="621"/>
      <c r="L123" s="621"/>
      <c r="M123" s="714"/>
      <c r="N123" s="712"/>
      <c r="O123" s="715"/>
      <c r="P123" s="712"/>
      <c r="Q123" s="712"/>
      <c r="R123" s="712"/>
      <c r="S123" s="615"/>
      <c r="T123" s="621"/>
      <c r="U123" s="602"/>
      <c r="V123" s="621"/>
      <c r="W123" s="621"/>
      <c r="X123" s="621"/>
      <c r="Y123" s="615"/>
      <c r="Z123" s="621"/>
      <c r="AA123" s="602"/>
      <c r="AB123" s="621"/>
      <c r="AC123" s="621"/>
      <c r="AD123" s="621">
        <v>3.0059999999999998</v>
      </c>
      <c r="AE123" s="615"/>
      <c r="AF123" s="616"/>
      <c r="AG123" s="602"/>
      <c r="AH123" s="621"/>
      <c r="AI123" s="621"/>
      <c r="AJ123" s="621">
        <v>73.41</v>
      </c>
      <c r="AK123" s="618">
        <f t="shared" si="173"/>
        <v>73.41</v>
      </c>
      <c r="AL123" s="616"/>
      <c r="AM123" s="602"/>
      <c r="AN123" s="621"/>
      <c r="AO123" s="621"/>
      <c r="AP123" s="621">
        <v>6.7309999999999999</v>
      </c>
      <c r="AQ123" s="618">
        <f t="shared" si="174"/>
        <v>6.7309999999999999</v>
      </c>
      <c r="AR123" s="616"/>
      <c r="AS123" s="602">
        <v>0</v>
      </c>
      <c r="AT123" s="621">
        <v>0</v>
      </c>
      <c r="AU123" s="621">
        <v>0</v>
      </c>
      <c r="AV123" s="621">
        <v>0</v>
      </c>
      <c r="AW123" s="618">
        <f t="shared" si="175"/>
        <v>0</v>
      </c>
      <c r="AX123" s="616"/>
      <c r="AY123" s="602">
        <v>0</v>
      </c>
      <c r="AZ123" s="621">
        <v>0</v>
      </c>
      <c r="BA123" s="621">
        <v>0</v>
      </c>
      <c r="BB123" s="621">
        <v>0.81200000000000006</v>
      </c>
      <c r="BC123" s="618">
        <f t="shared" si="176"/>
        <v>0.81200000000000006</v>
      </c>
      <c r="BD123" s="616"/>
      <c r="BE123" s="602">
        <v>0</v>
      </c>
      <c r="BF123" s="621">
        <v>0</v>
      </c>
      <c r="BG123" s="621">
        <v>0</v>
      </c>
      <c r="BH123" s="621">
        <v>0</v>
      </c>
      <c r="BI123" s="618">
        <f t="shared" si="177"/>
        <v>0</v>
      </c>
      <c r="BJ123" s="616"/>
      <c r="BK123" s="602">
        <v>0</v>
      </c>
      <c r="BL123" s="621">
        <v>0</v>
      </c>
      <c r="BM123" s="621">
        <v>0.85099999999999998</v>
      </c>
      <c r="BN123" s="621">
        <v>0</v>
      </c>
      <c r="BO123" s="618">
        <f t="shared" si="178"/>
        <v>0.85099999999999998</v>
      </c>
      <c r="BP123" s="616"/>
      <c r="BQ123" s="601"/>
      <c r="BR123" s="616"/>
      <c r="BS123" s="616"/>
      <c r="BT123" s="616"/>
      <c r="BU123" s="618"/>
      <c r="BV123" s="616"/>
      <c r="BW123" s="601"/>
      <c r="BX123" s="616"/>
      <c r="BY123" s="616"/>
      <c r="BZ123" s="616"/>
      <c r="CA123" s="618"/>
      <c r="CB123" s="616"/>
      <c r="CC123" s="601"/>
      <c r="CD123" s="616"/>
      <c r="CE123" s="616"/>
      <c r="CF123" s="616"/>
      <c r="CG123" s="618"/>
      <c r="CH123" s="616"/>
      <c r="CI123" s="601"/>
      <c r="CJ123" s="616"/>
      <c r="CK123" s="616"/>
      <c r="CL123" s="616"/>
      <c r="CM123" s="618"/>
      <c r="CN123" s="108"/>
      <c r="CO123" s="108"/>
      <c r="CP123" s="108"/>
      <c r="CQ123" s="108"/>
      <c r="CR123" s="108"/>
    </row>
    <row r="124" spans="1:102" ht="12.6" hidden="1" customHeight="1" outlineLevel="1">
      <c r="A124" s="280" t="s">
        <v>36</v>
      </c>
      <c r="B124" s="479"/>
      <c r="C124" s="602">
        <v>0</v>
      </c>
      <c r="D124" s="621">
        <v>0</v>
      </c>
      <c r="E124" s="621">
        <v>0</v>
      </c>
      <c r="F124" s="622">
        <f>0.962-C124-D124-E124</f>
        <v>0.96199999999999997</v>
      </c>
      <c r="G124" s="623">
        <f>SUM(C124:F124)</f>
        <v>0.96199999999999997</v>
      </c>
      <c r="H124" s="711"/>
      <c r="I124" s="602">
        <v>1.353</v>
      </c>
      <c r="J124" s="621">
        <v>0.93600000000000005</v>
      </c>
      <c r="K124" s="621">
        <v>0.48199999999999998</v>
      </c>
      <c r="L124" s="622">
        <f>2.941-I124-J124-K124</f>
        <v>0.16999999999999982</v>
      </c>
      <c r="M124" s="615">
        <f>SUM(I124:L124)</f>
        <v>2.9409999999999998</v>
      </c>
      <c r="N124" s="712"/>
      <c r="O124" s="602">
        <v>0.36499999999999999</v>
      </c>
      <c r="P124" s="621">
        <v>0.71799999999999997</v>
      </c>
      <c r="Q124" s="621">
        <v>0.96699999999999997</v>
      </c>
      <c r="R124" s="621">
        <f>3.152-O124-P124-Q124</f>
        <v>1.1019999999999999</v>
      </c>
      <c r="S124" s="615">
        <f>SUM(O124:R124)</f>
        <v>3.1519999999999997</v>
      </c>
      <c r="T124" s="621"/>
      <c r="U124" s="602">
        <v>0.182</v>
      </c>
      <c r="V124" s="621">
        <v>0.90800000000000003</v>
      </c>
      <c r="W124" s="621">
        <v>0.17499999999999999</v>
      </c>
      <c r="X124" s="621">
        <v>0.44400000000000001</v>
      </c>
      <c r="Y124" s="615">
        <f>SUM(U124:X124)</f>
        <v>1.7090000000000001</v>
      </c>
      <c r="Z124" s="621"/>
      <c r="AA124" s="602">
        <v>2.8359999999999999</v>
      </c>
      <c r="AB124" s="621">
        <v>1.84</v>
      </c>
      <c r="AC124" s="621">
        <v>0.59699999999999998</v>
      </c>
      <c r="AD124" s="621">
        <v>8.0649999999999995</v>
      </c>
      <c r="AE124" s="615">
        <f>SUM(AA124:AD124)</f>
        <v>13.337999999999999</v>
      </c>
      <c r="AF124" s="616"/>
      <c r="AG124" s="602">
        <v>7.47</v>
      </c>
      <c r="AH124" s="621">
        <v>3.0329999999999999</v>
      </c>
      <c r="AI124" s="621">
        <v>-1.1279999999999999</v>
      </c>
      <c r="AJ124" s="621">
        <v>4.5890000000000004</v>
      </c>
      <c r="AK124" s="618">
        <f t="shared" si="173"/>
        <v>13.964</v>
      </c>
      <c r="AL124" s="616"/>
      <c r="AM124" s="602">
        <v>1.98</v>
      </c>
      <c r="AN124" s="621">
        <v>3.9049999999999998</v>
      </c>
      <c r="AO124" s="621">
        <v>0.161</v>
      </c>
      <c r="AP124" s="621">
        <v>2.8730000000000002</v>
      </c>
      <c r="AQ124" s="618">
        <f t="shared" si="174"/>
        <v>8.9190000000000005</v>
      </c>
      <c r="AR124" s="616"/>
      <c r="AS124" s="602">
        <v>1.538</v>
      </c>
      <c r="AT124" s="621">
        <v>-0.33700000000000002</v>
      </c>
      <c r="AU124" s="621">
        <v>0.83599999999999997</v>
      </c>
      <c r="AV124" s="621">
        <v>-0.92900000000000005</v>
      </c>
      <c r="AW124" s="618">
        <f t="shared" si="175"/>
        <v>1.1079999999999999</v>
      </c>
      <c r="AX124" s="616"/>
      <c r="AY124" s="602">
        <v>0.3</v>
      </c>
      <c r="AZ124" s="621">
        <v>0.22500000000000001</v>
      </c>
      <c r="BA124" s="621">
        <v>0.19500000000000001</v>
      </c>
      <c r="BB124" s="621">
        <v>0.19900000000000001</v>
      </c>
      <c r="BC124" s="618">
        <f t="shared" si="176"/>
        <v>0.91900000000000004</v>
      </c>
      <c r="BD124" s="616"/>
      <c r="BE124" s="602">
        <v>1.5249999999999999</v>
      </c>
      <c r="BF124" s="621">
        <v>4.5119999999999996</v>
      </c>
      <c r="BG124" s="621">
        <v>4.3</v>
      </c>
      <c r="BH124" s="621">
        <v>6.7030000000000003</v>
      </c>
      <c r="BI124" s="618">
        <f t="shared" si="177"/>
        <v>17.04</v>
      </c>
      <c r="BJ124" s="616"/>
      <c r="BK124" s="602">
        <v>3.1869999999999998</v>
      </c>
      <c r="BL124" s="621">
        <v>2.3620000000000001</v>
      </c>
      <c r="BM124" s="621">
        <v>5.4169999999999998</v>
      </c>
      <c r="BN124" s="621">
        <v>2.7530000000000001</v>
      </c>
      <c r="BO124" s="618">
        <f t="shared" si="178"/>
        <v>13.718999999999999</v>
      </c>
      <c r="BP124" s="616"/>
      <c r="BQ124" s="601"/>
      <c r="BR124" s="616"/>
      <c r="BS124" s="616"/>
      <c r="BT124" s="616"/>
      <c r="BU124" s="618"/>
      <c r="BV124" s="616"/>
      <c r="BW124" s="601"/>
      <c r="BX124" s="616"/>
      <c r="BY124" s="616"/>
      <c r="BZ124" s="616"/>
      <c r="CA124" s="618"/>
      <c r="CB124" s="616"/>
      <c r="CC124" s="601"/>
      <c r="CD124" s="616"/>
      <c r="CE124" s="616"/>
      <c r="CF124" s="616"/>
      <c r="CG124" s="618"/>
      <c r="CH124" s="616"/>
      <c r="CI124" s="601"/>
      <c r="CJ124" s="616"/>
      <c r="CK124" s="616"/>
      <c r="CL124" s="616"/>
      <c r="CM124" s="618"/>
      <c r="CN124" s="108"/>
      <c r="CO124" s="108"/>
      <c r="CP124" s="108"/>
      <c r="CQ124" s="108"/>
      <c r="CR124" s="108"/>
    </row>
    <row r="125" spans="1:102" ht="12.6" hidden="1" customHeight="1" outlineLevel="1">
      <c r="A125" s="280" t="s">
        <v>41</v>
      </c>
      <c r="B125" s="479"/>
      <c r="C125" s="602">
        <f>1.377+1.502+0.748</f>
        <v>3.6269999999999998</v>
      </c>
      <c r="D125" s="621">
        <f>0.718+0.67-15.346</f>
        <v>-13.958</v>
      </c>
      <c r="E125" s="621">
        <f>0.83+0.445</f>
        <v>1.2749999999999999</v>
      </c>
      <c r="F125" s="622">
        <f>3.419+2.492+1.502-15.346+2-C125-D125-E125</f>
        <v>3.1229999999999998</v>
      </c>
      <c r="G125" s="623">
        <f>SUM(C125:F125)</f>
        <v>-5.9329999999999998</v>
      </c>
      <c r="H125" s="711"/>
      <c r="I125" s="602">
        <v>0</v>
      </c>
      <c r="J125" s="621">
        <v>0</v>
      </c>
      <c r="K125" s="621">
        <v>0</v>
      </c>
      <c r="L125" s="622">
        <v>0</v>
      </c>
      <c r="M125" s="615">
        <f>SUM(I125:L125)</f>
        <v>0</v>
      </c>
      <c r="N125" s="712"/>
      <c r="O125" s="602">
        <v>0</v>
      </c>
      <c r="P125" s="621">
        <v>0</v>
      </c>
      <c r="Q125" s="621">
        <v>0</v>
      </c>
      <c r="R125" s="621">
        <v>0</v>
      </c>
      <c r="S125" s="615">
        <f>SUM(O125:R125)</f>
        <v>0</v>
      </c>
      <c r="T125" s="621"/>
      <c r="U125" s="602">
        <v>0</v>
      </c>
      <c r="V125" s="621">
        <v>0</v>
      </c>
      <c r="W125" s="621">
        <v>0.312</v>
      </c>
      <c r="X125" s="621">
        <v>0</v>
      </c>
      <c r="Y125" s="615">
        <f>SUM(U125:X125)</f>
        <v>0.312</v>
      </c>
      <c r="Z125" s="621"/>
      <c r="AA125" s="602">
        <v>0</v>
      </c>
      <c r="AB125" s="621">
        <v>0</v>
      </c>
      <c r="AC125" s="621">
        <v>0.95799999999999996</v>
      </c>
      <c r="AD125" s="621">
        <v>5.6159999999999997</v>
      </c>
      <c r="AE125" s="615">
        <f>SUM(AA125:AD125)</f>
        <v>6.5739999999999998</v>
      </c>
      <c r="AF125" s="616"/>
      <c r="AG125" s="602">
        <v>0.191</v>
      </c>
      <c r="AH125" s="621">
        <v>0.153</v>
      </c>
      <c r="AI125" s="621">
        <v>0.20399999999999999</v>
      </c>
      <c r="AJ125" s="621">
        <v>0.441</v>
      </c>
      <c r="AK125" s="618">
        <f t="shared" si="173"/>
        <v>0.98899999999999988</v>
      </c>
      <c r="AL125" s="616"/>
      <c r="AM125" s="602">
        <v>2.1999999999999999E-2</v>
      </c>
      <c r="AN125" s="621">
        <v>7.0000000000000001E-3</v>
      </c>
      <c r="AO125" s="621">
        <v>-0.05</v>
      </c>
      <c r="AP125" s="621">
        <v>0</v>
      </c>
      <c r="AQ125" s="618">
        <f t="shared" si="174"/>
        <v>-2.1000000000000005E-2</v>
      </c>
      <c r="AR125" s="616"/>
      <c r="AS125" s="602">
        <v>2.9000000000000001E-2</v>
      </c>
      <c r="AT125" s="621">
        <v>0.04</v>
      </c>
      <c r="AU125" s="621">
        <v>1.7999999999999999E-2</v>
      </c>
      <c r="AV125" s="621">
        <v>7.0000000000000001E-3</v>
      </c>
      <c r="AW125" s="618">
        <f t="shared" si="175"/>
        <v>9.4000000000000014E-2</v>
      </c>
      <c r="AX125" s="616"/>
      <c r="AY125" s="602">
        <v>7.1999999999999995E-2</v>
      </c>
      <c r="AZ125" s="621">
        <v>0.13700000000000001</v>
      </c>
      <c r="BA125" s="621">
        <v>7.3999999999999996E-2</v>
      </c>
      <c r="BB125" s="621">
        <v>0.12</v>
      </c>
      <c r="BC125" s="618">
        <f t="shared" si="176"/>
        <v>0.40300000000000002</v>
      </c>
      <c r="BD125" s="616"/>
      <c r="BE125" s="602">
        <v>0.34300000000000003</v>
      </c>
      <c r="BF125" s="621">
        <v>8.2000000000000003E-2</v>
      </c>
      <c r="BG125" s="621">
        <v>0.4</v>
      </c>
      <c r="BH125" s="621">
        <v>0.441</v>
      </c>
      <c r="BI125" s="618">
        <f t="shared" si="177"/>
        <v>1.266</v>
      </c>
      <c r="BJ125" s="616"/>
      <c r="BK125" s="602">
        <v>2.3580000000000001</v>
      </c>
      <c r="BL125" s="621">
        <v>3.593</v>
      </c>
      <c r="BM125" s="621">
        <v>1.54</v>
      </c>
      <c r="BN125" s="621">
        <f>15.08-0.993</f>
        <v>14.087</v>
      </c>
      <c r="BO125" s="618">
        <f t="shared" si="178"/>
        <v>21.577999999999999</v>
      </c>
      <c r="BP125" s="616"/>
      <c r="BQ125" s="601"/>
      <c r="BR125" s="616"/>
      <c r="BS125" s="616"/>
      <c r="BT125" s="616"/>
      <c r="BU125" s="618"/>
      <c r="BV125" s="616"/>
      <c r="BW125" s="601"/>
      <c r="BX125" s="616"/>
      <c r="BY125" s="616"/>
      <c r="BZ125" s="616"/>
      <c r="CA125" s="618"/>
      <c r="CB125" s="616"/>
      <c r="CC125" s="601"/>
      <c r="CD125" s="616"/>
      <c r="CE125" s="616"/>
      <c r="CF125" s="616"/>
      <c r="CG125" s="618"/>
      <c r="CH125" s="616"/>
      <c r="CI125" s="601"/>
      <c r="CJ125" s="616"/>
      <c r="CK125" s="616"/>
      <c r="CL125" s="616"/>
      <c r="CM125" s="618"/>
      <c r="CN125" s="108"/>
      <c r="CO125" s="108"/>
      <c r="CP125" s="108"/>
      <c r="CQ125" s="108"/>
      <c r="CR125" s="108"/>
    </row>
    <row r="126" spans="1:102" ht="12.6" hidden="1" customHeight="1" outlineLevel="1">
      <c r="A126" s="280" t="s">
        <v>122</v>
      </c>
      <c r="B126" s="479"/>
      <c r="C126" s="602">
        <v>0</v>
      </c>
      <c r="D126" s="621">
        <v>0</v>
      </c>
      <c r="E126" s="621">
        <v>0</v>
      </c>
      <c r="F126" s="622">
        <v>0</v>
      </c>
      <c r="G126" s="623">
        <f>SUM(C126:F126)</f>
        <v>0</v>
      </c>
      <c r="H126" s="711"/>
      <c r="I126" s="602">
        <v>0</v>
      </c>
      <c r="J126" s="621">
        <v>0</v>
      </c>
      <c r="K126" s="621">
        <v>0</v>
      </c>
      <c r="L126" s="622">
        <v>0</v>
      </c>
      <c r="M126" s="615">
        <f>SUM(I126:L126)</f>
        <v>0</v>
      </c>
      <c r="N126" s="712"/>
      <c r="O126" s="602">
        <v>0</v>
      </c>
      <c r="P126" s="621">
        <v>0</v>
      </c>
      <c r="Q126" s="621">
        <v>0</v>
      </c>
      <c r="R126" s="621">
        <v>0</v>
      </c>
      <c r="S126" s="615">
        <f>SUM(O126:R126)</f>
        <v>0</v>
      </c>
      <c r="T126" s="621"/>
      <c r="U126" s="602">
        <v>0</v>
      </c>
      <c r="V126" s="621">
        <v>-3.3559999999999999</v>
      </c>
      <c r="W126" s="621">
        <v>0</v>
      </c>
      <c r="X126" s="621">
        <v>0</v>
      </c>
      <c r="Y126" s="615">
        <f>SUM(U126:X126)</f>
        <v>-3.3559999999999999</v>
      </c>
      <c r="Z126" s="621"/>
      <c r="AA126" s="602">
        <v>0</v>
      </c>
      <c r="AB126" s="621">
        <v>0</v>
      </c>
      <c r="AC126" s="621">
        <v>0</v>
      </c>
      <c r="AD126" s="621">
        <v>0</v>
      </c>
      <c r="AE126" s="615">
        <f>SUM(AA126:AD126)</f>
        <v>0</v>
      </c>
      <c r="AF126" s="616"/>
      <c r="AG126" s="602">
        <v>0</v>
      </c>
      <c r="AH126" s="621"/>
      <c r="AI126" s="621"/>
      <c r="AJ126" s="621">
        <v>0</v>
      </c>
      <c r="AK126" s="618">
        <f t="shared" si="173"/>
        <v>0</v>
      </c>
      <c r="AL126" s="616"/>
      <c r="AM126" s="602">
        <v>0</v>
      </c>
      <c r="AN126" s="621">
        <v>0</v>
      </c>
      <c r="AO126" s="621">
        <v>0</v>
      </c>
      <c r="AP126" s="621">
        <v>0</v>
      </c>
      <c r="AQ126" s="618">
        <f t="shared" si="174"/>
        <v>0</v>
      </c>
      <c r="AR126" s="616"/>
      <c r="AS126" s="602">
        <v>0</v>
      </c>
      <c r="AT126" s="621">
        <v>0</v>
      </c>
      <c r="AU126" s="621">
        <v>0</v>
      </c>
      <c r="AV126" s="621">
        <v>0</v>
      </c>
      <c r="AW126" s="618">
        <f t="shared" si="175"/>
        <v>0</v>
      </c>
      <c r="AX126" s="616"/>
      <c r="AY126" s="602">
        <v>0</v>
      </c>
      <c r="AZ126" s="621">
        <v>0</v>
      </c>
      <c r="BA126" s="621">
        <v>0</v>
      </c>
      <c r="BB126" s="621">
        <v>0</v>
      </c>
      <c r="BC126" s="618">
        <f t="shared" si="176"/>
        <v>0</v>
      </c>
      <c r="BD126" s="616"/>
      <c r="BE126" s="602">
        <v>0</v>
      </c>
      <c r="BF126" s="621">
        <v>0</v>
      </c>
      <c r="BG126" s="621">
        <v>0</v>
      </c>
      <c r="BH126" s="621">
        <v>0</v>
      </c>
      <c r="BI126" s="618">
        <f t="shared" si="177"/>
        <v>0</v>
      </c>
      <c r="BJ126" s="616"/>
      <c r="BK126" s="602">
        <v>0</v>
      </c>
      <c r="BL126" s="621">
        <v>0</v>
      </c>
      <c r="BM126" s="621">
        <v>0</v>
      </c>
      <c r="BN126" s="621">
        <v>0</v>
      </c>
      <c r="BO126" s="618">
        <f t="shared" si="178"/>
        <v>0</v>
      </c>
      <c r="BP126" s="616"/>
      <c r="BQ126" s="601"/>
      <c r="BR126" s="616"/>
      <c r="BS126" s="616"/>
      <c r="BT126" s="616"/>
      <c r="BU126" s="618"/>
      <c r="BV126" s="616"/>
      <c r="BW126" s="601"/>
      <c r="BX126" s="616"/>
      <c r="BY126" s="616"/>
      <c r="BZ126" s="616"/>
      <c r="CA126" s="618"/>
      <c r="CB126" s="616"/>
      <c r="CC126" s="601"/>
      <c r="CD126" s="616"/>
      <c r="CE126" s="616"/>
      <c r="CF126" s="616"/>
      <c r="CG126" s="618"/>
      <c r="CH126" s="616"/>
      <c r="CI126" s="601"/>
      <c r="CJ126" s="616"/>
      <c r="CK126" s="616"/>
      <c r="CL126" s="616"/>
      <c r="CM126" s="618"/>
      <c r="CN126" s="108"/>
      <c r="CO126" s="108"/>
      <c r="CP126" s="108"/>
      <c r="CQ126" s="108"/>
      <c r="CR126" s="108"/>
    </row>
    <row r="127" spans="1:102" ht="12.6" hidden="1" customHeight="1" outlineLevel="1">
      <c r="A127" s="480" t="s">
        <v>123</v>
      </c>
      <c r="B127" s="481"/>
      <c r="C127" s="716">
        <v>4.4379999999999997</v>
      </c>
      <c r="D127" s="717">
        <v>0</v>
      </c>
      <c r="E127" s="717">
        <v>0</v>
      </c>
      <c r="F127" s="718">
        <f>8.673-C127-D127-E127</f>
        <v>4.2350000000000003</v>
      </c>
      <c r="G127" s="681">
        <f>SUM(C127:F127)</f>
        <v>8.673</v>
      </c>
      <c r="H127" s="719"/>
      <c r="I127" s="716">
        <v>0</v>
      </c>
      <c r="J127" s="717">
        <v>3.9E-2</v>
      </c>
      <c r="K127" s="717">
        <v>3.6819999999999999</v>
      </c>
      <c r="L127" s="718">
        <f>3.721-I127-J127-K127</f>
        <v>0</v>
      </c>
      <c r="M127" s="682">
        <f>SUM(I127:L127)</f>
        <v>3.7210000000000001</v>
      </c>
      <c r="N127" s="720"/>
      <c r="O127" s="716">
        <v>4.774</v>
      </c>
      <c r="P127" s="717">
        <v>0</v>
      </c>
      <c r="Q127" s="717">
        <v>4.4109999999999996</v>
      </c>
      <c r="R127" s="717">
        <f>9.185-O127-P127-Q127</f>
        <v>0</v>
      </c>
      <c r="S127" s="682">
        <f>SUM(O127:R127)</f>
        <v>9.1849999999999987</v>
      </c>
      <c r="T127" s="717"/>
      <c r="U127" s="716">
        <v>0</v>
      </c>
      <c r="V127" s="717">
        <v>5.8579999999999997</v>
      </c>
      <c r="W127" s="717">
        <v>0</v>
      </c>
      <c r="X127" s="717">
        <v>4.59</v>
      </c>
      <c r="Y127" s="682">
        <f>SUM(U127:X127)</f>
        <v>10.448</v>
      </c>
      <c r="Z127" s="717"/>
      <c r="AA127" s="716">
        <v>0</v>
      </c>
      <c r="AB127" s="717">
        <v>1.8320000000000001</v>
      </c>
      <c r="AC127" s="717">
        <v>0</v>
      </c>
      <c r="AD127" s="717">
        <v>4.3609999999999998</v>
      </c>
      <c r="AE127" s="682">
        <f>SUM(AA127:AD127)</f>
        <v>6.1929999999999996</v>
      </c>
      <c r="AF127" s="616"/>
      <c r="AG127" s="716">
        <v>4.9409999999999998</v>
      </c>
      <c r="AH127" s="717">
        <v>4.4420000000000002</v>
      </c>
      <c r="AI127" s="717">
        <v>5.66</v>
      </c>
      <c r="AJ127" s="717">
        <v>2.544</v>
      </c>
      <c r="AK127" s="722">
        <f t="shared" si="173"/>
        <v>17.587</v>
      </c>
      <c r="AL127" s="616"/>
      <c r="AM127" s="716">
        <v>3.238</v>
      </c>
      <c r="AN127" s="717">
        <v>10.55</v>
      </c>
      <c r="AO127" s="717">
        <v>1.042</v>
      </c>
      <c r="AP127" s="717">
        <v>7.3120000000000003</v>
      </c>
      <c r="AQ127" s="722">
        <f t="shared" si="174"/>
        <v>22.141999999999999</v>
      </c>
      <c r="AR127" s="616"/>
      <c r="AS127" s="716">
        <v>0.49</v>
      </c>
      <c r="AT127" s="717">
        <v>0.36499999999999999</v>
      </c>
      <c r="AU127" s="717">
        <v>6.2850000000000001</v>
      </c>
      <c r="AV127" s="717">
        <v>8.4000000000000005E-2</v>
      </c>
      <c r="AW127" s="722">
        <f t="shared" si="175"/>
        <v>7.2240000000000002</v>
      </c>
      <c r="AX127" s="616"/>
      <c r="AY127" s="716">
        <v>0</v>
      </c>
      <c r="AZ127" s="717">
        <v>1.82</v>
      </c>
      <c r="BA127" s="717">
        <v>0.184</v>
      </c>
      <c r="BB127" s="717">
        <v>2.1560000000000001</v>
      </c>
      <c r="BC127" s="722">
        <f t="shared" si="176"/>
        <v>4.16</v>
      </c>
      <c r="BD127" s="616"/>
      <c r="BE127" s="716">
        <v>0</v>
      </c>
      <c r="BF127" s="717">
        <v>4.3109999999999999</v>
      </c>
      <c r="BG127" s="717">
        <v>0.4</v>
      </c>
      <c r="BH127" s="717">
        <v>0</v>
      </c>
      <c r="BI127" s="722">
        <f t="shared" si="177"/>
        <v>4.7110000000000003</v>
      </c>
      <c r="BJ127" s="616"/>
      <c r="BK127" s="716">
        <v>1.6639999999999999</v>
      </c>
      <c r="BL127" s="717">
        <v>0</v>
      </c>
      <c r="BM127" s="717">
        <v>0</v>
      </c>
      <c r="BN127" s="717">
        <v>0</v>
      </c>
      <c r="BO127" s="722">
        <f t="shared" si="178"/>
        <v>1.6639999999999999</v>
      </c>
      <c r="BP127" s="616"/>
      <c r="BQ127" s="723"/>
      <c r="BR127" s="721"/>
      <c r="BS127" s="721"/>
      <c r="BT127" s="721"/>
      <c r="BU127" s="722"/>
      <c r="BV127" s="616"/>
      <c r="BW127" s="723"/>
      <c r="BX127" s="721"/>
      <c r="BY127" s="721"/>
      <c r="BZ127" s="721"/>
      <c r="CA127" s="722"/>
      <c r="CB127" s="616"/>
      <c r="CC127" s="723"/>
      <c r="CD127" s="721"/>
      <c r="CE127" s="721"/>
      <c r="CF127" s="721"/>
      <c r="CG127" s="722"/>
      <c r="CH127" s="616"/>
      <c r="CI127" s="723"/>
      <c r="CJ127" s="721"/>
      <c r="CK127" s="721"/>
      <c r="CL127" s="721"/>
      <c r="CM127" s="722"/>
      <c r="CN127" s="108"/>
      <c r="CO127" s="108"/>
      <c r="CP127" s="108"/>
      <c r="CQ127" s="108"/>
      <c r="CR127" s="108"/>
    </row>
    <row r="128" spans="1:102" ht="12.6" customHeight="1" collapsed="1">
      <c r="A128" s="516" t="s">
        <v>39</v>
      </c>
      <c r="B128" s="491"/>
      <c r="C128" s="633">
        <f>SUM(C121:C127)</f>
        <v>32.699999999999996</v>
      </c>
      <c r="D128" s="641">
        <f>SUM(D121:D127)</f>
        <v>40.658999999999999</v>
      </c>
      <c r="E128" s="641">
        <f>SUM(E121:E127)</f>
        <v>40.686</v>
      </c>
      <c r="F128" s="613">
        <f>SUM(F121:F127)</f>
        <v>60.63</v>
      </c>
      <c r="G128" s="641">
        <f>SUM(G121:G127)</f>
        <v>174.67499999999998</v>
      </c>
      <c r="H128" s="645"/>
      <c r="I128" s="633">
        <f>SUM(I121:I127)</f>
        <v>23.051000000000002</v>
      </c>
      <c r="J128" s="641">
        <f>SUM(J121:J127)</f>
        <v>31.146000000000001</v>
      </c>
      <c r="K128" s="641">
        <f>SUM(K121:K127)</f>
        <v>35.867000000000004</v>
      </c>
      <c r="L128" s="613">
        <f>SUM(L121:L127)</f>
        <v>36.393000000000001</v>
      </c>
      <c r="M128" s="645">
        <f>SUM(M121:M127)</f>
        <v>126.45700000000001</v>
      </c>
      <c r="N128" s="703"/>
      <c r="O128" s="633">
        <f>SUM(O121:O127)</f>
        <v>27.605</v>
      </c>
      <c r="P128" s="641">
        <f>SUM(P121:P127)</f>
        <v>35.013999999999996</v>
      </c>
      <c r="Q128" s="641">
        <f>SUM(Q121:Q127)</f>
        <v>34.377000000000002</v>
      </c>
      <c r="R128" s="641">
        <f>SUM(R121:R127)</f>
        <v>37.226999999999997</v>
      </c>
      <c r="S128" s="645">
        <f>SUM(S121:S127)</f>
        <v>134.22299999999998</v>
      </c>
      <c r="T128" s="703"/>
      <c r="U128" s="633">
        <f>SUM(U121:U127)</f>
        <v>33.218000000000004</v>
      </c>
      <c r="V128" s="641">
        <f>SUM(V121:V127)</f>
        <v>40.889999999999993</v>
      </c>
      <c r="W128" s="641">
        <f>SUM(W121:W127)</f>
        <v>37.906999999999996</v>
      </c>
      <c r="X128" s="641">
        <f>SUM(X121:X127)</f>
        <v>41.652000000000001</v>
      </c>
      <c r="Y128" s="702">
        <f>SUM(Y121:Y127)</f>
        <v>153.66700000000003</v>
      </c>
      <c r="Z128" s="703"/>
      <c r="AA128" s="633">
        <f>SUM(AA121:AA127)</f>
        <v>37.022999999999996</v>
      </c>
      <c r="AB128" s="641">
        <f>SUM(AB121:AB127)</f>
        <v>44.399000000000008</v>
      </c>
      <c r="AC128" s="641">
        <f>SUM(AC121:AC127)</f>
        <v>41.452999999999996</v>
      </c>
      <c r="AD128" s="641">
        <f>SUM(AD121:AD127)</f>
        <v>59.436</v>
      </c>
      <c r="AE128" s="645">
        <f>SUM(AE121:AE127)</f>
        <v>179.30500000000004</v>
      </c>
      <c r="AF128" s="704"/>
      <c r="AG128" s="633">
        <f>SUM(AG121:AG127)</f>
        <v>52.213000000000008</v>
      </c>
      <c r="AH128" s="641">
        <f>SUM(AH121:AH127)</f>
        <v>56.367000000000004</v>
      </c>
      <c r="AI128" s="641">
        <f>SUM(AI121:AI127)</f>
        <v>56.309000000000012</v>
      </c>
      <c r="AJ128" s="641">
        <f>SUM(AJ121:AJ127)</f>
        <v>77.162999999999997</v>
      </c>
      <c r="AK128" s="1251">
        <f t="shared" si="173"/>
        <v>242.05200000000002</v>
      </c>
      <c r="AL128" s="704"/>
      <c r="AM128" s="633">
        <f>SUM(AM121:AM127)</f>
        <v>50.285999999999994</v>
      </c>
      <c r="AN128" s="641">
        <f>SUM(AN121:AN127)</f>
        <v>64.613</v>
      </c>
      <c r="AO128" s="641">
        <f>SUM(AO121:AO127)</f>
        <v>65.62</v>
      </c>
      <c r="AP128" s="641">
        <f>SUM(AP121:AP127)</f>
        <v>83.847999999999999</v>
      </c>
      <c r="AQ128" s="645">
        <f t="shared" si="174"/>
        <v>264.36700000000002</v>
      </c>
      <c r="AR128" s="704"/>
      <c r="AS128" s="633">
        <f>SUM(AS121:AS127)</f>
        <v>64.058999999999997</v>
      </c>
      <c r="AT128" s="641">
        <f>SUM(AT121:AT127)</f>
        <v>76.263999999999996</v>
      </c>
      <c r="AU128" s="641">
        <f>SUM(AU121:AU127)</f>
        <v>73.63</v>
      </c>
      <c r="AV128" s="641">
        <f>SUM(AV121:AV127)</f>
        <v>101.38</v>
      </c>
      <c r="AW128" s="645">
        <f t="shared" si="175"/>
        <v>315.33299999999997</v>
      </c>
      <c r="AX128" s="704"/>
      <c r="AY128" s="633">
        <f>SUM(AY121:AY127)</f>
        <v>71.727000000000004</v>
      </c>
      <c r="AZ128" s="641">
        <f>SUM(AZ121:AZ127)</f>
        <v>77.98299999999999</v>
      </c>
      <c r="BA128" s="641">
        <f>SUM(BA121:BA127)</f>
        <v>78.897999999999982</v>
      </c>
      <c r="BB128" s="641">
        <f>SUM(BB121:BB127)</f>
        <v>91.297000000000011</v>
      </c>
      <c r="BC128" s="645">
        <f t="shared" si="176"/>
        <v>319.90499999999997</v>
      </c>
      <c r="BD128" s="704"/>
      <c r="BE128" s="633">
        <f>SUM(BE121:BE127)</f>
        <v>70.366</v>
      </c>
      <c r="BF128" s="641">
        <f>SUM(BF121:BF127)</f>
        <v>80.171999999999997</v>
      </c>
      <c r="BG128" s="641">
        <f>SUM(BG121:BG127)</f>
        <v>83.4</v>
      </c>
      <c r="BH128" s="641">
        <f>SUM(BH121:BH127)</f>
        <v>45.749000000000009</v>
      </c>
      <c r="BI128" s="645">
        <f t="shared" si="177"/>
        <v>279.68700000000001</v>
      </c>
      <c r="BJ128" s="704"/>
      <c r="BK128" s="633">
        <f>SUM(BK121:BK127)</f>
        <v>45.414999999999992</v>
      </c>
      <c r="BL128" s="641">
        <f>SUM(BL121:BL127)</f>
        <v>48.757000000000005</v>
      </c>
      <c r="BM128" s="641">
        <f>SUM(BM121:BM127)</f>
        <v>56.712000000000003</v>
      </c>
      <c r="BN128" s="641">
        <f>SUM(BN121:BN127)</f>
        <v>59.546999999999997</v>
      </c>
      <c r="BO128" s="645">
        <f t="shared" si="178"/>
        <v>210.43100000000001</v>
      </c>
      <c r="BP128" s="704"/>
      <c r="BQ128" s="707"/>
      <c r="BR128" s="704"/>
      <c r="BS128" s="704"/>
      <c r="BT128" s="704"/>
      <c r="BU128" s="706"/>
      <c r="BV128" s="704"/>
      <c r="BW128" s="707"/>
      <c r="BX128" s="704"/>
      <c r="BY128" s="704"/>
      <c r="BZ128" s="704"/>
      <c r="CA128" s="706"/>
      <c r="CB128" s="704"/>
      <c r="CC128" s="707"/>
      <c r="CD128" s="704"/>
      <c r="CE128" s="704"/>
      <c r="CF128" s="704"/>
      <c r="CG128" s="706"/>
      <c r="CH128" s="704"/>
      <c r="CI128" s="707"/>
      <c r="CJ128" s="704"/>
      <c r="CK128" s="704"/>
      <c r="CL128" s="704"/>
      <c r="CM128" s="706"/>
      <c r="CN128" s="889"/>
      <c r="CO128" s="889"/>
      <c r="CP128" s="889"/>
      <c r="CQ128" s="889"/>
      <c r="CR128" s="889"/>
    </row>
    <row r="129" spans="1:96" ht="12.6" customHeight="1">
      <c r="A129" s="280" t="s">
        <v>40</v>
      </c>
      <c r="B129" s="54"/>
      <c r="C129" s="724">
        <f>C128/C120</f>
        <v>0.10916811890311078</v>
      </c>
      <c r="D129" s="725">
        <f>D128/D120</f>
        <v>0.12461230094028515</v>
      </c>
      <c r="E129" s="725">
        <f>E128/E120</f>
        <v>0.12740612699277573</v>
      </c>
      <c r="F129" s="726">
        <f>F128/F120</f>
        <v>0.15983823727133484</v>
      </c>
      <c r="G129" s="725">
        <f>G128/G120</f>
        <v>0.13188154783296741</v>
      </c>
      <c r="H129" s="529"/>
      <c r="I129" s="725">
        <f>I128/I120</f>
        <v>0.1279978232984802</v>
      </c>
      <c r="J129" s="725">
        <f>J128/J120</f>
        <v>0.15274161039266745</v>
      </c>
      <c r="K129" s="725">
        <f>K128/K120</f>
        <v>0.18234645164898297</v>
      </c>
      <c r="L129" s="725">
        <f>L128/L120</f>
        <v>0.18768662681856393</v>
      </c>
      <c r="M129" s="727">
        <f>M128/M120</f>
        <v>0.1632541614919662</v>
      </c>
      <c r="N129" s="728"/>
      <c r="O129" s="724">
        <f>O128/O120</f>
        <v>0.15684567793093571</v>
      </c>
      <c r="P129" s="725">
        <f>P128/P120</f>
        <v>0.19077770574716482</v>
      </c>
      <c r="Q129" s="725">
        <f>Q128/Q120</f>
        <v>0.19190876002054352</v>
      </c>
      <c r="R129" s="725">
        <f>R128/R120</f>
        <v>0.19290300181881304</v>
      </c>
      <c r="S129" s="727">
        <f>S128/S120</f>
        <v>0.18345272118187814</v>
      </c>
      <c r="T129" s="728"/>
      <c r="U129" s="729">
        <f>U128/U120</f>
        <v>0.17598567447577271</v>
      </c>
      <c r="V129" s="730">
        <f>V128/V120</f>
        <v>0.20686201104882931</v>
      </c>
      <c r="W129" s="730">
        <f>W128/W120</f>
        <v>0.19470240174223899</v>
      </c>
      <c r="X129" s="730">
        <f>X128/X120</f>
        <v>0.19289584587597836</v>
      </c>
      <c r="Y129" s="727">
        <f>Y128/Y120</f>
        <v>0.19279613170665613</v>
      </c>
      <c r="Z129" s="728"/>
      <c r="AA129" s="724">
        <f>AA128/AA120</f>
        <v>0.3043987921842683</v>
      </c>
      <c r="AB129" s="725">
        <f>AB128/AB120</f>
        <v>0.32595936060356862</v>
      </c>
      <c r="AC129" s="725">
        <f>AC128/AC120</f>
        <v>0.32736246864946056</v>
      </c>
      <c r="AD129" s="725">
        <f>AD128/AD120</f>
        <v>0.46804885029535981</v>
      </c>
      <c r="AE129" s="731">
        <f>AE128/AE120</f>
        <v>0.35058110990064278</v>
      </c>
      <c r="AF129" s="732"/>
      <c r="AG129" s="724">
        <f>AG128/AG120</f>
        <v>0.38159444987013291</v>
      </c>
      <c r="AH129" s="725">
        <f>AH128/AH120</f>
        <v>0.39830918594993592</v>
      </c>
      <c r="AI129" s="725">
        <f>AI128/AI120</f>
        <v>0.41903665389819178</v>
      </c>
      <c r="AJ129" s="725">
        <f>AJ128/AJ120</f>
        <v>0.55984873933727697</v>
      </c>
      <c r="AK129" s="731">
        <f>AK128/AK120</f>
        <v>0.4396550758111763</v>
      </c>
      <c r="AL129" s="167"/>
      <c r="AM129" s="724">
        <f>AM128/AM120</f>
        <v>0.3696357108125442</v>
      </c>
      <c r="AN129" s="725">
        <f>AN128/AN120</f>
        <v>0.45079610612169352</v>
      </c>
      <c r="AO129" s="725">
        <f>AO128/AO120</f>
        <v>0.48066003074400737</v>
      </c>
      <c r="AP129" s="725">
        <f>AP128/AP120</f>
        <v>0.57504467024056938</v>
      </c>
      <c r="AQ129" s="731">
        <f>AQ128/AQ120</f>
        <v>0.47065111998416509</v>
      </c>
      <c r="AR129" s="167"/>
      <c r="AS129" s="724">
        <f>AS128/AS120</f>
        <v>0.47028535438699637</v>
      </c>
      <c r="AT129" s="725">
        <f>AT128/AT120</f>
        <v>0.52949845697128306</v>
      </c>
      <c r="AU129" s="725">
        <f>AU128/AU120</f>
        <v>0.49519887298560789</v>
      </c>
      <c r="AV129" s="725">
        <f>AV128/AV120</f>
        <v>0.64574030744811783</v>
      </c>
      <c r="AW129" s="731">
        <f>AW128/AW120</f>
        <v>0.53817565234444187</v>
      </c>
      <c r="AX129" s="167"/>
      <c r="AY129" s="724">
        <f>AY128/AY120</f>
        <v>0.52802173128878616</v>
      </c>
      <c r="AZ129" s="725">
        <f>AZ128/AZ120</f>
        <v>0.54179693470618473</v>
      </c>
      <c r="BA129" s="725">
        <f>BA128/BA120</f>
        <v>0.54212016270888286</v>
      </c>
      <c r="BB129" s="725">
        <f>BB128/BB120</f>
        <v>0.6010731450391732</v>
      </c>
      <c r="BC129" s="731">
        <f>BC128/BC120</f>
        <v>0.55423500652285762</v>
      </c>
      <c r="BD129" s="167"/>
      <c r="BE129" s="724">
        <f>BE128/BE120</f>
        <v>0.49643018399367872</v>
      </c>
      <c r="BF129" s="725">
        <f>BF128/BF120</f>
        <v>0.51752585305395249</v>
      </c>
      <c r="BG129" s="725">
        <f>BG128/BG120</f>
        <v>0.55757608172434081</v>
      </c>
      <c r="BH129" s="725">
        <f>BH128/BH120</f>
        <v>0.29137634545570351</v>
      </c>
      <c r="BI129" s="731">
        <f>BI128/BI120</f>
        <v>0.46363826246096107</v>
      </c>
      <c r="BJ129" s="167"/>
      <c r="BK129" s="724">
        <f>BK128/BK120</f>
        <v>0.29772518683623966</v>
      </c>
      <c r="BL129" s="725">
        <f>BL128/BL120</f>
        <v>0.29726252895988298</v>
      </c>
      <c r="BM129" s="725">
        <f>BM128/BM120</f>
        <v>0.33541915565596947</v>
      </c>
      <c r="BN129" s="725">
        <f>BN128/BN120</f>
        <v>0.3075298249238238</v>
      </c>
      <c r="BO129" s="731">
        <f>BO128/BO120</f>
        <v>0.30979083366211863</v>
      </c>
      <c r="BP129" s="167"/>
      <c r="BQ129" s="710"/>
      <c r="BR129" s="167"/>
      <c r="BS129" s="167"/>
      <c r="BT129" s="167"/>
      <c r="BU129" s="709"/>
      <c r="BV129" s="167"/>
      <c r="BW129" s="710"/>
      <c r="BX129" s="167"/>
      <c r="BY129" s="167"/>
      <c r="BZ129" s="167"/>
      <c r="CA129" s="709"/>
      <c r="CB129" s="167"/>
      <c r="CC129" s="710"/>
      <c r="CD129" s="167"/>
      <c r="CE129" s="167"/>
      <c r="CF129" s="167"/>
      <c r="CG129" s="709"/>
      <c r="CH129" s="167"/>
      <c r="CI129" s="710"/>
      <c r="CJ129" s="167"/>
      <c r="CK129" s="167"/>
      <c r="CL129" s="167"/>
      <c r="CM129" s="709"/>
      <c r="CN129" s="108"/>
      <c r="CO129" s="108"/>
      <c r="CP129" s="108"/>
      <c r="CQ129" s="108"/>
      <c r="CR129" s="108"/>
    </row>
    <row r="130" spans="1:96" ht="12.6" customHeight="1">
      <c r="A130" s="478"/>
      <c r="B130" s="54"/>
      <c r="C130" s="710"/>
      <c r="D130" s="167"/>
      <c r="E130" s="167"/>
      <c r="F130" s="733"/>
      <c r="G130" s="167"/>
      <c r="H130" s="529"/>
      <c r="I130" s="167"/>
      <c r="J130" s="167"/>
      <c r="K130" s="167"/>
      <c r="L130" s="167"/>
      <c r="M130" s="709"/>
      <c r="N130" s="708"/>
      <c r="O130" s="710"/>
      <c r="P130" s="167"/>
      <c r="Q130" s="167"/>
      <c r="R130" s="167"/>
      <c r="S130" s="709"/>
      <c r="T130" s="708"/>
      <c r="U130" s="710"/>
      <c r="V130" s="167"/>
      <c r="W130" s="167"/>
      <c r="X130" s="167"/>
      <c r="Y130" s="709"/>
      <c r="Z130" s="708"/>
      <c r="AA130" s="710"/>
      <c r="AB130" s="167"/>
      <c r="AC130" s="167"/>
      <c r="AD130" s="167"/>
      <c r="AE130" s="709"/>
      <c r="AF130" s="167"/>
      <c r="AG130" s="710"/>
      <c r="AH130" s="167"/>
      <c r="AI130" s="167"/>
      <c r="AJ130" s="167"/>
      <c r="AK130" s="709"/>
      <c r="AL130" s="167"/>
      <c r="AM130" s="710"/>
      <c r="AN130" s="167"/>
      <c r="AO130" s="167"/>
      <c r="AP130" s="167"/>
      <c r="AQ130" s="709"/>
      <c r="AR130" s="167"/>
      <c r="AS130" s="710"/>
      <c r="AT130" s="167"/>
      <c r="AU130" s="167"/>
      <c r="AV130" s="167"/>
      <c r="AW130" s="709"/>
      <c r="AX130" s="167"/>
      <c r="AY130" s="710"/>
      <c r="AZ130" s="167"/>
      <c r="BA130" s="167"/>
      <c r="BB130" s="167"/>
      <c r="BC130" s="709"/>
      <c r="BD130" s="167"/>
      <c r="BE130" s="710"/>
      <c r="BF130" s="167"/>
      <c r="BG130" s="167"/>
      <c r="BH130" s="167"/>
      <c r="BI130" s="709"/>
      <c r="BJ130" s="167"/>
      <c r="BK130" s="710"/>
      <c r="BL130" s="167"/>
      <c r="BM130" s="167"/>
      <c r="BN130" s="167"/>
      <c r="BO130" s="709"/>
      <c r="BP130" s="167"/>
      <c r="BQ130" s="710"/>
      <c r="BR130" s="167"/>
      <c r="BS130" s="167"/>
      <c r="BT130" s="167"/>
      <c r="BU130" s="709"/>
      <c r="BV130" s="167"/>
      <c r="BW130" s="710"/>
      <c r="BX130" s="167"/>
      <c r="BY130" s="167"/>
      <c r="BZ130" s="167"/>
      <c r="CA130" s="709"/>
      <c r="CB130" s="167"/>
      <c r="CC130" s="710"/>
      <c r="CD130" s="167"/>
      <c r="CE130" s="167"/>
      <c r="CF130" s="167"/>
      <c r="CG130" s="709"/>
      <c r="CH130" s="167"/>
      <c r="CI130" s="710"/>
      <c r="CJ130" s="167"/>
      <c r="CK130" s="167"/>
      <c r="CL130" s="167"/>
      <c r="CM130" s="709"/>
      <c r="CN130" s="108"/>
      <c r="CO130" s="108"/>
      <c r="CP130" s="108"/>
      <c r="CQ130" s="108"/>
      <c r="CR130" s="108"/>
    </row>
    <row r="131" spans="1:96" ht="12.6" customHeight="1">
      <c r="A131" s="472" t="s">
        <v>527</v>
      </c>
      <c r="B131" s="54"/>
      <c r="C131" s="710"/>
      <c r="D131" s="167"/>
      <c r="E131" s="167"/>
      <c r="F131" s="733"/>
      <c r="G131" s="167"/>
      <c r="H131" s="529"/>
      <c r="I131" s="167"/>
      <c r="J131" s="167"/>
      <c r="K131" s="167"/>
      <c r="L131" s="167"/>
      <c r="M131" s="709"/>
      <c r="N131" s="708"/>
      <c r="O131" s="710"/>
      <c r="P131" s="167"/>
      <c r="Q131" s="167"/>
      <c r="R131" s="167"/>
      <c r="S131" s="709"/>
      <c r="T131" s="708"/>
      <c r="U131" s="710"/>
      <c r="V131" s="167"/>
      <c r="W131" s="167"/>
      <c r="X131" s="167"/>
      <c r="Y131" s="709"/>
      <c r="Z131" s="708"/>
      <c r="AA131" s="710"/>
      <c r="AB131" s="167"/>
      <c r="AC131" s="167"/>
      <c r="AD131" s="167"/>
      <c r="AE131" s="709"/>
      <c r="AF131" s="167"/>
      <c r="AG131" s="710"/>
      <c r="AH131" s="167"/>
      <c r="AI131" s="167"/>
      <c r="AJ131" s="167"/>
      <c r="AK131" s="709"/>
      <c r="AL131" s="167"/>
      <c r="AM131" s="710"/>
      <c r="AN131" s="167"/>
      <c r="AO131" s="167"/>
      <c r="AP131" s="167"/>
      <c r="AQ131" s="709"/>
      <c r="AR131" s="167"/>
      <c r="AS131" s="710"/>
      <c r="AT131" s="167"/>
      <c r="AU131" s="167"/>
      <c r="AV131" s="167"/>
      <c r="AW131" s="709"/>
      <c r="AX131" s="167"/>
      <c r="AY131" s="710"/>
      <c r="AZ131" s="167"/>
      <c r="BA131" s="167"/>
      <c r="BB131" s="167"/>
      <c r="BC131" s="709"/>
      <c r="BD131" s="167"/>
      <c r="BE131" s="710"/>
      <c r="BF131" s="167"/>
      <c r="BG131" s="167"/>
      <c r="BH131" s="167"/>
      <c r="BI131" s="709"/>
      <c r="BJ131" s="167"/>
      <c r="BK131" s="710"/>
      <c r="BL131" s="167"/>
      <c r="BM131" s="167"/>
      <c r="BN131" s="167"/>
      <c r="BO131" s="709"/>
      <c r="BP131" s="167"/>
      <c r="BQ131" s="710"/>
      <c r="BR131" s="167"/>
      <c r="BS131" s="167"/>
      <c r="BT131" s="167"/>
      <c r="BU131" s="709"/>
      <c r="BV131" s="167"/>
      <c r="BW131" s="710"/>
      <c r="BX131" s="167"/>
      <c r="BY131" s="167"/>
      <c r="BZ131" s="167"/>
      <c r="CA131" s="709"/>
      <c r="CB131" s="167"/>
      <c r="CC131" s="710"/>
      <c r="CD131" s="167"/>
      <c r="CE131" s="167"/>
      <c r="CF131" s="167"/>
      <c r="CG131" s="709"/>
      <c r="CH131" s="167"/>
      <c r="CI131" s="710"/>
      <c r="CJ131" s="167"/>
      <c r="CK131" s="167"/>
      <c r="CL131" s="167"/>
      <c r="CM131" s="709"/>
      <c r="CN131" s="108"/>
      <c r="CO131" s="108"/>
      <c r="CP131" s="108"/>
      <c r="CQ131" s="108"/>
      <c r="CR131" s="108"/>
    </row>
    <row r="132" spans="1:96" ht="12.6" hidden="1" customHeight="1" outlineLevel="1">
      <c r="A132" s="516" t="s">
        <v>5</v>
      </c>
      <c r="B132" s="491"/>
      <c r="C132" s="699">
        <f>ProFormaRevBuild!C14</f>
        <v>103.36199999999999</v>
      </c>
      <c r="D132" s="700">
        <f>ProFormaRevBuild!D14</f>
        <v>111.006</v>
      </c>
      <c r="E132" s="700">
        <f>ProFormaRevBuild!E14</f>
        <v>116.327</v>
      </c>
      <c r="F132" s="701">
        <f>ProFormaRevBuild!F14</f>
        <v>101.374</v>
      </c>
      <c r="G132" s="430">
        <f>ProFormaRevBuild!G14</f>
        <v>432.06899999999996</v>
      </c>
      <c r="H132" s="645"/>
      <c r="I132" s="699">
        <f>ProFormaRevBuild!I14</f>
        <v>278.63099999999997</v>
      </c>
      <c r="J132" s="700">
        <f>ProFormaRevBuild!J14</f>
        <v>301.05200000000002</v>
      </c>
      <c r="K132" s="700">
        <f>ProFormaRevBuild!K14</f>
        <v>282.05</v>
      </c>
      <c r="L132" s="701">
        <f>ProFormaRevBuild!L14</f>
        <v>305.96699999999998</v>
      </c>
      <c r="M132" s="430">
        <f>ProFormaRevBuild!M14</f>
        <v>1167.6999999999998</v>
      </c>
      <c r="N132" s="734"/>
      <c r="O132" s="699">
        <f>ProFormaRevBuild!O14</f>
        <v>194.54715205754596</v>
      </c>
      <c r="P132" s="700">
        <f>ProFormaRevBuild!P14</f>
        <v>191.17284794245404</v>
      </c>
      <c r="Q132" s="700">
        <f>ProFormaRevBuild!Q14</f>
        <v>197.904</v>
      </c>
      <c r="R132" s="701">
        <f>ProFormaRevBuild!R14</f>
        <v>235.49299999999999</v>
      </c>
      <c r="S132" s="430">
        <f>ProFormaRevBuild!S14</f>
        <v>819.11699999999996</v>
      </c>
      <c r="T132" s="734"/>
      <c r="U132" s="699">
        <f>ProFormaRevBuild!U14</f>
        <v>205.048</v>
      </c>
      <c r="V132" s="700">
        <f>ProFormaRevBuild!V14</f>
        <v>224.12700000000001</v>
      </c>
      <c r="W132" s="700">
        <f>ProFormaRevBuild!W14</f>
        <v>224.63300000000001</v>
      </c>
      <c r="X132" s="701">
        <f>ProFormaRevBuild!X14</f>
        <v>254.22800000000001</v>
      </c>
      <c r="Y132" s="430">
        <f>ProFormaRevBuild!Y14</f>
        <v>908.03600000000006</v>
      </c>
      <c r="Z132" s="734"/>
      <c r="AA132" s="699">
        <f>ProFormaRevBuild!AA14</f>
        <v>326.56236760000002</v>
      </c>
      <c r="AB132" s="700">
        <f>ProFormaRevBuild!AB14</f>
        <v>349.38276839999997</v>
      </c>
      <c r="AC132" s="700">
        <f>ProFormaRevBuild!AC14</f>
        <v>332.27891</v>
      </c>
      <c r="AD132" s="701">
        <f>ProFormaRevBuild!AD14</f>
        <v>381.87025499999999</v>
      </c>
      <c r="AE132" s="430">
        <f>ProFormaRevBuild!AE14</f>
        <v>1390.0943010000001</v>
      </c>
      <c r="AF132" s="706"/>
      <c r="AG132" s="699">
        <f>ProFormaRevBuild!AG14</f>
        <v>339.58448999999996</v>
      </c>
      <c r="AH132" s="700">
        <f>ProFormaRevBuild!AH14</f>
        <v>348.55730820000008</v>
      </c>
      <c r="AI132" s="700">
        <f>ProFormaRevBuild!AI14</f>
        <v>333.43348560000004</v>
      </c>
      <c r="AJ132" s="701">
        <f>ProFormaRevBuild!AJ14</f>
        <v>387.41870000000006</v>
      </c>
      <c r="AK132" s="430">
        <f>ProFormaRevBuild!AK14</f>
        <v>1408.9939838</v>
      </c>
      <c r="AL132" s="706"/>
      <c r="AM132" s="699">
        <f>ProFormaRevBuild!AM14</f>
        <v>324.75102835848787</v>
      </c>
      <c r="AN132" s="700">
        <f>ProFormaRevBuild!AN14</f>
        <v>358.21430820000006</v>
      </c>
      <c r="AO132" s="700">
        <f>ProFormaRevBuild!AO14</f>
        <v>341.81115683600001</v>
      </c>
      <c r="AP132" s="701">
        <f>ProFormaRevBuild!AP14</f>
        <v>390.60152800000014</v>
      </c>
      <c r="AQ132" s="430">
        <f>ProFormaRevBuild!AQ14</f>
        <v>1415.3870213944881</v>
      </c>
      <c r="AR132" s="706"/>
      <c r="AS132" s="699">
        <f>ProFormaRevBuild!AS14</f>
        <v>340.48042291644589</v>
      </c>
      <c r="AT132" s="700">
        <f>ProFormaRevBuild!AT14</f>
        <v>359.60975358465078</v>
      </c>
      <c r="AU132" s="700">
        <f>ProFormaRevBuild!AU14</f>
        <v>355.36852538625601</v>
      </c>
      <c r="AV132" s="701">
        <f>ProFormaRevBuild!AV14</f>
        <v>418.47284279935263</v>
      </c>
      <c r="AW132" s="430">
        <f>ProFormaRevBuild!AW14</f>
        <v>1473.9315446867054</v>
      </c>
      <c r="AX132" s="706"/>
      <c r="AY132" s="699">
        <f>ProFormaRevBuild!AY14</f>
        <v>348.57100000000003</v>
      </c>
      <c r="AZ132" s="700">
        <f>ProFormaRevBuild!AZ14</f>
        <v>381.529</v>
      </c>
      <c r="BA132" s="700">
        <f>ProFormaRevBuild!BA14</f>
        <v>380.137</v>
      </c>
      <c r="BB132" s="701">
        <f>ProFormaRevBuild!BB14</f>
        <v>418.18200000000002</v>
      </c>
      <c r="BC132" s="430">
        <f>ProFormaRevBuild!BC14</f>
        <v>1528.4190000000001</v>
      </c>
      <c r="BD132" s="706"/>
      <c r="BE132" s="699">
        <f>ProFormaRevBuild!BE14</f>
        <v>356.447</v>
      </c>
      <c r="BF132" s="700">
        <f>ProFormaRevBuild!BF14</f>
        <v>381.50400000000002</v>
      </c>
      <c r="BG132" s="700">
        <f>ProFormaRevBuild!BG14</f>
        <v>365.089</v>
      </c>
      <c r="BH132" s="701">
        <f>ProFormaRevBuild!BH14</f>
        <v>409.94400000000002</v>
      </c>
      <c r="BI132" s="702">
        <f>ProFormaRevBuild!BI14</f>
        <v>1512.9839999999999</v>
      </c>
      <c r="BJ132" s="704"/>
      <c r="BK132" s="699">
        <f>ProFormaRevBuild!BK14</f>
        <v>361.76</v>
      </c>
      <c r="BL132" s="700">
        <f>ProFormaRevBuild!BL14</f>
        <v>383.12799999999999</v>
      </c>
      <c r="BM132" s="700">
        <f>ProFormaRevBuild!BM14</f>
        <v>385.38200000000001</v>
      </c>
      <c r="BN132" s="701">
        <f>ProFormaRevBuild!BN14</f>
        <v>448.18900000000002</v>
      </c>
      <c r="BO132" s="702">
        <f>ProFormaRevBuild!BO14</f>
        <v>1578.4590000000001</v>
      </c>
      <c r="BP132" s="704"/>
      <c r="BQ132" s="707"/>
      <c r="BR132" s="704"/>
      <c r="BS132" s="704"/>
      <c r="BT132" s="704"/>
      <c r="BU132" s="706"/>
      <c r="BV132" s="704"/>
      <c r="BW132" s="707"/>
      <c r="BX132" s="704"/>
      <c r="BY132" s="704"/>
      <c r="BZ132" s="704"/>
      <c r="CA132" s="706"/>
      <c r="CB132" s="704"/>
      <c r="CC132" s="707"/>
      <c r="CD132" s="704"/>
      <c r="CE132" s="704"/>
      <c r="CF132" s="704"/>
      <c r="CG132" s="706"/>
      <c r="CH132" s="704"/>
      <c r="CI132" s="707"/>
      <c r="CJ132" s="704"/>
      <c r="CK132" s="704"/>
      <c r="CL132" s="704"/>
      <c r="CM132" s="706"/>
      <c r="CN132" s="889"/>
      <c r="CO132" s="889"/>
      <c r="CP132" s="889"/>
      <c r="CQ132" s="889"/>
      <c r="CR132" s="889"/>
    </row>
    <row r="133" spans="1:96" ht="12.6" hidden="1" customHeight="1" outlineLevel="1">
      <c r="A133" s="280" t="s">
        <v>36</v>
      </c>
      <c r="B133" s="54"/>
      <c r="C133" s="602">
        <v>0</v>
      </c>
      <c r="D133" s="621">
        <v>0</v>
      </c>
      <c r="E133" s="621">
        <v>0</v>
      </c>
      <c r="F133" s="622">
        <v>0</v>
      </c>
      <c r="G133" s="616">
        <f>SUM(C133:F133)</f>
        <v>0</v>
      </c>
      <c r="H133" s="529"/>
      <c r="I133" s="602">
        <v>0</v>
      </c>
      <c r="J133" s="621">
        <v>0</v>
      </c>
      <c r="K133" s="621">
        <v>0</v>
      </c>
      <c r="L133" s="622">
        <v>0</v>
      </c>
      <c r="M133" s="616">
        <f>SUM(I133:L133)</f>
        <v>0</v>
      </c>
      <c r="N133" s="1814"/>
      <c r="O133" s="602">
        <v>0</v>
      </c>
      <c r="P133" s="621">
        <v>0</v>
      </c>
      <c r="Q133" s="621">
        <v>0</v>
      </c>
      <c r="R133" s="622">
        <v>0</v>
      </c>
      <c r="S133" s="616">
        <f>SUM(O133:R133)</f>
        <v>0</v>
      </c>
      <c r="T133" s="1814"/>
      <c r="U133" s="602">
        <v>0</v>
      </c>
      <c r="V133" s="621">
        <v>0</v>
      </c>
      <c r="W133" s="621">
        <v>0</v>
      </c>
      <c r="X133" s="622">
        <v>0</v>
      </c>
      <c r="Y133" s="616">
        <f>SUM(U133:X133)</f>
        <v>0</v>
      </c>
      <c r="Z133" s="1814"/>
      <c r="AA133" s="602">
        <v>0</v>
      </c>
      <c r="AB133" s="621">
        <v>0</v>
      </c>
      <c r="AC133" s="621">
        <v>0</v>
      </c>
      <c r="AD133" s="622">
        <v>0</v>
      </c>
      <c r="AE133" s="616">
        <f>SUM(AA133:AD133)</f>
        <v>0</v>
      </c>
      <c r="AF133" s="709"/>
      <c r="AG133" s="602">
        <v>0</v>
      </c>
      <c r="AH133" s="621">
        <v>0</v>
      </c>
      <c r="AI133" s="621">
        <v>0</v>
      </c>
      <c r="AJ133" s="622">
        <v>0</v>
      </c>
      <c r="AK133" s="618">
        <f>SUM(AG133:AJ133)</f>
        <v>0</v>
      </c>
      <c r="AL133" s="709"/>
      <c r="AM133" s="602">
        <v>0</v>
      </c>
      <c r="AN133" s="621">
        <v>0</v>
      </c>
      <c r="AO133" s="621">
        <v>8.9999999999999993E-3</v>
      </c>
      <c r="AP133" s="622">
        <v>0</v>
      </c>
      <c r="AQ133" s="616">
        <f>SUM(AM133:AP133)</f>
        <v>8.9999999999999993E-3</v>
      </c>
      <c r="AR133" s="709"/>
      <c r="AS133" s="602">
        <v>0</v>
      </c>
      <c r="AT133" s="621">
        <v>0</v>
      </c>
      <c r="AU133" s="621">
        <v>0</v>
      </c>
      <c r="AV133" s="622">
        <v>0</v>
      </c>
      <c r="AW133" s="616">
        <f>SUM(AS133:AV133)</f>
        <v>0</v>
      </c>
      <c r="AX133" s="709"/>
      <c r="AY133" s="602">
        <v>0</v>
      </c>
      <c r="AZ133" s="621">
        <v>0</v>
      </c>
      <c r="BA133" s="621">
        <v>0</v>
      </c>
      <c r="BB133" s="622">
        <v>0</v>
      </c>
      <c r="BC133" s="616">
        <f>SUM(AY133:BB133)</f>
        <v>0</v>
      </c>
      <c r="BD133" s="709"/>
      <c r="BE133" s="602">
        <v>0</v>
      </c>
      <c r="BF133" s="621">
        <v>0</v>
      </c>
      <c r="BG133" s="621">
        <v>0</v>
      </c>
      <c r="BH133" s="622">
        <v>0</v>
      </c>
      <c r="BI133" s="618">
        <f>SUM(BE133:BH133)</f>
        <v>0</v>
      </c>
      <c r="BJ133" s="167"/>
      <c r="BK133" s="602">
        <v>0</v>
      </c>
      <c r="BL133" s="621">
        <v>0</v>
      </c>
      <c r="BM133" s="621">
        <v>0</v>
      </c>
      <c r="BN133" s="622">
        <v>0</v>
      </c>
      <c r="BO133" s="618">
        <f>SUM(BK133:BN133)</f>
        <v>0</v>
      </c>
      <c r="BP133" s="167"/>
      <c r="BQ133" s="710"/>
      <c r="BR133" s="167"/>
      <c r="BS133" s="167"/>
      <c r="BT133" s="167"/>
      <c r="BU133" s="709"/>
      <c r="BV133" s="167"/>
      <c r="BW133" s="710"/>
      <c r="BX133" s="167"/>
      <c r="BY133" s="167"/>
      <c r="BZ133" s="167"/>
      <c r="CA133" s="709"/>
      <c r="CB133" s="167"/>
      <c r="CC133" s="710"/>
      <c r="CD133" s="167"/>
      <c r="CE133" s="167"/>
      <c r="CF133" s="167"/>
      <c r="CG133" s="709"/>
      <c r="CH133" s="167"/>
      <c r="CI133" s="710"/>
      <c r="CJ133" s="167"/>
      <c r="CK133" s="167"/>
      <c r="CL133" s="167"/>
      <c r="CM133" s="709"/>
      <c r="CN133" s="108"/>
      <c r="CO133" s="108"/>
      <c r="CP133" s="108"/>
      <c r="CQ133" s="108"/>
      <c r="CR133" s="108"/>
    </row>
    <row r="134" spans="1:96" ht="12.6" customHeight="1" collapsed="1">
      <c r="A134" s="741" t="s">
        <v>34</v>
      </c>
      <c r="B134" s="642"/>
      <c r="C134" s="742">
        <f>SUM(C132:C133)</f>
        <v>103.36199999999999</v>
      </c>
      <c r="D134" s="643">
        <f>SUM(D132:D133)</f>
        <v>111.006</v>
      </c>
      <c r="E134" s="643">
        <f>SUM(E132:E133)</f>
        <v>116.327</v>
      </c>
      <c r="F134" s="743">
        <f>SUM(F132:F133)</f>
        <v>101.374</v>
      </c>
      <c r="G134" s="643">
        <f>SUM(G132:G133)</f>
        <v>432.06899999999996</v>
      </c>
      <c r="H134" s="644"/>
      <c r="I134" s="742">
        <f>SUM(I132:I133)</f>
        <v>278.63099999999997</v>
      </c>
      <c r="J134" s="643">
        <f>SUM(J132:J133)</f>
        <v>301.05200000000002</v>
      </c>
      <c r="K134" s="643">
        <f>SUM(K132:K133)</f>
        <v>282.05</v>
      </c>
      <c r="L134" s="743">
        <f>SUM(L132:L133)</f>
        <v>305.96699999999998</v>
      </c>
      <c r="M134" s="643">
        <f>SUM(M132:M133)</f>
        <v>1167.6999999999998</v>
      </c>
      <c r="N134" s="615"/>
      <c r="O134" s="742">
        <f>SUM(O132:O133)</f>
        <v>194.54715205754596</v>
      </c>
      <c r="P134" s="643">
        <f>SUM(P132:P133)</f>
        <v>191.17284794245404</v>
      </c>
      <c r="Q134" s="643">
        <f>SUM(Q132:Q133)</f>
        <v>197.904</v>
      </c>
      <c r="R134" s="743">
        <f>SUM(R132:R133)</f>
        <v>235.49299999999999</v>
      </c>
      <c r="S134" s="643">
        <f>SUM(S132:S133)</f>
        <v>819.11699999999996</v>
      </c>
      <c r="T134" s="615"/>
      <c r="U134" s="742">
        <f>SUM(U132:U133)</f>
        <v>205.048</v>
      </c>
      <c r="V134" s="643">
        <f>SUM(V132:V133)</f>
        <v>224.12700000000001</v>
      </c>
      <c r="W134" s="643">
        <f>SUM(W132:W133)</f>
        <v>224.63300000000001</v>
      </c>
      <c r="X134" s="743">
        <f>SUM(X132:X133)</f>
        <v>254.22800000000001</v>
      </c>
      <c r="Y134" s="643">
        <f>SUM(Y132:Y133)</f>
        <v>908.03600000000006</v>
      </c>
      <c r="Z134" s="615"/>
      <c r="AA134" s="742">
        <f>SUM(AA132:AA133)</f>
        <v>326.56236760000002</v>
      </c>
      <c r="AB134" s="643">
        <f>SUM(AB132:AB133)</f>
        <v>349.38276839999997</v>
      </c>
      <c r="AC134" s="643">
        <f>SUM(AC132:AC133)</f>
        <v>332.27891</v>
      </c>
      <c r="AD134" s="743">
        <f>SUM(AD132:AD133)</f>
        <v>381.87025499999999</v>
      </c>
      <c r="AE134" s="643">
        <f>SUM(AE132:AE133)</f>
        <v>1390.0943010000001</v>
      </c>
      <c r="AF134" s="618"/>
      <c r="AG134" s="742">
        <f>SUM(AG132:AG133)</f>
        <v>339.58448999999996</v>
      </c>
      <c r="AH134" s="643">
        <f>SUM(AH132:AH133)</f>
        <v>348.55730820000008</v>
      </c>
      <c r="AI134" s="643">
        <f>SUM(AI132:AI133)</f>
        <v>333.43348560000004</v>
      </c>
      <c r="AJ134" s="743">
        <f>SUM(AJ132:AJ133)</f>
        <v>387.41870000000006</v>
      </c>
      <c r="AK134" s="644">
        <f>SUM(AK132:AK133)</f>
        <v>1408.9939838</v>
      </c>
      <c r="AL134" s="618"/>
      <c r="AM134" s="742">
        <f>SUM(AM132:AM133)</f>
        <v>324.75102835848787</v>
      </c>
      <c r="AN134" s="643">
        <f>SUM(AN132:AN133)</f>
        <v>358.21430820000006</v>
      </c>
      <c r="AO134" s="643">
        <f>SUM(AO132:AO133)</f>
        <v>341.82015683600002</v>
      </c>
      <c r="AP134" s="743">
        <f>SUM(AP132:AP133)</f>
        <v>390.60152800000014</v>
      </c>
      <c r="AQ134" s="643">
        <f>SUM(AQ132:AQ133)</f>
        <v>1415.3960213944881</v>
      </c>
      <c r="AR134" s="618"/>
      <c r="AS134" s="742">
        <f>SUM(AS132:AS133)</f>
        <v>340.48042291644589</v>
      </c>
      <c r="AT134" s="643">
        <f>SUM(AT132:AT133)</f>
        <v>359.60975358465078</v>
      </c>
      <c r="AU134" s="643">
        <f>SUM(AU132:AU133)</f>
        <v>355.36852538625601</v>
      </c>
      <c r="AV134" s="743">
        <f>SUM(AV132:AV133)</f>
        <v>418.47284279935263</v>
      </c>
      <c r="AW134" s="643">
        <f>SUM(AW132:AW133)</f>
        <v>1473.9315446867054</v>
      </c>
      <c r="AX134" s="618"/>
      <c r="AY134" s="742">
        <f>SUM(AY132:AY133)</f>
        <v>348.57100000000003</v>
      </c>
      <c r="AZ134" s="643">
        <f>SUM(AZ132:AZ133)</f>
        <v>381.529</v>
      </c>
      <c r="BA134" s="643">
        <f>SUM(BA132:BA133)</f>
        <v>380.137</v>
      </c>
      <c r="BB134" s="743">
        <f>SUM(BB132:BB133)</f>
        <v>418.18200000000002</v>
      </c>
      <c r="BC134" s="643">
        <f>SUM(BC132:BC133)</f>
        <v>1528.4190000000001</v>
      </c>
      <c r="BD134" s="618"/>
      <c r="BE134" s="742">
        <f>SUM(BE132:BE133)</f>
        <v>356.447</v>
      </c>
      <c r="BF134" s="643">
        <f>SUM(BF132:BF133)</f>
        <v>381.50400000000002</v>
      </c>
      <c r="BG134" s="643">
        <f>SUM(BG132:BG133)</f>
        <v>365.089</v>
      </c>
      <c r="BH134" s="613">
        <f>SUM(BH132:BH133)</f>
        <v>409.94400000000002</v>
      </c>
      <c r="BI134" s="644">
        <f>SUM(BI132:BI133)</f>
        <v>1512.9839999999999</v>
      </c>
      <c r="BJ134" s="704"/>
      <c r="BK134" s="742">
        <f>SUM(BK132:BK133)</f>
        <v>361.76</v>
      </c>
      <c r="BL134" s="643">
        <f>SUM(BL132:BL133)</f>
        <v>383.12799999999999</v>
      </c>
      <c r="BM134" s="643">
        <f>SUM(BM132:BM133)</f>
        <v>385.38200000000001</v>
      </c>
      <c r="BN134" s="613">
        <f>SUM(BN132:BN133)</f>
        <v>448.18900000000002</v>
      </c>
      <c r="BO134" s="644">
        <f>SUM(BO132:BO133)</f>
        <v>1578.4590000000001</v>
      </c>
      <c r="BP134" s="704"/>
      <c r="BQ134" s="707"/>
      <c r="BR134" s="704"/>
      <c r="BS134" s="704"/>
      <c r="BT134" s="704"/>
      <c r="BU134" s="706"/>
      <c r="BV134" s="704"/>
      <c r="BW134" s="707"/>
      <c r="BX134" s="704"/>
      <c r="BY134" s="704"/>
      <c r="BZ134" s="704"/>
      <c r="CA134" s="706"/>
      <c r="CB134" s="704"/>
      <c r="CC134" s="707"/>
      <c r="CD134" s="704"/>
      <c r="CE134" s="704"/>
      <c r="CF134" s="704"/>
      <c r="CG134" s="706"/>
      <c r="CH134" s="704"/>
      <c r="CI134" s="707"/>
      <c r="CJ134" s="704"/>
      <c r="CK134" s="704"/>
      <c r="CL134" s="704"/>
      <c r="CM134" s="706"/>
      <c r="CN134" s="889"/>
      <c r="CO134" s="889"/>
      <c r="CP134" s="889"/>
      <c r="CQ134" s="889"/>
      <c r="CR134" s="889"/>
    </row>
    <row r="135" spans="1:96" ht="12.6" hidden="1" customHeight="1" outlineLevel="1">
      <c r="A135" s="516" t="s">
        <v>37</v>
      </c>
      <c r="B135" s="491"/>
      <c r="C135" s="612">
        <v>16.268999999999998</v>
      </c>
      <c r="D135" s="620">
        <v>12.993</v>
      </c>
      <c r="E135" s="620">
        <v>24.57</v>
      </c>
      <c r="F135" s="735">
        <v>17.548999999999999</v>
      </c>
      <c r="G135" s="430">
        <f>SUM(C135:F135)</f>
        <v>71.381</v>
      </c>
      <c r="H135" s="645"/>
      <c r="I135" s="620">
        <v>31.635999999999999</v>
      </c>
      <c r="J135" s="620">
        <v>36.32</v>
      </c>
      <c r="K135" s="620">
        <v>30.512</v>
      </c>
      <c r="L135" s="620">
        <v>50.795000000000002</v>
      </c>
      <c r="M135" s="702">
        <f>SUM(I135:L135)</f>
        <v>149.26300000000001</v>
      </c>
      <c r="N135" s="703"/>
      <c r="O135" s="612">
        <v>20.207000000000001</v>
      </c>
      <c r="P135" s="620">
        <v>22.763000000000002</v>
      </c>
      <c r="Q135" s="620">
        <v>11.260999999999999</v>
      </c>
      <c r="R135" s="620">
        <v>21.287000000000003</v>
      </c>
      <c r="S135" s="702">
        <f>SUM(O135:R135)</f>
        <v>75.518000000000001</v>
      </c>
      <c r="T135" s="703"/>
      <c r="U135" s="612">
        <v>19.73</v>
      </c>
      <c r="V135" s="620">
        <v>17.5</v>
      </c>
      <c r="W135" s="620">
        <v>26.875</v>
      </c>
      <c r="X135" s="620">
        <v>30.984999999999999</v>
      </c>
      <c r="Y135" s="702">
        <f>SUM(U135:X135)</f>
        <v>95.09</v>
      </c>
      <c r="Z135" s="703"/>
      <c r="AA135" s="612">
        <v>30.242000000000001</v>
      </c>
      <c r="AB135" s="620">
        <v>21.748000000000001</v>
      </c>
      <c r="AC135" s="620">
        <v>14.679</v>
      </c>
      <c r="AD135" s="620">
        <v>32.671999999999997</v>
      </c>
      <c r="AE135" s="702">
        <f>SUM(AA135:AD135)</f>
        <v>99.340999999999994</v>
      </c>
      <c r="AF135" s="704"/>
      <c r="AG135" s="612">
        <v>26.395</v>
      </c>
      <c r="AH135" s="620">
        <v>28.158999999999999</v>
      </c>
      <c r="AI135" s="620">
        <v>17.829999999999998</v>
      </c>
      <c r="AJ135" s="620">
        <v>33.896000000000001</v>
      </c>
      <c r="AK135" s="734">
        <f>SUM(AG135:AJ135)</f>
        <v>106.28</v>
      </c>
      <c r="AL135" s="704"/>
      <c r="AM135" s="612">
        <v>20.728000000000002</v>
      </c>
      <c r="AN135" s="620">
        <v>19.297999999999998</v>
      </c>
      <c r="AO135" s="620">
        <v>21.896000000000001</v>
      </c>
      <c r="AP135" s="620">
        <v>35.130000000000003</v>
      </c>
      <c r="AQ135" s="734">
        <f>SUM(AM135:AP135)</f>
        <v>97.051999999999992</v>
      </c>
      <c r="AR135" s="704"/>
      <c r="AS135" s="612">
        <v>21.606999999999999</v>
      </c>
      <c r="AT135" s="620">
        <v>25.577999999999999</v>
      </c>
      <c r="AU135" s="620">
        <v>18.54</v>
      </c>
      <c r="AV135" s="620">
        <v>29.88</v>
      </c>
      <c r="AW135" s="734">
        <f>SUM(AS135:AV135)</f>
        <v>95.60499999999999</v>
      </c>
      <c r="AX135" s="704"/>
      <c r="AY135" s="612">
        <v>11.346</v>
      </c>
      <c r="AZ135" s="620">
        <v>19.422000000000001</v>
      </c>
      <c r="BA135" s="620">
        <v>22.838000000000001</v>
      </c>
      <c r="BB135" s="620">
        <v>35.938000000000002</v>
      </c>
      <c r="BC135" s="734">
        <f>SUM(AY135:BB135)</f>
        <v>89.544000000000011</v>
      </c>
      <c r="BD135" s="704"/>
      <c r="BE135" s="612">
        <v>25.597000000000001</v>
      </c>
      <c r="BF135" s="620">
        <v>25.596</v>
      </c>
      <c r="BG135" s="620">
        <v>27.7</v>
      </c>
      <c r="BH135" s="620">
        <v>71.994</v>
      </c>
      <c r="BI135" s="734">
        <f>SUM(BE135:BH135)</f>
        <v>150.887</v>
      </c>
      <c r="BJ135" s="704"/>
      <c r="BK135" s="612">
        <v>30.579000000000001</v>
      </c>
      <c r="BL135" s="620">
        <v>51.481000000000002</v>
      </c>
      <c r="BM135" s="620">
        <v>47.615000000000002</v>
      </c>
      <c r="BN135" s="620">
        <v>77.013000000000005</v>
      </c>
      <c r="BO135" s="734">
        <f>SUM(BK135:BN135)</f>
        <v>206.68800000000002</v>
      </c>
      <c r="BP135" s="704"/>
      <c r="BQ135" s="707"/>
      <c r="BR135" s="704"/>
      <c r="BS135" s="704"/>
      <c r="BT135" s="704"/>
      <c r="BU135" s="706"/>
      <c r="BV135" s="704"/>
      <c r="BW135" s="707"/>
      <c r="BX135" s="704"/>
      <c r="BY135" s="704"/>
      <c r="BZ135" s="704"/>
      <c r="CA135" s="706"/>
      <c r="CB135" s="704"/>
      <c r="CC135" s="707"/>
      <c r="CD135" s="704"/>
      <c r="CE135" s="704"/>
      <c r="CF135" s="704"/>
      <c r="CG135" s="706"/>
      <c r="CH135" s="704"/>
      <c r="CI135" s="707"/>
      <c r="CJ135" s="704"/>
      <c r="CK135" s="704"/>
      <c r="CL135" s="704"/>
      <c r="CM135" s="706"/>
      <c r="CN135" s="889"/>
      <c r="CO135" s="889"/>
      <c r="CP135" s="889"/>
      <c r="CQ135" s="889"/>
      <c r="CR135" s="889"/>
    </row>
    <row r="136" spans="1:96" ht="12.6" hidden="1" customHeight="1" outlineLevel="1">
      <c r="A136" s="280" t="s">
        <v>38</v>
      </c>
      <c r="B136" s="479"/>
      <c r="C136" s="602"/>
      <c r="D136" s="621">
        <v>0.66300000000000003</v>
      </c>
      <c r="E136" s="621">
        <v>0.67</v>
      </c>
      <c r="F136" s="622">
        <f>2.673-C136-D136-E136</f>
        <v>1.3399999999999999</v>
      </c>
      <c r="G136" s="623">
        <f>SUM(C136:F136)</f>
        <v>2.673</v>
      </c>
      <c r="H136" s="711"/>
      <c r="I136" s="602">
        <v>3.72</v>
      </c>
      <c r="J136" s="621">
        <v>3.8149999999999999</v>
      </c>
      <c r="K136" s="621">
        <v>3.76</v>
      </c>
      <c r="L136" s="622">
        <f>14.923-I136-J136-K136</f>
        <v>3.6280000000000001</v>
      </c>
      <c r="M136" s="615">
        <f>SUM(I136:L136)</f>
        <v>14.923</v>
      </c>
      <c r="N136" s="712"/>
      <c r="O136" s="602">
        <v>3.6259999999999999</v>
      </c>
      <c r="P136" s="621">
        <v>3.7919999999999998</v>
      </c>
      <c r="Q136" s="621">
        <v>3.7360000000000002</v>
      </c>
      <c r="R136" s="622">
        <f>12.811-O136-P136-Q136</f>
        <v>1.6570000000000005</v>
      </c>
      <c r="S136" s="615">
        <f>SUM(O136:R136)</f>
        <v>12.811</v>
      </c>
      <c r="T136" s="621"/>
      <c r="U136" s="602">
        <v>3.335</v>
      </c>
      <c r="V136" s="621">
        <v>3.5019999999999998</v>
      </c>
      <c r="W136" s="621">
        <v>3.5750000000000002</v>
      </c>
      <c r="X136" s="621">
        <v>3.61</v>
      </c>
      <c r="Y136" s="615">
        <f>SUM(U136:X136)</f>
        <v>14.021999999999998</v>
      </c>
      <c r="Z136" s="621"/>
      <c r="AA136" s="602">
        <v>3.7349999999999999</v>
      </c>
      <c r="AB136" s="621">
        <v>7.0179999999999998</v>
      </c>
      <c r="AC136" s="621">
        <v>7.9269999999999996</v>
      </c>
      <c r="AD136" s="621">
        <v>7.4160000000000004</v>
      </c>
      <c r="AE136" s="615">
        <f>SUM(AA136:AD136)</f>
        <v>26.096</v>
      </c>
      <c r="AF136" s="616"/>
      <c r="AG136" s="602">
        <v>5.7329999999999997</v>
      </c>
      <c r="AH136" s="621">
        <v>6.14</v>
      </c>
      <c r="AI136" s="621">
        <v>5.431</v>
      </c>
      <c r="AJ136" s="621">
        <v>2.5489999999999999</v>
      </c>
      <c r="AK136" s="618">
        <f>SUM(AG136:AJ136)</f>
        <v>19.852999999999998</v>
      </c>
      <c r="AL136" s="616"/>
      <c r="AM136" s="602">
        <v>2.4620000000000002</v>
      </c>
      <c r="AN136" s="621">
        <v>2.4740000000000002</v>
      </c>
      <c r="AO136" s="621">
        <v>2.5310000000000001</v>
      </c>
      <c r="AP136" s="621">
        <v>2.67</v>
      </c>
      <c r="AQ136" s="618">
        <f>SUM(AM136:AP136)</f>
        <v>10.137</v>
      </c>
      <c r="AR136" s="616"/>
      <c r="AS136" s="602">
        <v>2.6749999999999998</v>
      </c>
      <c r="AT136" s="621">
        <v>2.2879999999999998</v>
      </c>
      <c r="AU136" s="621">
        <v>2.177</v>
      </c>
      <c r="AV136" s="621">
        <v>3.0139999999999998</v>
      </c>
      <c r="AW136" s="618">
        <f>SUM(AS136:AV136)</f>
        <v>10.153999999999998</v>
      </c>
      <c r="AX136" s="167"/>
      <c r="AY136" s="602">
        <v>4.3650000000000002</v>
      </c>
      <c r="AZ136" s="621">
        <v>4.5830000000000002</v>
      </c>
      <c r="BA136" s="621">
        <v>3.5510000000000002</v>
      </c>
      <c r="BB136" s="621">
        <v>4.1900000000000004</v>
      </c>
      <c r="BC136" s="618">
        <f>SUM(AY136:BB136)</f>
        <v>16.689</v>
      </c>
      <c r="BD136" s="167"/>
      <c r="BE136" s="602">
        <v>5.2670000000000003</v>
      </c>
      <c r="BF136" s="621">
        <v>5.2190000000000003</v>
      </c>
      <c r="BG136" s="621">
        <v>3.6</v>
      </c>
      <c r="BH136" s="621">
        <v>13.018000000000001</v>
      </c>
      <c r="BI136" s="618">
        <f>SUM(BE136:BH136)</f>
        <v>27.103999999999999</v>
      </c>
      <c r="BJ136" s="167"/>
      <c r="BK136" s="602">
        <v>12.25</v>
      </c>
      <c r="BL136" s="621">
        <v>12.377000000000001</v>
      </c>
      <c r="BM136" s="621">
        <v>12.826000000000001</v>
      </c>
      <c r="BN136" s="621">
        <v>13.224</v>
      </c>
      <c r="BO136" s="618">
        <f>SUM(BK136:BN136)</f>
        <v>50.677000000000007</v>
      </c>
      <c r="BP136" s="167"/>
      <c r="BQ136" s="710"/>
      <c r="BR136" s="167"/>
      <c r="BS136" s="167"/>
      <c r="BT136" s="167"/>
      <c r="BU136" s="709"/>
      <c r="BV136" s="167"/>
      <c r="BW136" s="710"/>
      <c r="BX136" s="167"/>
      <c r="BY136" s="167"/>
      <c r="BZ136" s="167"/>
      <c r="CA136" s="709"/>
      <c r="CB136" s="167"/>
      <c r="CC136" s="710"/>
      <c r="CD136" s="167"/>
      <c r="CE136" s="167"/>
      <c r="CF136" s="167"/>
      <c r="CG136" s="709"/>
      <c r="CH136" s="167"/>
      <c r="CI136" s="710"/>
      <c r="CJ136" s="167"/>
      <c r="CK136" s="167"/>
      <c r="CL136" s="167"/>
      <c r="CM136" s="709"/>
      <c r="CN136" s="108"/>
      <c r="CO136" s="108"/>
      <c r="CP136" s="108"/>
      <c r="CQ136" s="108"/>
      <c r="CR136" s="108"/>
    </row>
    <row r="137" spans="1:96" ht="12.6" hidden="1" customHeight="1" outlineLevel="1">
      <c r="A137" s="280" t="s">
        <v>36</v>
      </c>
      <c r="B137" s="479"/>
      <c r="C137" s="602">
        <v>0</v>
      </c>
      <c r="D137" s="621">
        <v>0</v>
      </c>
      <c r="E137" s="621">
        <v>0</v>
      </c>
      <c r="F137" s="622">
        <v>0</v>
      </c>
      <c r="G137" s="623">
        <f>SUM(C137:F137)</f>
        <v>0</v>
      </c>
      <c r="H137" s="711"/>
      <c r="I137" s="602">
        <v>0</v>
      </c>
      <c r="J137" s="621">
        <v>0</v>
      </c>
      <c r="K137" s="621">
        <v>0</v>
      </c>
      <c r="L137" s="622">
        <v>0</v>
      </c>
      <c r="M137" s="615">
        <f>SUM(I137:L137)</f>
        <v>0</v>
      </c>
      <c r="N137" s="712"/>
      <c r="O137" s="602">
        <v>1.052</v>
      </c>
      <c r="P137" s="621">
        <v>-0.45600000000000002</v>
      </c>
      <c r="Q137" s="621">
        <v>0.187</v>
      </c>
      <c r="R137" s="622">
        <f>0.348-O137-P137-Q137</f>
        <v>-0.43500000000000005</v>
      </c>
      <c r="S137" s="615">
        <f>SUM(O137:R137)</f>
        <v>0.34800000000000009</v>
      </c>
      <c r="T137" s="621"/>
      <c r="U137" s="602">
        <v>0.71899999999999997</v>
      </c>
      <c r="V137" s="621">
        <v>0.40500000000000003</v>
      </c>
      <c r="W137" s="621">
        <v>0</v>
      </c>
      <c r="X137" s="621">
        <v>0.46899999999999997</v>
      </c>
      <c r="Y137" s="615">
        <f>SUM(U137:X137)</f>
        <v>1.593</v>
      </c>
      <c r="Z137" s="621"/>
      <c r="AA137" s="602">
        <v>0.626</v>
      </c>
      <c r="AB137" s="621">
        <v>6.4050000000000002</v>
      </c>
      <c r="AC137" s="621">
        <v>9.5060000000000002</v>
      </c>
      <c r="AD137" s="621">
        <v>9.5120000000000005</v>
      </c>
      <c r="AE137" s="615">
        <f>SUM(AA137:AD137)</f>
        <v>26.048999999999999</v>
      </c>
      <c r="AF137" s="616"/>
      <c r="AG137" s="602">
        <v>4.077</v>
      </c>
      <c r="AH137" s="621">
        <v>8.2739999999999991</v>
      </c>
      <c r="AI137" s="621">
        <v>4.2359999999999998</v>
      </c>
      <c r="AJ137" s="621">
        <v>0</v>
      </c>
      <c r="AK137" s="618">
        <f>SUM(AG137:AJ137)</f>
        <v>16.587</v>
      </c>
      <c r="AL137" s="616"/>
      <c r="AM137" s="602">
        <v>0</v>
      </c>
      <c r="AN137" s="621">
        <v>0</v>
      </c>
      <c r="AO137" s="621">
        <v>8.9999999999999993E-3</v>
      </c>
      <c r="AP137" s="621">
        <v>0.05</v>
      </c>
      <c r="AQ137" s="618">
        <f>SUM(AM137:AP137)</f>
        <v>5.9000000000000004E-2</v>
      </c>
      <c r="AR137" s="616"/>
      <c r="AS137" s="602">
        <v>0</v>
      </c>
      <c r="AT137" s="621">
        <v>-0.83</v>
      </c>
      <c r="AU137" s="621">
        <v>0</v>
      </c>
      <c r="AV137" s="621">
        <v>2.4249999999999998</v>
      </c>
      <c r="AW137" s="618">
        <f>SUM(AS137:AV137)</f>
        <v>1.5949999999999998</v>
      </c>
      <c r="AX137" s="167"/>
      <c r="AY137" s="602">
        <v>4.8499999999999996</v>
      </c>
      <c r="AZ137" s="621">
        <v>1.617</v>
      </c>
      <c r="BA137" s="621">
        <v>0.80800000000000005</v>
      </c>
      <c r="BB137" s="621">
        <v>0</v>
      </c>
      <c r="BC137" s="618">
        <f>SUM(AY137:BB137)</f>
        <v>7.2749999999999995</v>
      </c>
      <c r="BD137" s="167"/>
      <c r="BE137" s="602">
        <v>0.13400000000000001</v>
      </c>
      <c r="BF137" s="621">
        <v>0.26400000000000001</v>
      </c>
      <c r="BG137" s="621">
        <v>0</v>
      </c>
      <c r="BH137" s="621">
        <v>0.16</v>
      </c>
      <c r="BI137" s="618">
        <f>SUM(BE137:BH137)</f>
        <v>0.55800000000000005</v>
      </c>
      <c r="BJ137" s="167"/>
      <c r="BK137" s="602">
        <v>0.16</v>
      </c>
      <c r="BL137" s="621">
        <v>1.6E-2</v>
      </c>
      <c r="BM137" s="621">
        <v>1.6E-2</v>
      </c>
      <c r="BN137" s="621">
        <v>1.6E-2</v>
      </c>
      <c r="BO137" s="618">
        <f>SUM(BK137:BN137)</f>
        <v>0.20800000000000002</v>
      </c>
      <c r="BP137" s="167"/>
      <c r="BQ137" s="710"/>
      <c r="BR137" s="167"/>
      <c r="BS137" s="167"/>
      <c r="BT137" s="167"/>
      <c r="BU137" s="709"/>
      <c r="BV137" s="167"/>
      <c r="BW137" s="710"/>
      <c r="BX137" s="167"/>
      <c r="BY137" s="167"/>
      <c r="BZ137" s="167"/>
      <c r="CA137" s="709"/>
      <c r="CB137" s="167"/>
      <c r="CC137" s="710"/>
      <c r="CD137" s="167"/>
      <c r="CE137" s="167"/>
      <c r="CF137" s="167"/>
      <c r="CG137" s="709"/>
      <c r="CH137" s="167"/>
      <c r="CI137" s="710"/>
      <c r="CJ137" s="167"/>
      <c r="CK137" s="167"/>
      <c r="CL137" s="167"/>
      <c r="CM137" s="709"/>
      <c r="CN137" s="108"/>
      <c r="CO137" s="108"/>
      <c r="CP137" s="108"/>
      <c r="CQ137" s="108"/>
      <c r="CR137" s="108"/>
    </row>
    <row r="138" spans="1:96" ht="12.6" hidden="1" customHeight="1" outlineLevel="1">
      <c r="A138" s="280" t="s">
        <v>42</v>
      </c>
      <c r="B138" s="479"/>
      <c r="C138" s="602">
        <v>0.41</v>
      </c>
      <c r="D138" s="621">
        <v>0.34100000000000003</v>
      </c>
      <c r="E138" s="621">
        <v>0.38800000000000001</v>
      </c>
      <c r="F138" s="622">
        <f>1.288-C138-D138-E138</f>
        <v>0.14900000000000013</v>
      </c>
      <c r="G138" s="623">
        <f>SUM(C138:F138)</f>
        <v>1.2880000000000003</v>
      </c>
      <c r="H138" s="711"/>
      <c r="I138" s="602">
        <v>0</v>
      </c>
      <c r="J138" s="621">
        <v>0</v>
      </c>
      <c r="K138" s="621">
        <v>0</v>
      </c>
      <c r="L138" s="622">
        <v>0</v>
      </c>
      <c r="M138" s="615">
        <f>SUM(I138:L138)</f>
        <v>0</v>
      </c>
      <c r="N138" s="712"/>
      <c r="O138" s="602">
        <v>0</v>
      </c>
      <c r="P138" s="621">
        <v>0</v>
      </c>
      <c r="Q138" s="621">
        <v>0</v>
      </c>
      <c r="R138" s="622">
        <v>0</v>
      </c>
      <c r="S138" s="615">
        <f>SUM(O138:R138)</f>
        <v>0</v>
      </c>
      <c r="T138" s="621"/>
      <c r="U138" s="602">
        <v>0</v>
      </c>
      <c r="V138" s="621">
        <v>0</v>
      </c>
      <c r="W138" s="621">
        <v>-8.7999999999999995E-2</v>
      </c>
      <c r="X138" s="621">
        <v>0</v>
      </c>
      <c r="Y138" s="615">
        <f>SUM(U138:X138)</f>
        <v>-8.7999999999999995E-2</v>
      </c>
      <c r="Z138" s="621"/>
      <c r="AA138" s="602">
        <v>0</v>
      </c>
      <c r="AB138" s="621">
        <v>0</v>
      </c>
      <c r="AC138" s="621">
        <v>0.107</v>
      </c>
      <c r="AD138" s="621">
        <v>2.4E-2</v>
      </c>
      <c r="AE138" s="615">
        <f>SUM(AA138:AD138)</f>
        <v>0.13100000000000001</v>
      </c>
      <c r="AF138" s="616"/>
      <c r="AG138" s="602">
        <v>0.06</v>
      </c>
      <c r="AH138" s="621">
        <v>-0.57999999999999996</v>
      </c>
      <c r="AI138" s="621">
        <v>8.6999999999999994E-2</v>
      </c>
      <c r="AJ138" s="621">
        <f>0.11+0.743</f>
        <v>0.85299999999999998</v>
      </c>
      <c r="AK138" s="618">
        <f>SUM(AG138:AJ138)</f>
        <v>0.41999999999999993</v>
      </c>
      <c r="AL138" s="616"/>
      <c r="AM138" s="602">
        <v>4.9000000000000002E-2</v>
      </c>
      <c r="AN138" s="621">
        <v>5.8999999999999997E-2</v>
      </c>
      <c r="AO138" s="621">
        <v>1.7000000000000001E-2</v>
      </c>
      <c r="AP138" s="621">
        <v>1.6E-2</v>
      </c>
      <c r="AQ138" s="618">
        <f>SUM(AM138:AP138)</f>
        <v>0.14100000000000001</v>
      </c>
      <c r="AR138" s="616"/>
      <c r="AS138" s="602">
        <v>8.2000000000000003E-2</v>
      </c>
      <c r="AT138" s="621">
        <v>0.03</v>
      </c>
      <c r="AU138" s="621">
        <v>1.7000000000000001E-2</v>
      </c>
      <c r="AV138" s="621">
        <v>2.8359999999999999</v>
      </c>
      <c r="AW138" s="618">
        <f>SUM(AS138:AV138)</f>
        <v>2.9649999999999999</v>
      </c>
      <c r="AX138" s="167"/>
      <c r="AY138" s="602">
        <v>0.123</v>
      </c>
      <c r="AZ138" s="621">
        <v>9.2999999999999999E-2</v>
      </c>
      <c r="BA138" s="621">
        <v>1.9E-2</v>
      </c>
      <c r="BB138" s="621">
        <v>7.1999999999999995E-2</v>
      </c>
      <c r="BC138" s="618">
        <f>SUM(AY138:BB138)</f>
        <v>0.307</v>
      </c>
      <c r="BD138" s="167"/>
      <c r="BE138" s="602">
        <v>2.3E-2</v>
      </c>
      <c r="BF138" s="621">
        <v>7.9000000000000001E-2</v>
      </c>
      <c r="BG138" s="621">
        <v>0</v>
      </c>
      <c r="BH138" s="621">
        <v>1.6</v>
      </c>
      <c r="BI138" s="618">
        <f>SUM(BE138:BH138)</f>
        <v>1.7020000000000002</v>
      </c>
      <c r="BJ138" s="167"/>
      <c r="BK138" s="602">
        <v>0.23799999999999999</v>
      </c>
      <c r="BL138" s="621">
        <v>0.11</v>
      </c>
      <c r="BM138" s="621">
        <v>0</v>
      </c>
      <c r="BN138" s="621">
        <v>0</v>
      </c>
      <c r="BO138" s="618">
        <f>SUM(BK138:BN138)</f>
        <v>0.34799999999999998</v>
      </c>
      <c r="BP138" s="167"/>
      <c r="BQ138" s="710"/>
      <c r="BR138" s="167"/>
      <c r="BS138" s="167"/>
      <c r="BT138" s="167"/>
      <c r="BU138" s="709"/>
      <c r="BV138" s="167"/>
      <c r="BW138" s="710"/>
      <c r="BX138" s="167"/>
      <c r="BY138" s="167"/>
      <c r="BZ138" s="167"/>
      <c r="CA138" s="709"/>
      <c r="CB138" s="167"/>
      <c r="CC138" s="710"/>
      <c r="CD138" s="167"/>
      <c r="CE138" s="167"/>
      <c r="CF138" s="167"/>
      <c r="CG138" s="709"/>
      <c r="CH138" s="167"/>
      <c r="CI138" s="710"/>
      <c r="CJ138" s="167"/>
      <c r="CK138" s="167"/>
      <c r="CL138" s="167"/>
      <c r="CM138" s="709"/>
      <c r="CN138" s="108"/>
      <c r="CO138" s="108"/>
      <c r="CP138" s="108"/>
      <c r="CQ138" s="108"/>
      <c r="CR138" s="108"/>
    </row>
    <row r="139" spans="1:96" ht="12.6" hidden="1" customHeight="1" outlineLevel="1">
      <c r="A139" s="480" t="s">
        <v>123</v>
      </c>
      <c r="B139" s="481"/>
      <c r="C139" s="716">
        <v>0</v>
      </c>
      <c r="D139" s="717">
        <v>4.5469999999999997</v>
      </c>
      <c r="E139" s="717">
        <v>-1.4319999999999999</v>
      </c>
      <c r="F139" s="718">
        <f>3.565-C139-D139-E139</f>
        <v>0.45000000000000018</v>
      </c>
      <c r="G139" s="681">
        <f>SUM(C139:F139)</f>
        <v>3.5649999999999999</v>
      </c>
      <c r="H139" s="719"/>
      <c r="I139" s="716">
        <v>0</v>
      </c>
      <c r="J139" s="717">
        <v>-0.34399999999999997</v>
      </c>
      <c r="K139" s="717">
        <v>2.8130000000000002</v>
      </c>
      <c r="L139" s="718">
        <f>3.168-I139-J139-K139</f>
        <v>0.69899999999999984</v>
      </c>
      <c r="M139" s="682">
        <f>SUM(I139:L139)</f>
        <v>3.1680000000000001</v>
      </c>
      <c r="N139" s="720"/>
      <c r="O139" s="716">
        <v>3.0739999999999998</v>
      </c>
      <c r="P139" s="717">
        <v>0</v>
      </c>
      <c r="Q139" s="717">
        <v>6.3849999999999998</v>
      </c>
      <c r="R139" s="718">
        <f>8.802-O139-P139-Q139</f>
        <v>-0.65700000000000003</v>
      </c>
      <c r="S139" s="682">
        <f>SUM(O139:R139)</f>
        <v>8.8019999999999996</v>
      </c>
      <c r="T139" s="717"/>
      <c r="U139" s="716">
        <v>0</v>
      </c>
      <c r="V139" s="717">
        <v>3.9750000000000001</v>
      </c>
      <c r="W139" s="717">
        <v>0</v>
      </c>
      <c r="X139" s="717">
        <v>4.54</v>
      </c>
      <c r="Y139" s="682">
        <f>SUM(U139:X139)</f>
        <v>8.5150000000000006</v>
      </c>
      <c r="Z139" s="717"/>
      <c r="AA139" s="716">
        <v>0</v>
      </c>
      <c r="AB139" s="717">
        <v>1.508</v>
      </c>
      <c r="AC139" s="717">
        <v>0</v>
      </c>
      <c r="AD139" s="717">
        <v>5.7510000000000003</v>
      </c>
      <c r="AE139" s="682">
        <f>SUM(AA139:AD139)</f>
        <v>7.2590000000000003</v>
      </c>
      <c r="AF139" s="616"/>
      <c r="AG139" s="716">
        <v>1.218</v>
      </c>
      <c r="AH139" s="717">
        <v>0.76100000000000001</v>
      </c>
      <c r="AI139" s="717">
        <v>4.0119999999999996</v>
      </c>
      <c r="AJ139" s="717">
        <v>1.5589999999999999</v>
      </c>
      <c r="AK139" s="722">
        <f>SUM(AG139:AJ139)</f>
        <v>7.55</v>
      </c>
      <c r="AL139" s="616"/>
      <c r="AM139" s="716">
        <v>7.1999999999999995E-2</v>
      </c>
      <c r="AN139" s="717">
        <v>8.6969999999999992</v>
      </c>
      <c r="AO139" s="717">
        <v>8.4000000000000005E-2</v>
      </c>
      <c r="AP139" s="717">
        <v>2.903</v>
      </c>
      <c r="AQ139" s="722">
        <f>SUM(AM139:AP139)</f>
        <v>11.755999999999998</v>
      </c>
      <c r="AR139" s="616"/>
      <c r="AS139" s="716">
        <v>1.645</v>
      </c>
      <c r="AT139" s="717">
        <v>0.377</v>
      </c>
      <c r="AU139" s="717">
        <v>4.8070000000000004</v>
      </c>
      <c r="AV139" s="717">
        <v>-0.66300000000000003</v>
      </c>
      <c r="AW139" s="722">
        <f>SUM(AS139:AV139)</f>
        <v>6.1660000000000004</v>
      </c>
      <c r="AX139" s="167"/>
      <c r="AY139" s="716">
        <v>0</v>
      </c>
      <c r="AZ139" s="717">
        <v>3.1360000000000001</v>
      </c>
      <c r="BA139" s="717">
        <v>-0.30199999999999999</v>
      </c>
      <c r="BB139" s="717">
        <v>6.5960000000000001</v>
      </c>
      <c r="BC139" s="722">
        <f>SUM(AY139:BB139)</f>
        <v>9.43</v>
      </c>
      <c r="BD139" s="167"/>
      <c r="BE139" s="716">
        <v>0</v>
      </c>
      <c r="BF139" s="717">
        <v>0.77800000000000002</v>
      </c>
      <c r="BG139" s="717">
        <v>0.2</v>
      </c>
      <c r="BH139" s="717">
        <v>0</v>
      </c>
      <c r="BI139" s="722">
        <f>SUM(BE139:BH139)</f>
        <v>0.97799999999999998</v>
      </c>
      <c r="BJ139" s="167"/>
      <c r="BK139" s="716">
        <v>7.9870000000000001</v>
      </c>
      <c r="BL139" s="717">
        <v>0</v>
      </c>
      <c r="BM139" s="717">
        <v>1.7290000000000001</v>
      </c>
      <c r="BN139" s="717">
        <f>2.7+0.73</f>
        <v>3.43</v>
      </c>
      <c r="BO139" s="722">
        <f>SUM(BK139:BN139)</f>
        <v>13.146000000000001</v>
      </c>
      <c r="BP139" s="167"/>
      <c r="BQ139" s="736"/>
      <c r="BR139" s="737"/>
      <c r="BS139" s="737"/>
      <c r="BT139" s="737"/>
      <c r="BU139" s="738"/>
      <c r="BV139" s="167"/>
      <c r="BW139" s="736"/>
      <c r="BX139" s="737"/>
      <c r="BY139" s="737"/>
      <c r="BZ139" s="737"/>
      <c r="CA139" s="738"/>
      <c r="CB139" s="167"/>
      <c r="CC139" s="736"/>
      <c r="CD139" s="737"/>
      <c r="CE139" s="737"/>
      <c r="CF139" s="737"/>
      <c r="CG139" s="738"/>
      <c r="CH139" s="167"/>
      <c r="CI139" s="736"/>
      <c r="CJ139" s="737"/>
      <c r="CK139" s="737"/>
      <c r="CL139" s="737"/>
      <c r="CM139" s="738"/>
      <c r="CN139" s="108"/>
      <c r="CO139" s="108"/>
      <c r="CP139" s="108"/>
      <c r="CQ139" s="108"/>
      <c r="CR139" s="108"/>
    </row>
    <row r="140" spans="1:96" ht="12.6" customHeight="1" collapsed="1">
      <c r="A140" s="516" t="s">
        <v>39</v>
      </c>
      <c r="B140" s="491"/>
      <c r="C140" s="633">
        <f>SUM(C135:C139)</f>
        <v>16.678999999999998</v>
      </c>
      <c r="D140" s="641">
        <f>SUM(D135:D139)</f>
        <v>18.544</v>
      </c>
      <c r="E140" s="641">
        <f>SUM(E135:E139)</f>
        <v>24.196000000000005</v>
      </c>
      <c r="F140" s="613">
        <f>SUM(F135:F139)</f>
        <v>19.488</v>
      </c>
      <c r="G140" s="641">
        <f>SUM(G135:G139)</f>
        <v>78.906999999999996</v>
      </c>
      <c r="H140" s="645"/>
      <c r="I140" s="633">
        <f>SUM(I135:I139)</f>
        <v>35.356000000000002</v>
      </c>
      <c r="J140" s="641">
        <f>SUM(J135:J139)</f>
        <v>39.790999999999997</v>
      </c>
      <c r="K140" s="641">
        <f>SUM(K135:K139)</f>
        <v>37.085000000000001</v>
      </c>
      <c r="L140" s="613">
        <f>SUM(L135:L139)</f>
        <v>55.122</v>
      </c>
      <c r="M140" s="645">
        <f>SUM(M135:M139)</f>
        <v>167.35400000000001</v>
      </c>
      <c r="N140" s="703"/>
      <c r="O140" s="633">
        <f>SUM(O135:O139)</f>
        <v>27.959000000000003</v>
      </c>
      <c r="P140" s="641">
        <f>SUM(P135:P139)</f>
        <v>26.099</v>
      </c>
      <c r="Q140" s="641">
        <f>SUM(Q135:Q139)</f>
        <v>21.568999999999999</v>
      </c>
      <c r="R140" s="613">
        <f>SUM(R135:R139)</f>
        <v>21.852000000000004</v>
      </c>
      <c r="S140" s="645">
        <f>SUM(S135:S139)</f>
        <v>97.479000000000013</v>
      </c>
      <c r="T140" s="703"/>
      <c r="U140" s="633">
        <f>SUM(U135:U139)</f>
        <v>23.784000000000002</v>
      </c>
      <c r="V140" s="641">
        <f>SUM(V135:V139)</f>
        <v>25.382000000000001</v>
      </c>
      <c r="W140" s="641">
        <f>SUM(W135:W139)</f>
        <v>30.361999999999998</v>
      </c>
      <c r="X140" s="641">
        <f>SUM(X135:X139)</f>
        <v>39.603999999999999</v>
      </c>
      <c r="Y140" s="645">
        <f>SUM(Y135:Y139)</f>
        <v>119.13200000000001</v>
      </c>
      <c r="Z140" s="703"/>
      <c r="AA140" s="633">
        <f>SUM(AA135:AA139)</f>
        <v>34.603000000000002</v>
      </c>
      <c r="AB140" s="641">
        <f>SUM(AB135:AB139)</f>
        <v>36.679000000000002</v>
      </c>
      <c r="AC140" s="641">
        <f>SUM(AC135:AC139)</f>
        <v>32.219000000000001</v>
      </c>
      <c r="AD140" s="641">
        <f>SUM(AD135:AD139)</f>
        <v>55.374999999999993</v>
      </c>
      <c r="AE140" s="645">
        <f>SUM(AE135:AE139)</f>
        <v>158.87599999999998</v>
      </c>
      <c r="AF140" s="704"/>
      <c r="AG140" s="633">
        <f>SUM(AG135:AG139)</f>
        <v>37.483000000000004</v>
      </c>
      <c r="AH140" s="641">
        <f>SUM(AH135:AH139)</f>
        <v>42.754000000000005</v>
      </c>
      <c r="AI140" s="641">
        <f>SUM(AI135:AI139)</f>
        <v>31.596</v>
      </c>
      <c r="AJ140" s="641">
        <f>SUM(AJ135:AJ139)</f>
        <v>38.856999999999999</v>
      </c>
      <c r="AK140" s="1251">
        <f>SUM(AK135:AK139)</f>
        <v>150.69</v>
      </c>
      <c r="AL140" s="704"/>
      <c r="AM140" s="633">
        <f>SUM(AM135:AM139)</f>
        <v>23.311</v>
      </c>
      <c r="AN140" s="641">
        <f>SUM(AN135:AN139)</f>
        <v>30.527999999999999</v>
      </c>
      <c r="AO140" s="641">
        <f>SUM(AO135:AO139)</f>
        <v>24.536999999999999</v>
      </c>
      <c r="AP140" s="641">
        <f>SUM(AP135:AP139)</f>
        <v>40.768999999999998</v>
      </c>
      <c r="AQ140" s="1251">
        <f>SUM(AQ135:AQ139)</f>
        <v>119.145</v>
      </c>
      <c r="AR140" s="704"/>
      <c r="AS140" s="633">
        <f>SUM(AS135:AS139)</f>
        <v>26.009</v>
      </c>
      <c r="AT140" s="641">
        <f>SUM(AT135:AT139)</f>
        <v>27.443000000000001</v>
      </c>
      <c r="AU140" s="641">
        <f>SUM(AU135:AU139)</f>
        <v>25.540999999999997</v>
      </c>
      <c r="AV140" s="641">
        <f>SUM(AV135:AV139)</f>
        <v>37.491999999999997</v>
      </c>
      <c r="AW140" s="1251">
        <f>SUM(AW135:AW139)</f>
        <v>116.48499999999999</v>
      </c>
      <c r="AX140" s="704"/>
      <c r="AY140" s="633">
        <f>SUM(AY135:AY139)</f>
        <v>20.684000000000001</v>
      </c>
      <c r="AZ140" s="641">
        <f>SUM(AZ135:AZ139)</f>
        <v>28.851000000000003</v>
      </c>
      <c r="BA140" s="641">
        <f>SUM(BA135:BA139)</f>
        <v>26.914000000000001</v>
      </c>
      <c r="BB140" s="641">
        <f>SUM(BB135:BB139)</f>
        <v>46.796000000000006</v>
      </c>
      <c r="BC140" s="1251">
        <f>SUM(BC135:BC139)</f>
        <v>123.245</v>
      </c>
      <c r="BD140" s="704"/>
      <c r="BE140" s="633">
        <f>SUM(BE135:BE139)</f>
        <v>31.021000000000001</v>
      </c>
      <c r="BF140" s="641">
        <f>SUM(BF135:BF139)</f>
        <v>31.936</v>
      </c>
      <c r="BG140" s="641">
        <f>SUM(BG135:BG139)</f>
        <v>31.5</v>
      </c>
      <c r="BH140" s="641">
        <f>SUM(BH135:BH139)</f>
        <v>86.771999999999991</v>
      </c>
      <c r="BI140" s="1251">
        <f>SUM(BI135:BI139)</f>
        <v>181.22899999999998</v>
      </c>
      <c r="BJ140" s="704"/>
      <c r="BK140" s="633">
        <f>SUM(BK135:BK139)</f>
        <v>51.213999999999999</v>
      </c>
      <c r="BL140" s="641">
        <f>SUM(BL135:BL139)</f>
        <v>63.984000000000002</v>
      </c>
      <c r="BM140" s="641">
        <f>SUM(BM135:BM139)</f>
        <v>62.186</v>
      </c>
      <c r="BN140" s="641">
        <f>SUM(BN135:BN139)</f>
        <v>93.683000000000021</v>
      </c>
      <c r="BO140" s="1251">
        <f>SUM(BO135:BO139)</f>
        <v>271.06700000000006</v>
      </c>
      <c r="BP140" s="704"/>
      <c r="BQ140" s="707"/>
      <c r="BR140" s="704"/>
      <c r="BS140" s="704"/>
      <c r="BT140" s="704"/>
      <c r="BU140" s="706"/>
      <c r="BV140" s="704"/>
      <c r="BW140" s="707"/>
      <c r="BX140" s="704"/>
      <c r="BY140" s="704"/>
      <c r="BZ140" s="704"/>
      <c r="CA140" s="706"/>
      <c r="CB140" s="704"/>
      <c r="CC140" s="707"/>
      <c r="CD140" s="704"/>
      <c r="CE140" s="704"/>
      <c r="CF140" s="704"/>
      <c r="CG140" s="706"/>
      <c r="CH140" s="704"/>
      <c r="CI140" s="707"/>
      <c r="CJ140" s="704"/>
      <c r="CK140" s="704"/>
      <c r="CL140" s="704"/>
      <c r="CM140" s="706"/>
      <c r="CN140" s="889"/>
      <c r="CO140" s="889"/>
      <c r="CP140" s="889"/>
      <c r="CQ140" s="889"/>
      <c r="CR140" s="889"/>
    </row>
    <row r="141" spans="1:96" ht="12.6" customHeight="1">
      <c r="A141" s="280" t="s">
        <v>40</v>
      </c>
      <c r="B141" s="54"/>
      <c r="C141" s="724">
        <f>C140/C134</f>
        <v>0.16136491166966582</v>
      </c>
      <c r="D141" s="725">
        <f>D140/D134</f>
        <v>0.1670540331153271</v>
      </c>
      <c r="E141" s="725">
        <f>E140/E134</f>
        <v>0.20799986245669538</v>
      </c>
      <c r="F141" s="726">
        <f>F140/F134</f>
        <v>0.19223864107167518</v>
      </c>
      <c r="G141" s="725">
        <f>G140/G134</f>
        <v>0.18262592317430781</v>
      </c>
      <c r="H141" s="529"/>
      <c r="I141" s="725">
        <f>I140/I134</f>
        <v>0.12689183902724394</v>
      </c>
      <c r="J141" s="725">
        <f>J140/J134</f>
        <v>0.13217317938429241</v>
      </c>
      <c r="K141" s="725">
        <f>K140/K134</f>
        <v>0.13148377947172488</v>
      </c>
      <c r="L141" s="725">
        <f>L140/L134</f>
        <v>0.18015668356391376</v>
      </c>
      <c r="M141" s="727">
        <f>M140/M134</f>
        <v>0.14331934572236024</v>
      </c>
      <c r="N141" s="728"/>
      <c r="O141" s="729">
        <f>O140/O134</f>
        <v>0.14371323200727137</v>
      </c>
      <c r="P141" s="730">
        <f>P140/P134</f>
        <v>0.13652043311012554</v>
      </c>
      <c r="Q141" s="730">
        <f>Q140/Q134</f>
        <v>0.10898718570620099</v>
      </c>
      <c r="R141" s="730">
        <f>R140/R134</f>
        <v>9.2792567082673388E-2</v>
      </c>
      <c r="S141" s="727">
        <f>S140/S134</f>
        <v>0.11900497731093362</v>
      </c>
      <c r="T141" s="728"/>
      <c r="U141" s="729">
        <f>U140/U134</f>
        <v>0.11599235301002693</v>
      </c>
      <c r="V141" s="730">
        <f>V140/V134</f>
        <v>0.11324829226286882</v>
      </c>
      <c r="W141" s="730">
        <f>W140/W134</f>
        <v>0.13516268758374769</v>
      </c>
      <c r="X141" s="730">
        <f>X140/X134</f>
        <v>0.15578142454804347</v>
      </c>
      <c r="Y141" s="727">
        <f>Y140/Y134</f>
        <v>0.13119744151112953</v>
      </c>
      <c r="Z141" s="728"/>
      <c r="AA141" s="724">
        <f>AA140/AA134</f>
        <v>0.10596138267341494</v>
      </c>
      <c r="AB141" s="725">
        <f>AB140/AB134</f>
        <v>0.10498228108951009</v>
      </c>
      <c r="AC141" s="725">
        <f>AC140/AC134</f>
        <v>9.696372243426464E-2</v>
      </c>
      <c r="AD141" s="725">
        <f>AD140/AD134</f>
        <v>0.14500998513225388</v>
      </c>
      <c r="AE141" s="731">
        <f>AE140/AE134</f>
        <v>0.11429152675880222</v>
      </c>
      <c r="AF141" s="732"/>
      <c r="AG141" s="724">
        <f>AG140/AG134</f>
        <v>0.11037901053725983</v>
      </c>
      <c r="AH141" s="725">
        <f>AH140/AH134</f>
        <v>0.12265988689431816</v>
      </c>
      <c r="AI141" s="725">
        <f>AI140/AI134</f>
        <v>9.475952885519065E-2</v>
      </c>
      <c r="AJ141" s="725">
        <f>AJ140/AJ134</f>
        <v>0.10029717202602764</v>
      </c>
      <c r="AK141" s="731">
        <f>AK140/AK134</f>
        <v>0.10694864685908391</v>
      </c>
      <c r="AL141" s="167"/>
      <c r="AM141" s="724">
        <f>AM140/AM134</f>
        <v>7.1781142981531473E-2</v>
      </c>
      <c r="AN141" s="725">
        <f>AN140/AN134</f>
        <v>8.5222726455012082E-2</v>
      </c>
      <c r="AO141" s="725">
        <f>AO140/AO134</f>
        <v>7.1783361833083675E-2</v>
      </c>
      <c r="AP141" s="725">
        <f>AP140/AP134</f>
        <v>0.10437491171309494</v>
      </c>
      <c r="AQ141" s="731">
        <f>AQ140/AQ134</f>
        <v>8.4177854253550163E-2</v>
      </c>
      <c r="AR141" s="167"/>
      <c r="AS141" s="724">
        <f>AS140/AS134</f>
        <v>7.6389120341238015E-2</v>
      </c>
      <c r="AT141" s="725">
        <f>AT140/AT134</f>
        <v>7.6313280511564385E-2</v>
      </c>
      <c r="AU141" s="725">
        <f>AU140/AU134</f>
        <v>7.1871868709360395E-2</v>
      </c>
      <c r="AV141" s="725">
        <f>AV140/AV134</f>
        <v>8.9592432687385842E-2</v>
      </c>
      <c r="AW141" s="731">
        <f>AW140/AW134</f>
        <v>7.9030128922818937E-2</v>
      </c>
      <c r="AX141" s="167"/>
      <c r="AY141" s="724">
        <f>AY140/AY134</f>
        <v>5.9339417220594944E-2</v>
      </c>
      <c r="AZ141" s="725">
        <f>AZ140/AZ134</f>
        <v>7.5619415562119791E-2</v>
      </c>
      <c r="BA141" s="725">
        <f>BA140/BA134</f>
        <v>7.0800790241412961E-2</v>
      </c>
      <c r="BB141" s="725">
        <f>BB140/BB134</f>
        <v>0.11190342960720454</v>
      </c>
      <c r="BC141" s="731">
        <f>BC140/BC134</f>
        <v>8.0635611046447342E-2</v>
      </c>
      <c r="BD141" s="167"/>
      <c r="BE141" s="724">
        <f>BE140/BE134</f>
        <v>8.7028366068447771E-2</v>
      </c>
      <c r="BF141" s="725">
        <f>BF140/BF134</f>
        <v>8.3710786780741481E-2</v>
      </c>
      <c r="BG141" s="725">
        <f>BG140/BG134</f>
        <v>8.6280331645160496E-2</v>
      </c>
      <c r="BH141" s="725">
        <f>BH140/BH134</f>
        <v>0.21166793513260346</v>
      </c>
      <c r="BI141" s="731">
        <f>BI140/BI134</f>
        <v>0.11978249604754578</v>
      </c>
      <c r="BJ141" s="167"/>
      <c r="BK141" s="724">
        <f>BK140/BK134</f>
        <v>0.14156899601946041</v>
      </c>
      <c r="BL141" s="725">
        <f>BL140/BL134</f>
        <v>0.16700423879225743</v>
      </c>
      <c r="BM141" s="725">
        <f>BM140/BM134</f>
        <v>0.16136197331478896</v>
      </c>
      <c r="BN141" s="725">
        <f>BN140/BN134</f>
        <v>0.20902565658684175</v>
      </c>
      <c r="BO141" s="731">
        <f>BO140/BO134</f>
        <v>0.17172888240999612</v>
      </c>
      <c r="BP141" s="167"/>
      <c r="BQ141" s="710"/>
      <c r="BR141" s="167"/>
      <c r="BS141" s="167"/>
      <c r="BT141" s="167"/>
      <c r="BU141" s="709"/>
      <c r="BV141" s="167"/>
      <c r="BW141" s="710"/>
      <c r="BX141" s="167"/>
      <c r="BY141" s="167"/>
      <c r="BZ141" s="167"/>
      <c r="CA141" s="709"/>
      <c r="CB141" s="167"/>
      <c r="CC141" s="710"/>
      <c r="CD141" s="167"/>
      <c r="CE141" s="167"/>
      <c r="CF141" s="167"/>
      <c r="CG141" s="709"/>
      <c r="CH141" s="167"/>
      <c r="CI141" s="710"/>
      <c r="CJ141" s="167"/>
      <c r="CK141" s="167"/>
      <c r="CL141" s="167"/>
      <c r="CM141" s="709"/>
      <c r="CN141" s="108"/>
      <c r="CO141" s="108"/>
      <c r="CP141" s="108"/>
      <c r="CQ141" s="108"/>
      <c r="CR141" s="108"/>
    </row>
    <row r="142" spans="1:96" ht="12.6" customHeight="1">
      <c r="A142" s="478"/>
      <c r="B142" s="54"/>
      <c r="C142" s="710"/>
      <c r="D142" s="167"/>
      <c r="E142" s="167"/>
      <c r="F142" s="733"/>
      <c r="G142" s="167"/>
      <c r="H142" s="529"/>
      <c r="I142" s="167"/>
      <c r="J142" s="167"/>
      <c r="K142" s="167"/>
      <c r="L142" s="167"/>
      <c r="M142" s="709"/>
      <c r="N142" s="708"/>
      <c r="O142" s="710"/>
      <c r="P142" s="167"/>
      <c r="Q142" s="167"/>
      <c r="R142" s="167"/>
      <c r="S142" s="709"/>
      <c r="T142" s="708"/>
      <c r="U142" s="710"/>
      <c r="V142" s="167"/>
      <c r="W142" s="167"/>
      <c r="X142" s="167"/>
      <c r="Y142" s="709"/>
      <c r="Z142" s="708"/>
      <c r="AA142" s="710"/>
      <c r="AB142" s="167"/>
      <c r="AC142" s="167"/>
      <c r="AD142" s="167"/>
      <c r="AE142" s="709"/>
      <c r="AF142" s="167"/>
      <c r="AG142" s="710"/>
      <c r="AH142" s="167"/>
      <c r="AI142" s="167"/>
      <c r="AJ142" s="167"/>
      <c r="AK142" s="709"/>
      <c r="AL142" s="167"/>
      <c r="AM142" s="710"/>
      <c r="AN142" s="167"/>
      <c r="AO142" s="167"/>
      <c r="AP142" s="167"/>
      <c r="AQ142" s="709"/>
      <c r="AR142" s="167"/>
      <c r="AS142" s="710"/>
      <c r="AT142" s="167"/>
      <c r="AU142" s="167"/>
      <c r="AV142" s="167"/>
      <c r="AW142" s="709"/>
      <c r="AX142" s="167"/>
      <c r="AY142" s="710"/>
      <c r="AZ142" s="167"/>
      <c r="BA142" s="167"/>
      <c r="BB142" s="167"/>
      <c r="BC142" s="709"/>
      <c r="BD142" s="167"/>
      <c r="BE142" s="710"/>
      <c r="BF142" s="167"/>
      <c r="BG142" s="167"/>
      <c r="BH142" s="167"/>
      <c r="BI142" s="709"/>
      <c r="BJ142" s="167"/>
      <c r="BK142" s="710"/>
      <c r="BL142" s="167"/>
      <c r="BM142" s="167"/>
      <c r="BN142" s="167"/>
      <c r="BO142" s="709"/>
      <c r="BP142" s="167"/>
      <c r="BQ142" s="710"/>
      <c r="BR142" s="167"/>
      <c r="BS142" s="167"/>
      <c r="BT142" s="167"/>
      <c r="BU142" s="709"/>
      <c r="BV142" s="167"/>
      <c r="BW142" s="710"/>
      <c r="BX142" s="167"/>
      <c r="BY142" s="167"/>
      <c r="BZ142" s="167"/>
      <c r="CA142" s="709"/>
      <c r="CB142" s="167"/>
      <c r="CC142" s="710"/>
      <c r="CD142" s="167"/>
      <c r="CE142" s="167"/>
      <c r="CF142" s="167"/>
      <c r="CG142" s="709"/>
      <c r="CH142" s="167"/>
      <c r="CI142" s="710"/>
      <c r="CJ142" s="167"/>
      <c r="CK142" s="167"/>
      <c r="CL142" s="167"/>
      <c r="CM142" s="709"/>
      <c r="CN142" s="108"/>
      <c r="CO142" s="108"/>
      <c r="CP142" s="108"/>
      <c r="CQ142" s="108"/>
      <c r="CR142" s="108"/>
    </row>
    <row r="143" spans="1:96" ht="12.6" customHeight="1">
      <c r="A143" s="516" t="s">
        <v>29</v>
      </c>
      <c r="B143" s="491"/>
      <c r="C143" s="739">
        <v>-6.9450000000000003</v>
      </c>
      <c r="D143" s="430">
        <v>-8.4280000000000008</v>
      </c>
      <c r="E143" s="430">
        <v>-6.8760000000000003</v>
      </c>
      <c r="F143" s="740">
        <f>-32.795-C143-D143-E143</f>
        <v>-10.545999999999999</v>
      </c>
      <c r="G143" s="430">
        <f>SUM(C143:F143)</f>
        <v>-32.795000000000002</v>
      </c>
      <c r="H143" s="645"/>
      <c r="I143" s="430">
        <v>-10.036</v>
      </c>
      <c r="J143" s="430">
        <v>-11.288</v>
      </c>
      <c r="K143" s="430">
        <v>-8.7680000000000007</v>
      </c>
      <c r="L143" s="430">
        <f>-33.964-I143-J143-K143</f>
        <v>-3.8719999999999963</v>
      </c>
      <c r="M143" s="702">
        <f>SUM(I143:L143)</f>
        <v>-33.963999999999999</v>
      </c>
      <c r="N143" s="703"/>
      <c r="O143" s="739">
        <v>-7.5730000000000004</v>
      </c>
      <c r="P143" s="430">
        <v>-8.6120000000000001</v>
      </c>
      <c r="Q143" s="430">
        <v>-8.3989999999999991</v>
      </c>
      <c r="R143" s="430">
        <f>-34.177-O143-P143-Q143</f>
        <v>-9.5929999999999982</v>
      </c>
      <c r="S143" s="702">
        <f>SUM(O143:R143)</f>
        <v>-34.177</v>
      </c>
      <c r="T143" s="703"/>
      <c r="U143" s="612">
        <v>-9.9109999999999996</v>
      </c>
      <c r="V143" s="620">
        <v>-9.27</v>
      </c>
      <c r="W143" s="620">
        <v>-9.6660000000000004</v>
      </c>
      <c r="X143" s="620">
        <v>-6.53</v>
      </c>
      <c r="Y143" s="702">
        <f>SUM(U143:X143)</f>
        <v>-35.376999999999995</v>
      </c>
      <c r="Z143" s="705"/>
      <c r="AA143" s="612">
        <v>-10.348000000000001</v>
      </c>
      <c r="AB143" s="620">
        <v>-10.775</v>
      </c>
      <c r="AC143" s="620">
        <v>-6.093</v>
      </c>
      <c r="AD143" s="620">
        <v>-81.728999999999999</v>
      </c>
      <c r="AE143" s="702">
        <f>SUM(AA143:AD143)</f>
        <v>-108.94499999999999</v>
      </c>
      <c r="AF143" s="705"/>
      <c r="AG143" s="612">
        <v>-11.958</v>
      </c>
      <c r="AH143" s="620">
        <v>-9.91</v>
      </c>
      <c r="AI143" s="620">
        <v>-9.6549999999999994</v>
      </c>
      <c r="AJ143" s="620">
        <v>-40.973999999999997</v>
      </c>
      <c r="AK143" s="645">
        <f>SUM(AG143:AJ143)</f>
        <v>-72.497</v>
      </c>
      <c r="AL143" s="704"/>
      <c r="AM143" s="612">
        <v>-9.8469999999999995</v>
      </c>
      <c r="AN143" s="620">
        <v>-9.7100000000000009</v>
      </c>
      <c r="AO143" s="620">
        <v>-8.6010000000000009</v>
      </c>
      <c r="AP143" s="620">
        <v>2.448</v>
      </c>
      <c r="AQ143" s="645">
        <f>SUM(AM143:AP143)</f>
        <v>-25.71</v>
      </c>
      <c r="AR143" s="704"/>
      <c r="AS143" s="612">
        <v>-13.827</v>
      </c>
      <c r="AT143" s="620">
        <v>-13.849</v>
      </c>
      <c r="AU143" s="620">
        <v>-7.8529999999999998</v>
      </c>
      <c r="AV143" s="620">
        <v>-83.022999999999996</v>
      </c>
      <c r="AW143" s="645">
        <f>SUM(AS143:AV143)</f>
        <v>-118.55199999999999</v>
      </c>
      <c r="AX143" s="704"/>
      <c r="AY143" s="612">
        <v>-9.6129999999999995</v>
      </c>
      <c r="AZ143" s="620">
        <v>-10.99</v>
      </c>
      <c r="BA143" s="620">
        <v>-10.087</v>
      </c>
      <c r="BB143" s="620">
        <v>-12.055</v>
      </c>
      <c r="BC143" s="645">
        <f>SUM(AY143:BB143)</f>
        <v>-42.745000000000005</v>
      </c>
      <c r="BD143" s="704"/>
      <c r="BE143" s="612">
        <v>-11.56</v>
      </c>
      <c r="BF143" s="620">
        <v>-11.994999999999999</v>
      </c>
      <c r="BG143" s="620">
        <v>-10.996</v>
      </c>
      <c r="BH143" s="620">
        <v>-10.295</v>
      </c>
      <c r="BI143" s="645">
        <f>SUM(BE143:BH143)</f>
        <v>-44.846000000000004</v>
      </c>
      <c r="BJ143" s="704"/>
      <c r="BK143" s="612">
        <v>-12.41</v>
      </c>
      <c r="BL143" s="620">
        <f>-13.171</f>
        <v>-13.170999999999999</v>
      </c>
      <c r="BM143" s="620">
        <v>-11.862</v>
      </c>
      <c r="BN143" s="620">
        <v>-16.192</v>
      </c>
      <c r="BO143" s="645">
        <f>SUM(BK143:BN143)</f>
        <v>-53.634999999999998</v>
      </c>
      <c r="BP143" s="704"/>
      <c r="BQ143" s="707"/>
      <c r="BR143" s="704"/>
      <c r="BS143" s="704"/>
      <c r="BT143" s="704"/>
      <c r="BU143" s="706"/>
      <c r="BV143" s="704"/>
      <c r="BW143" s="707"/>
      <c r="BX143" s="704"/>
      <c r="BY143" s="704"/>
      <c r="BZ143" s="704"/>
      <c r="CA143" s="706"/>
      <c r="CB143" s="704"/>
      <c r="CC143" s="707"/>
      <c r="CD143" s="704"/>
      <c r="CE143" s="704"/>
      <c r="CF143" s="704"/>
      <c r="CG143" s="706"/>
      <c r="CH143" s="704"/>
      <c r="CI143" s="707"/>
      <c r="CJ143" s="704"/>
      <c r="CK143" s="704"/>
      <c r="CL143" s="704"/>
      <c r="CM143" s="706"/>
      <c r="CN143" s="889"/>
      <c r="CO143" s="889"/>
      <c r="CP143" s="889"/>
      <c r="CQ143" s="889"/>
      <c r="CR143" s="889"/>
    </row>
    <row r="144" spans="1:96" ht="12.6" customHeight="1">
      <c r="A144" s="478"/>
      <c r="B144" s="54"/>
      <c r="C144" s="710"/>
      <c r="D144" s="167"/>
      <c r="E144" s="167"/>
      <c r="F144" s="733"/>
      <c r="G144" s="167"/>
      <c r="H144" s="529"/>
      <c r="I144" s="167"/>
      <c r="J144" s="167"/>
      <c r="K144" s="167"/>
      <c r="L144" s="167"/>
      <c r="M144" s="709"/>
      <c r="N144" s="708"/>
      <c r="O144" s="710"/>
      <c r="P144" s="167"/>
      <c r="Q144" s="167"/>
      <c r="R144" s="167"/>
      <c r="S144" s="709"/>
      <c r="T144" s="708"/>
      <c r="U144" s="710"/>
      <c r="V144" s="167"/>
      <c r="W144" s="167"/>
      <c r="X144" s="167"/>
      <c r="Y144" s="709"/>
      <c r="Z144" s="708"/>
      <c r="AA144" s="710"/>
      <c r="AB144" s="167"/>
      <c r="AC144" s="167"/>
      <c r="AD144" s="167"/>
      <c r="AE144" s="709"/>
      <c r="AF144" s="167"/>
      <c r="AG144" s="710"/>
      <c r="AH144" s="167"/>
      <c r="AI144" s="167"/>
      <c r="AJ144" s="167"/>
      <c r="AK144" s="709"/>
      <c r="AL144" s="167"/>
      <c r="AM144" s="710"/>
      <c r="AN144" s="167"/>
      <c r="AO144" s="167"/>
      <c r="AP144" s="167"/>
      <c r="AQ144" s="709"/>
      <c r="AR144" s="167"/>
      <c r="AS144" s="710"/>
      <c r="AT144" s="167"/>
      <c r="AU144" s="167"/>
      <c r="AV144" s="167"/>
      <c r="AW144" s="709"/>
      <c r="AX144" s="167"/>
      <c r="AY144" s="710"/>
      <c r="AZ144" s="167"/>
      <c r="BA144" s="167"/>
      <c r="BB144" s="167"/>
      <c r="BC144" s="709"/>
      <c r="BD144" s="167"/>
      <c r="BE144" s="710"/>
      <c r="BF144" s="167"/>
      <c r="BG144" s="167"/>
      <c r="BH144" s="167"/>
      <c r="BI144" s="709"/>
      <c r="BJ144" s="167"/>
      <c r="BK144" s="710"/>
      <c r="BL144" s="167"/>
      <c r="BM144" s="167"/>
      <c r="BN144" s="167"/>
      <c r="BO144" s="709"/>
      <c r="BP144" s="167"/>
      <c r="BQ144" s="710"/>
      <c r="BR144" s="167"/>
      <c r="BS144" s="167"/>
      <c r="BT144" s="167"/>
      <c r="BU144" s="709"/>
      <c r="BV144" s="167"/>
      <c r="BW144" s="710"/>
      <c r="BX144" s="167"/>
      <c r="BY144" s="167"/>
      <c r="BZ144" s="167"/>
      <c r="CA144" s="709"/>
      <c r="CB144" s="167"/>
      <c r="CC144" s="710"/>
      <c r="CD144" s="167"/>
      <c r="CE144" s="167"/>
      <c r="CF144" s="167"/>
      <c r="CG144" s="709"/>
      <c r="CH144" s="167"/>
      <c r="CI144" s="710"/>
      <c r="CJ144" s="167"/>
      <c r="CK144" s="167"/>
      <c r="CL144" s="167"/>
      <c r="CM144" s="709"/>
      <c r="CN144" s="108"/>
      <c r="CO144" s="108"/>
      <c r="CP144" s="108"/>
      <c r="CQ144" s="108"/>
      <c r="CR144" s="108"/>
    </row>
    <row r="145" spans="1:102" ht="12.6" customHeight="1">
      <c r="A145" s="207" t="s">
        <v>503</v>
      </c>
      <c r="B145" s="206"/>
      <c r="C145" s="206"/>
      <c r="D145" s="206"/>
      <c r="E145" s="206"/>
      <c r="F145" s="233"/>
      <c r="G145" s="206"/>
      <c r="H145" s="234"/>
      <c r="I145" s="206"/>
      <c r="J145" s="206"/>
      <c r="K145" s="206"/>
      <c r="L145" s="206"/>
      <c r="M145" s="235"/>
      <c r="N145" s="231"/>
      <c r="O145" s="231"/>
      <c r="P145" s="231"/>
      <c r="Q145" s="231"/>
      <c r="R145" s="231"/>
      <c r="S145" s="231"/>
      <c r="T145" s="231"/>
      <c r="U145" s="231"/>
      <c r="V145" s="231"/>
      <c r="W145" s="231"/>
      <c r="X145" s="231"/>
      <c r="Y145" s="231"/>
      <c r="Z145" s="231"/>
      <c r="AA145" s="231"/>
      <c r="AB145" s="231"/>
      <c r="AC145" s="231"/>
      <c r="AD145" s="231"/>
      <c r="AE145" s="231"/>
      <c r="AF145" s="231"/>
      <c r="AG145" s="231"/>
      <c r="AH145" s="231"/>
      <c r="AI145" s="231"/>
      <c r="AJ145" s="231"/>
      <c r="AK145" s="231"/>
      <c r="AL145" s="231"/>
      <c r="AM145" s="231"/>
      <c r="AN145" s="231"/>
      <c r="AO145" s="231"/>
      <c r="AP145" s="231"/>
      <c r="AQ145" s="231"/>
      <c r="AR145" s="231"/>
      <c r="AS145" s="231"/>
      <c r="AT145" s="231"/>
      <c r="AU145" s="231"/>
      <c r="AV145" s="231"/>
      <c r="AW145" s="231"/>
      <c r="AX145" s="231"/>
      <c r="AY145" s="231"/>
      <c r="AZ145" s="231"/>
      <c r="BA145" s="231"/>
      <c r="BB145" s="231"/>
      <c r="BC145" s="231"/>
      <c r="BD145" s="231"/>
      <c r="BE145" s="231"/>
      <c r="BF145" s="231"/>
      <c r="BG145" s="231"/>
      <c r="BH145" s="231"/>
      <c r="BI145" s="231"/>
      <c r="BJ145" s="231"/>
      <c r="BK145" s="231"/>
      <c r="BL145" s="231"/>
      <c r="BM145" s="231"/>
      <c r="BN145" s="231"/>
      <c r="BO145" s="231"/>
      <c r="BP145" s="231"/>
      <c r="BQ145" s="231"/>
      <c r="BR145" s="231"/>
      <c r="BS145" s="231"/>
      <c r="BT145" s="231"/>
      <c r="BU145" s="231"/>
      <c r="BV145" s="231"/>
      <c r="BW145" s="231"/>
      <c r="BX145" s="231"/>
      <c r="BY145" s="231"/>
      <c r="BZ145" s="231"/>
      <c r="CA145" s="231"/>
      <c r="CB145" s="231"/>
      <c r="CC145" s="231"/>
      <c r="CD145" s="231"/>
      <c r="CE145" s="231"/>
      <c r="CF145" s="231"/>
      <c r="CG145" s="231"/>
      <c r="CH145" s="231"/>
      <c r="CI145" s="231"/>
      <c r="CJ145" s="231"/>
      <c r="CK145" s="231"/>
      <c r="CL145" s="231"/>
      <c r="CM145" s="231"/>
    </row>
    <row r="146" spans="1:102" s="108" customFormat="1">
      <c r="A146" s="67" t="s">
        <v>501</v>
      </c>
      <c r="B146" s="1500"/>
      <c r="C146" s="1498"/>
      <c r="D146" s="1497"/>
      <c r="E146" s="1497"/>
      <c r="F146" s="1497"/>
      <c r="G146" s="1499"/>
      <c r="H146" s="1500"/>
      <c r="I146" s="1498"/>
      <c r="J146" s="1497"/>
      <c r="K146" s="1497"/>
      <c r="L146" s="1497"/>
      <c r="M146" s="1499"/>
      <c r="N146" s="1500"/>
      <c r="O146" s="1498"/>
      <c r="P146" s="1497"/>
      <c r="Q146" s="1497"/>
      <c r="R146" s="1497"/>
      <c r="S146" s="1499"/>
      <c r="T146" s="1500"/>
      <c r="U146" s="1498"/>
      <c r="V146" s="1497"/>
      <c r="W146" s="1497"/>
      <c r="X146" s="1497"/>
      <c r="Y146" s="1499"/>
      <c r="Z146" s="1500"/>
      <c r="AA146" s="1498"/>
      <c r="AB146" s="1497"/>
      <c r="AC146" s="1497"/>
      <c r="AD146" s="1497"/>
      <c r="AE146" s="1499"/>
      <c r="AF146" s="1500"/>
      <c r="AG146" s="1498"/>
      <c r="AH146" s="1497"/>
      <c r="AI146" s="1497"/>
      <c r="AJ146" s="1497"/>
      <c r="AK146" s="1499"/>
      <c r="AL146" s="1500"/>
      <c r="AM146" s="1498">
        <v>0.12594468865190908</v>
      </c>
      <c r="AN146" s="1497">
        <v>0.15690797690239361</v>
      </c>
      <c r="AO146" s="1497">
        <v>0.15690951338861084</v>
      </c>
      <c r="AP146" s="1497">
        <v>0.19202416084334015</v>
      </c>
      <c r="AQ146" s="1499">
        <v>0.15928371836805122</v>
      </c>
      <c r="AR146" s="1501"/>
      <c r="AS146" s="1498">
        <v>0.1493451977068066</v>
      </c>
      <c r="AT146" s="1497">
        <v>0.16752157823189259</v>
      </c>
      <c r="AU146" s="1497">
        <v>0.16827738584366664</v>
      </c>
      <c r="AV146" s="1497">
        <v>0.2145732657552932</v>
      </c>
      <c r="AW146" s="1499">
        <v>0.17617069415292763</v>
      </c>
      <c r="AX146" s="1501"/>
      <c r="AY146" s="1498">
        <v>0.15683934973537947</v>
      </c>
      <c r="AZ146" s="1497">
        <v>0.16962742487604177</v>
      </c>
      <c r="BA146" s="1497">
        <v>0.16970191625254066</v>
      </c>
      <c r="BB146" s="1497">
        <v>0.20707593917980707</v>
      </c>
      <c r="BC146" s="1499">
        <v>0.17673276041266298</v>
      </c>
      <c r="BD146" s="1501"/>
      <c r="BE146" s="1498">
        <v>0.16642781296641454</v>
      </c>
      <c r="BF146" s="1497">
        <v>0.17476516253144347</v>
      </c>
      <c r="BG146" s="1497">
        <v>0.1894733962023239</v>
      </c>
      <c r="BH146" s="1497">
        <v>0.21279856919608983</v>
      </c>
      <c r="BI146" s="1499">
        <v>0.18605333157288911</v>
      </c>
      <c r="BJ146" s="1501"/>
      <c r="BK146" s="1498">
        <f>+BK59</f>
        <v>0.16345518180050544</v>
      </c>
      <c r="BL146" s="1497">
        <f>+BL59</f>
        <v>0.18197818506144597</v>
      </c>
      <c r="BM146" s="1497">
        <f>+BM59</f>
        <v>0.19299318255600054</v>
      </c>
      <c r="BN146" s="1497">
        <f>+BN59</f>
        <v>0.21345581854074125</v>
      </c>
      <c r="BO146" s="1499">
        <f>+BO59</f>
        <v>0.18941218313817387</v>
      </c>
      <c r="BP146" s="1501"/>
      <c r="BQ146" s="1498">
        <f>+BQ59</f>
        <v>0.1624551818005055</v>
      </c>
      <c r="BR146" s="1497">
        <f>+BR59</f>
        <v>0.19697818506144596</v>
      </c>
      <c r="BS146" s="1497">
        <f>+BS59</f>
        <v>0.20799318255600049</v>
      </c>
      <c r="BT146" s="1497">
        <f>+BT59</f>
        <v>0.22845581854074126</v>
      </c>
      <c r="BU146" s="1499">
        <f>+BU59</f>
        <v>0.20064086030466027</v>
      </c>
      <c r="BV146" s="1501"/>
      <c r="BW146" s="1498">
        <f>+BW59</f>
        <v>0.17295518180050545</v>
      </c>
      <c r="BX146" s="1497">
        <f>+BX59</f>
        <v>0.207478185061446</v>
      </c>
      <c r="BY146" s="1497">
        <f>+BY59</f>
        <v>0.2184931825560005</v>
      </c>
      <c r="BZ146" s="1497">
        <f>+BZ59</f>
        <v>0.23895581854074127</v>
      </c>
      <c r="CA146" s="1499">
        <f>+CA59</f>
        <v>0.21124942458824914</v>
      </c>
      <c r="CB146" s="1501"/>
      <c r="CC146" s="1498">
        <f>+CC59</f>
        <v>0.18245518180050541</v>
      </c>
      <c r="CD146" s="1497">
        <f>+CD59</f>
        <v>0.21697818506144598</v>
      </c>
      <c r="CE146" s="1497">
        <f>+CE59</f>
        <v>0.2279931825560006</v>
      </c>
      <c r="CF146" s="1497">
        <f>+CF59</f>
        <v>0.24845581854074128</v>
      </c>
      <c r="CG146" s="1499">
        <f>+CG59</f>
        <v>0.22070777939691016</v>
      </c>
      <c r="CH146" s="1501"/>
      <c r="CI146" s="1498">
        <f>+CI59</f>
        <v>0.19195518180050544</v>
      </c>
      <c r="CJ146" s="1497">
        <f>+CJ59</f>
        <v>0.22647818506144599</v>
      </c>
      <c r="CK146" s="1497">
        <f>+CK59</f>
        <v>0.23749318255600055</v>
      </c>
      <c r="CL146" s="1497">
        <f>+CL59</f>
        <v>0.25795581854074129</v>
      </c>
      <c r="CM146" s="1499">
        <f>+CM59</f>
        <v>0.23023734472193214</v>
      </c>
      <c r="CN146" s="36"/>
      <c r="CO146" s="36"/>
      <c r="CP146" s="36"/>
      <c r="CQ146" s="36"/>
      <c r="CR146" s="36"/>
      <c r="CS146"/>
      <c r="CT146"/>
      <c r="CU146"/>
      <c r="CV146"/>
      <c r="CW146"/>
      <c r="CX146"/>
    </row>
    <row r="147" spans="1:102" s="108" customFormat="1">
      <c r="A147" s="1943" t="s">
        <v>509</v>
      </c>
      <c r="B147" s="1500"/>
      <c r="C147" s="1498"/>
      <c r="D147" s="1497"/>
      <c r="E147" s="1497"/>
      <c r="F147" s="1497"/>
      <c r="G147" s="1499"/>
      <c r="H147" s="1500"/>
      <c r="I147" s="1498"/>
      <c r="J147" s="1497"/>
      <c r="K147" s="1497"/>
      <c r="L147" s="1497"/>
      <c r="M147" s="1499"/>
      <c r="N147" s="1500"/>
      <c r="O147" s="1498"/>
      <c r="P147" s="1497"/>
      <c r="Q147" s="1497"/>
      <c r="R147" s="1497"/>
      <c r="S147" s="1499"/>
      <c r="T147" s="1500"/>
      <c r="U147" s="1498"/>
      <c r="V147" s="1497"/>
      <c r="W147" s="1497"/>
      <c r="X147" s="1497"/>
      <c r="Y147" s="1499"/>
      <c r="Z147" s="1500"/>
      <c r="AA147" s="1498"/>
      <c r="AB147" s="1497"/>
      <c r="AC147" s="1497"/>
      <c r="AD147" s="1497"/>
      <c r="AE147" s="1499"/>
      <c r="AF147" s="1500"/>
      <c r="AG147" s="1498"/>
      <c r="AH147" s="1497"/>
      <c r="AI147" s="1497"/>
      <c r="AJ147" s="1497"/>
      <c r="AK147" s="1499"/>
      <c r="AL147" s="1500"/>
      <c r="AM147" s="1498"/>
      <c r="AN147" s="1497"/>
      <c r="AO147" s="1497"/>
      <c r="AP147" s="1497"/>
      <c r="AQ147" s="1499"/>
      <c r="AR147" s="1497"/>
      <c r="AS147" s="1498">
        <v>2.3400509054897517E-2</v>
      </c>
      <c r="AT147" s="1497">
        <v>1.0613601329498984E-2</v>
      </c>
      <c r="AU147" s="1497">
        <v>1.13678724550558E-2</v>
      </c>
      <c r="AV147" s="1497">
        <v>2.2549104911953055E-2</v>
      </c>
      <c r="AW147" s="1499">
        <v>1.6886975784876412E-2</v>
      </c>
      <c r="AX147" s="1497"/>
      <c r="AY147" s="1498">
        <v>7.4941520285728702E-3</v>
      </c>
      <c r="AZ147" s="1497">
        <v>2.105846644149173E-3</v>
      </c>
      <c r="BA147" s="1497">
        <v>1.4245304088740252E-3</v>
      </c>
      <c r="BB147" s="1497">
        <v>-7.4973265754861296E-3</v>
      </c>
      <c r="BC147" s="1499">
        <v>5.620662597353443E-4</v>
      </c>
      <c r="BD147" s="1501"/>
      <c r="BE147" s="1498">
        <v>9.5884632310350715E-3</v>
      </c>
      <c r="BF147" s="1497">
        <v>5.1377376554017085E-3</v>
      </c>
      <c r="BG147" s="1497">
        <v>1.9771479949783233E-2</v>
      </c>
      <c r="BH147" s="1497">
        <v>5.7226300162827592E-3</v>
      </c>
      <c r="BI147" s="1499">
        <v>9.3205711602261376E-3</v>
      </c>
      <c r="BJ147" s="1501"/>
      <c r="BK147" s="1498">
        <f>+BK146-BE146</f>
        <v>-2.9726311659090954E-3</v>
      </c>
      <c r="BL147" s="1497">
        <f>+BL146-BF146</f>
        <v>7.2130225300024997E-3</v>
      </c>
      <c r="BM147" s="1497">
        <f>+BM146-BG146</f>
        <v>3.5197863536766405E-3</v>
      </c>
      <c r="BN147" s="1497">
        <f>+BN146-BH146</f>
        <v>6.5724934465141716E-4</v>
      </c>
      <c r="BO147" s="1499">
        <f>+BO146-BI146</f>
        <v>3.3588515652847595E-3</v>
      </c>
      <c r="BP147" s="1501"/>
      <c r="BQ147" s="1498">
        <f>+BQ146-BK146</f>
        <v>-9.9999999999994538E-4</v>
      </c>
      <c r="BR147" s="1497">
        <f>+BR146-BL146</f>
        <v>1.4999999999999986E-2</v>
      </c>
      <c r="BS147" s="1497">
        <f>+BS146-BM146</f>
        <v>1.4999999999999958E-2</v>
      </c>
      <c r="BT147" s="1497">
        <f>+BT146-BN146</f>
        <v>1.5000000000000013E-2</v>
      </c>
      <c r="BU147" s="1499">
        <f>+BU146-BO146</f>
        <v>1.12286771664864E-2</v>
      </c>
      <c r="BV147" s="1501"/>
      <c r="BW147" s="1498">
        <f>+BW146-BQ146</f>
        <v>1.0499999999999954E-2</v>
      </c>
      <c r="BX147" s="1497">
        <f>+BX146-BR146</f>
        <v>1.0500000000000037E-2</v>
      </c>
      <c r="BY147" s="1497">
        <f>+BY146-BS146</f>
        <v>1.0500000000000009E-2</v>
      </c>
      <c r="BZ147" s="1497">
        <f>+BZ146-BT146</f>
        <v>1.0500000000000009E-2</v>
      </c>
      <c r="CA147" s="1499">
        <f>+CA146-BU146</f>
        <v>1.0608564283588862E-2</v>
      </c>
      <c r="CB147" s="1501"/>
      <c r="CC147" s="1498">
        <f>+CC146-BW146</f>
        <v>9.4999999999999529E-3</v>
      </c>
      <c r="CD147" s="1497">
        <f>+CD146-BX146</f>
        <v>9.4999999999999807E-3</v>
      </c>
      <c r="CE147" s="1497">
        <f>+CE146-BY146</f>
        <v>9.5000000000000917E-3</v>
      </c>
      <c r="CF147" s="1497">
        <f>+CF146-BZ146</f>
        <v>9.5000000000000084E-3</v>
      </c>
      <c r="CG147" s="1499">
        <f>+CG146-CA146</f>
        <v>9.4583548086610292E-3</v>
      </c>
      <c r="CH147" s="1501"/>
      <c r="CI147" s="1498">
        <f>+CI146-CC146</f>
        <v>9.5000000000000362E-3</v>
      </c>
      <c r="CJ147" s="1497">
        <f>+CJ146-CD146</f>
        <v>9.5000000000000084E-3</v>
      </c>
      <c r="CK147" s="1497">
        <f>+CK146-CE146</f>
        <v>9.4999999999999529E-3</v>
      </c>
      <c r="CL147" s="1497">
        <f>+CL146-CF146</f>
        <v>9.5000000000000084E-3</v>
      </c>
      <c r="CM147" s="1499">
        <f>+CM146-CG146</f>
        <v>9.5295653250219714E-3</v>
      </c>
      <c r="CN147" s="36"/>
      <c r="CO147" s="36"/>
      <c r="CP147" s="36"/>
      <c r="CQ147" s="36"/>
      <c r="CR147" s="36"/>
      <c r="CS147"/>
      <c r="CT147"/>
      <c r="CU147"/>
      <c r="CV147"/>
      <c r="CW147"/>
      <c r="CX147"/>
    </row>
    <row r="148" spans="1:102" s="108" customFormat="1">
      <c r="A148" s="67" t="s">
        <v>502</v>
      </c>
      <c r="B148" s="1500"/>
      <c r="C148" s="1498"/>
      <c r="D148" s="1497"/>
      <c r="E148" s="1497"/>
      <c r="F148" s="1497"/>
      <c r="G148" s="1499"/>
      <c r="H148" s="1500"/>
      <c r="I148" s="1498"/>
      <c r="J148" s="1497"/>
      <c r="K148" s="1497"/>
      <c r="L148" s="1497"/>
      <c r="M148" s="1499"/>
      <c r="N148" s="1500"/>
      <c r="O148" s="1498"/>
      <c r="P148" s="1497"/>
      <c r="Q148" s="1497"/>
      <c r="R148" s="1497"/>
      <c r="S148" s="1499"/>
      <c r="T148" s="1500"/>
      <c r="U148" s="1498"/>
      <c r="V148" s="1497"/>
      <c r="W148" s="1497"/>
      <c r="X148" s="1497"/>
      <c r="Y148" s="1499"/>
      <c r="Z148" s="1500"/>
      <c r="AA148" s="1498"/>
      <c r="AB148" s="1497"/>
      <c r="AC148" s="1497"/>
      <c r="AD148" s="1497"/>
      <c r="AE148" s="1499"/>
      <c r="AF148" s="1500"/>
      <c r="AG148" s="1498"/>
      <c r="AH148" s="1497"/>
      <c r="AI148" s="1497"/>
      <c r="AJ148" s="1497"/>
      <c r="AK148" s="1499"/>
      <c r="AL148" s="1500"/>
      <c r="AM148" s="1498"/>
      <c r="AN148" s="1497"/>
      <c r="AO148" s="1497"/>
      <c r="AP148" s="1497"/>
      <c r="AQ148" s="1499"/>
      <c r="AR148" s="1501"/>
      <c r="AS148" s="1498">
        <v>-1.0400509054897505E-2</v>
      </c>
      <c r="AT148" s="1497">
        <v>-5.1136013294989791E-3</v>
      </c>
      <c r="AU148" s="1497">
        <v>-5.8678724550557948E-3</v>
      </c>
      <c r="AV148" s="1497">
        <v>2.3287259392898163E-3</v>
      </c>
      <c r="AW148" s="861">
        <v>-3.8900128272077897E-3</v>
      </c>
      <c r="AX148" s="1501"/>
      <c r="AY148" s="1498">
        <v>5.5058479714271413E-3</v>
      </c>
      <c r="AZ148" s="1497">
        <v>3.394153355850844E-3</v>
      </c>
      <c r="BA148" s="1497">
        <v>4.0754695911259919E-3</v>
      </c>
      <c r="BB148" s="1497">
        <v>2.3287259392898163E-3</v>
      </c>
      <c r="BC148" s="861">
        <v>3.6580528203683954E-3</v>
      </c>
      <c r="BD148" s="1501"/>
      <c r="BE148" s="1944">
        <v>2.0641971916745255E-3</v>
      </c>
      <c r="BF148" s="1945">
        <v>0</v>
      </c>
      <c r="BG148" s="1945">
        <v>0</v>
      </c>
      <c r="BH148" s="1945">
        <v>3.3799999999999998E-3</v>
      </c>
      <c r="BI148" s="861">
        <v>1.4310037887454951E-3</v>
      </c>
      <c r="BJ148" s="1501"/>
      <c r="BK148" s="1944">
        <v>2.5751659171781298E-3</v>
      </c>
      <c r="BL148" s="1945">
        <v>-5.06042944858065E-4</v>
      </c>
      <c r="BM148" s="1945">
        <v>0</v>
      </c>
      <c r="BN148" s="1945">
        <v>-5.0000000000000001E-3</v>
      </c>
      <c r="BO148" s="861">
        <f>SUMPRODUCT(BK148:BN148,BK18:BN18)/SUM(BK18:BN18)</f>
        <v>-1.2134123415411368E-3</v>
      </c>
      <c r="BP148" s="1501"/>
      <c r="BQ148" s="1944">
        <v>-1.3981176161759201E-3</v>
      </c>
      <c r="BR148" s="1945">
        <v>-1.4082949681532286E-3</v>
      </c>
      <c r="BS148" s="1945">
        <v>4.998362497624087E-5</v>
      </c>
      <c r="BT148" s="1945">
        <v>1.7943254476845971E-4</v>
      </c>
      <c r="BU148" s="861">
        <f>SUMPRODUCT(BQ148:BT148,BQ18:BT18)/SUM(BQ18:BT18)</f>
        <v>-5.3016074959063371E-4</v>
      </c>
      <c r="BV148" s="1501"/>
      <c r="BW148" s="1944">
        <f>-0.3*ProFormaRevBuild!BW19</f>
        <v>0</v>
      </c>
      <c r="BX148" s="1945">
        <f>-0.3*ProFormaRevBuild!BX19</f>
        <v>0</v>
      </c>
      <c r="BY148" s="1945">
        <f>-0.3*ProFormaRevBuild!BY19</f>
        <v>0</v>
      </c>
      <c r="BZ148" s="1945">
        <f>-0.3*ProFormaRevBuild!BZ19</f>
        <v>0</v>
      </c>
      <c r="CA148" s="861">
        <f>SUMPRODUCT(BW148:BZ148,BW18:BZ18)/SUM(BW18:BZ18)</f>
        <v>0</v>
      </c>
      <c r="CB148" s="1501"/>
      <c r="CC148" s="1944">
        <f>-0.3*ProFormaRevBuild!CC19</f>
        <v>0</v>
      </c>
      <c r="CD148" s="1945">
        <f>-0.3*ProFormaRevBuild!CD19</f>
        <v>0</v>
      </c>
      <c r="CE148" s="1945">
        <f>-0.3*ProFormaRevBuild!CE19</f>
        <v>0</v>
      </c>
      <c r="CF148" s="1945">
        <f>-0.3*ProFormaRevBuild!CF19</f>
        <v>0</v>
      </c>
      <c r="CG148" s="861">
        <f>SUMPRODUCT(CC148:CF148,CC18:CF18)/SUM(CC18:CF18)</f>
        <v>0</v>
      </c>
      <c r="CH148" s="1501"/>
      <c r="CI148" s="1944">
        <f>-0.3*ProFormaRevBuild!CI19</f>
        <v>0</v>
      </c>
      <c r="CJ148" s="1945">
        <f>-0.3*ProFormaRevBuild!CJ19</f>
        <v>0</v>
      </c>
      <c r="CK148" s="1945">
        <f>-0.3*ProFormaRevBuild!CK19</f>
        <v>0</v>
      </c>
      <c r="CL148" s="1945">
        <f>-0.3*ProFormaRevBuild!CL19</f>
        <v>0</v>
      </c>
      <c r="CM148" s="861">
        <f>SUMPRODUCT(CI148:CL148,CI18:CL18)/SUM(CI18:CL18)</f>
        <v>0</v>
      </c>
      <c r="CN148" s="36"/>
      <c r="CO148" s="36"/>
      <c r="CP148" s="36"/>
      <c r="CQ148" s="36"/>
      <c r="CR148" s="36"/>
      <c r="CS148"/>
      <c r="CT148"/>
      <c r="CU148"/>
      <c r="CV148"/>
      <c r="CW148"/>
      <c r="CX148"/>
    </row>
    <row r="149" spans="1:102" s="108" customFormat="1">
      <c r="A149" s="1943" t="s">
        <v>544</v>
      </c>
      <c r="B149" s="1500"/>
      <c r="C149" s="1498"/>
      <c r="D149" s="1497"/>
      <c r="E149" s="1497"/>
      <c r="F149" s="1497"/>
      <c r="G149" s="1499"/>
      <c r="H149" s="1500"/>
      <c r="I149" s="1498"/>
      <c r="J149" s="1497"/>
      <c r="K149" s="1497"/>
      <c r="L149" s="1497"/>
      <c r="M149" s="1499"/>
      <c r="N149" s="1500"/>
      <c r="O149" s="1498"/>
      <c r="P149" s="1497"/>
      <c r="Q149" s="1497"/>
      <c r="R149" s="1497"/>
      <c r="S149" s="1499"/>
      <c r="T149" s="1500"/>
      <c r="U149" s="1498"/>
      <c r="V149" s="1497"/>
      <c r="W149" s="1497"/>
      <c r="X149" s="1497"/>
      <c r="Y149" s="1499"/>
      <c r="Z149" s="1500"/>
      <c r="AA149" s="1498"/>
      <c r="AB149" s="1497"/>
      <c r="AC149" s="1497"/>
      <c r="AD149" s="1497"/>
      <c r="AE149" s="1499"/>
      <c r="AF149" s="1500"/>
      <c r="AG149" s="1498"/>
      <c r="AH149" s="1497"/>
      <c r="AI149" s="1497"/>
      <c r="AJ149" s="1497"/>
      <c r="AK149" s="1499"/>
      <c r="AL149" s="1500"/>
      <c r="AM149" s="1498"/>
      <c r="AN149" s="1497"/>
      <c r="AO149" s="1497"/>
      <c r="AP149" s="1497"/>
      <c r="AQ149" s="1499"/>
      <c r="AR149" s="1501"/>
      <c r="AS149" s="1498">
        <v>0</v>
      </c>
      <c r="AT149" s="1497">
        <v>0</v>
      </c>
      <c r="AU149" s="1497">
        <v>0</v>
      </c>
      <c r="AV149" s="1497">
        <v>0</v>
      </c>
      <c r="AW149" s="1499">
        <v>0</v>
      </c>
      <c r="AX149" s="1501"/>
      <c r="AY149" s="1498">
        <v>0</v>
      </c>
      <c r="AZ149" s="1497">
        <v>1.4E-2</v>
      </c>
      <c r="BA149" s="1497">
        <v>1.4E-2</v>
      </c>
      <c r="BB149" s="1497">
        <v>0.01</v>
      </c>
      <c r="BC149" s="861">
        <v>9.8462763204337084E-3</v>
      </c>
      <c r="BD149" s="1501"/>
      <c r="BE149" s="1944">
        <v>2.0641971916745255E-3</v>
      </c>
      <c r="BF149" s="1945">
        <v>1.4E-3</v>
      </c>
      <c r="BG149" s="1945">
        <v>1.4E-3</v>
      </c>
      <c r="BH149" s="1945">
        <v>0</v>
      </c>
      <c r="BI149" s="861">
        <v>1.1360303524561586E-3</v>
      </c>
      <c r="BJ149" s="1501"/>
      <c r="BK149" s="1944">
        <v>1E-3</v>
      </c>
      <c r="BL149" s="1945">
        <v>0</v>
      </c>
      <c r="BM149" s="1945">
        <v>2.5000000000000001E-3</v>
      </c>
      <c r="BN149" s="1945">
        <f>0.25%+0.6%</f>
        <v>8.5000000000000006E-3</v>
      </c>
      <c r="BO149" s="861">
        <f>SUMPRODUCT(BK149:BN149,BK18:BN18)/SUM(BK18:BN18)</f>
        <v>3.5452225114055947E-3</v>
      </c>
      <c r="BP149" s="1501"/>
      <c r="BQ149" s="1944">
        <f>(-1.25/BQ11)+0.1%+0.6%</f>
        <v>4.9957017756983762E-3</v>
      </c>
      <c r="BR149" s="1945">
        <f>(-1.25/BR11)+0.1%-0.2%</f>
        <v>-2.8224957642801118E-3</v>
      </c>
      <c r="BS149" s="1945">
        <f t="shared" ref="BS149:BT149" si="179">(-1.25/BS11)+0.1%-0.2%</f>
        <v>-2.8305157348811642E-3</v>
      </c>
      <c r="BT149" s="1945">
        <f t="shared" si="179"/>
        <v>-2.6318479723864141E-3</v>
      </c>
      <c r="BU149" s="861">
        <f>SUMPRODUCT(BQ149:BT149,BQ18:BT18)/SUM(BQ18:BT18)</f>
        <v>-1.3330373960240914E-3</v>
      </c>
      <c r="BV149" s="1501"/>
      <c r="BW149" s="1944">
        <v>0</v>
      </c>
      <c r="BX149" s="1945">
        <v>0</v>
      </c>
      <c r="BY149" s="1945">
        <v>0</v>
      </c>
      <c r="BZ149" s="1945">
        <v>0</v>
      </c>
      <c r="CA149" s="861">
        <f>SUMPRODUCT(BW149:BZ149,BW18:BZ18)/SUM(BW18:BZ18)</f>
        <v>0</v>
      </c>
      <c r="CB149" s="1501"/>
      <c r="CC149" s="1944">
        <v>0</v>
      </c>
      <c r="CD149" s="1945">
        <v>0</v>
      </c>
      <c r="CE149" s="1945">
        <v>0</v>
      </c>
      <c r="CF149" s="1945">
        <v>0</v>
      </c>
      <c r="CG149" s="861">
        <f>SUMPRODUCT(CC149:CF149,CC18:CF18)/SUM(CC18:CF18)</f>
        <v>0</v>
      </c>
      <c r="CH149" s="1501"/>
      <c r="CI149" s="1944">
        <v>0</v>
      </c>
      <c r="CJ149" s="1945">
        <v>0</v>
      </c>
      <c r="CK149" s="1945">
        <v>0</v>
      </c>
      <c r="CL149" s="1945">
        <v>0</v>
      </c>
      <c r="CM149" s="861">
        <f>SUMPRODUCT(CI149:CL149,CI18:CL18)/SUM(CI18:CL18)</f>
        <v>0</v>
      </c>
      <c r="CN149" s="36"/>
      <c r="CO149" s="36"/>
      <c r="CP149" s="36"/>
      <c r="CQ149" s="36"/>
      <c r="CR149" s="36"/>
      <c r="CS149"/>
      <c r="CT149"/>
      <c r="CU149"/>
      <c r="CV149"/>
      <c r="CW149"/>
      <c r="CX149"/>
    </row>
    <row r="150" spans="1:102" s="108" customFormat="1">
      <c r="A150" s="1943" t="s">
        <v>507</v>
      </c>
      <c r="B150" s="1500"/>
      <c r="C150" s="1498"/>
      <c r="D150" s="1497"/>
      <c r="E150" s="1497"/>
      <c r="F150" s="1497"/>
      <c r="G150" s="1499"/>
      <c r="H150" s="1500"/>
      <c r="I150" s="1498"/>
      <c r="J150" s="1497"/>
      <c r="K150" s="1497"/>
      <c r="L150" s="1497"/>
      <c r="M150" s="1499"/>
      <c r="N150" s="1500"/>
      <c r="O150" s="1498"/>
      <c r="P150" s="1497"/>
      <c r="Q150" s="1497"/>
      <c r="R150" s="1497"/>
      <c r="S150" s="1499"/>
      <c r="T150" s="1500"/>
      <c r="U150" s="1498"/>
      <c r="V150" s="1497"/>
      <c r="W150" s="1497"/>
      <c r="X150" s="1497"/>
      <c r="Y150" s="1499"/>
      <c r="Z150" s="1500"/>
      <c r="AA150" s="1498"/>
      <c r="AB150" s="1497"/>
      <c r="AC150" s="1497"/>
      <c r="AD150" s="1497"/>
      <c r="AE150" s="1499"/>
      <c r="AF150" s="1500"/>
      <c r="AG150" s="1498"/>
      <c r="AH150" s="1497"/>
      <c r="AI150" s="1497"/>
      <c r="AJ150" s="1497"/>
      <c r="AK150" s="1499"/>
      <c r="AL150" s="1500"/>
      <c r="AM150" s="1498"/>
      <c r="AN150" s="1497"/>
      <c r="AO150" s="1497"/>
      <c r="AP150" s="1497"/>
      <c r="AQ150" s="1499"/>
      <c r="AR150" s="1501"/>
      <c r="AS150" s="1498">
        <v>0.13894468865190909</v>
      </c>
      <c r="AT150" s="1497">
        <v>0.16240797690239361</v>
      </c>
      <c r="AU150" s="1497">
        <v>0.16240951338861084</v>
      </c>
      <c r="AV150" s="1497">
        <v>0.21690199169458302</v>
      </c>
      <c r="AW150" s="1499">
        <v>0.17228068132571983</v>
      </c>
      <c r="AX150" s="1501"/>
      <c r="AY150" s="1498">
        <v>0.16234519770680661</v>
      </c>
      <c r="AZ150" s="1497">
        <v>0.18702157823189261</v>
      </c>
      <c r="BA150" s="1497">
        <v>0.18777738584366666</v>
      </c>
      <c r="BB150" s="1497">
        <v>0.2194046651190969</v>
      </c>
      <c r="BC150" s="1499">
        <v>0.19023708955346508</v>
      </c>
      <c r="BD150" s="1501"/>
      <c r="BE150" s="1498">
        <v>0.17055620734976359</v>
      </c>
      <c r="BF150" s="1497">
        <v>0.17616516253144349</v>
      </c>
      <c r="BG150" s="1497">
        <v>0.19087339620232391</v>
      </c>
      <c r="BH150" s="1497">
        <v>0.21617856919608983</v>
      </c>
      <c r="BI150" s="1499">
        <v>0.18862036571409077</v>
      </c>
      <c r="BJ150" s="1501"/>
      <c r="BK150" s="1498">
        <f>+BK146+BK148+BK149</f>
        <v>0.16703034771768357</v>
      </c>
      <c r="BL150" s="1497">
        <f>+BL146+BL148+BL149</f>
        <v>0.18147214211658791</v>
      </c>
      <c r="BM150" s="1497">
        <f>+BM146+BM148+BM149</f>
        <v>0.19549318255600054</v>
      </c>
      <c r="BN150" s="1497">
        <f>+BN146+BN148+BN149</f>
        <v>0.21695581854074125</v>
      </c>
      <c r="BO150" s="1499">
        <f>+BO146+BO148+BO149</f>
        <v>0.19174399330803835</v>
      </c>
      <c r="BP150" s="1501"/>
      <c r="BQ150" s="1498">
        <f>+BQ146+BQ148+BQ149</f>
        <v>0.16605276596002796</v>
      </c>
      <c r="BR150" s="1497">
        <f>+BR146+BR148+BR149</f>
        <v>0.19274739432901261</v>
      </c>
      <c r="BS150" s="1497">
        <f>+BS146+BS148+BS149</f>
        <v>0.20521265044609557</v>
      </c>
      <c r="BT150" s="1497">
        <f>+BT146+BT148+BT149</f>
        <v>0.22600340311312331</v>
      </c>
      <c r="BU150" s="1499">
        <f>+BU146+BU148+BU149</f>
        <v>0.19877766215904555</v>
      </c>
      <c r="BV150" s="1501"/>
      <c r="BW150" s="1498">
        <f>+BW146+BW148+BW149</f>
        <v>0.17295518180050545</v>
      </c>
      <c r="BX150" s="1497">
        <f>+BX146+BX148+BX149</f>
        <v>0.207478185061446</v>
      </c>
      <c r="BY150" s="1497">
        <f>+BY146+BY148+BY149</f>
        <v>0.2184931825560005</v>
      </c>
      <c r="BZ150" s="1497">
        <f>+BZ146+BZ148+BZ149</f>
        <v>0.23895581854074127</v>
      </c>
      <c r="CA150" s="1499">
        <f>+CA146+CA148+CA149</f>
        <v>0.21124942458824914</v>
      </c>
      <c r="CB150" s="1501"/>
      <c r="CC150" s="1498">
        <f>+CC146+CC148+CC149</f>
        <v>0.18245518180050541</v>
      </c>
      <c r="CD150" s="1497">
        <f>+CD146+CD148+CD149</f>
        <v>0.21697818506144598</v>
      </c>
      <c r="CE150" s="1497">
        <f>+CE146+CE148+CE149</f>
        <v>0.2279931825560006</v>
      </c>
      <c r="CF150" s="1497">
        <f>+CF146+CF148+CF149</f>
        <v>0.24845581854074128</v>
      </c>
      <c r="CG150" s="1499">
        <f>+CG146+CG148+CG149</f>
        <v>0.22070777939691016</v>
      </c>
      <c r="CH150" s="1501"/>
      <c r="CI150" s="1498">
        <f>+CI146+CI148+CI149</f>
        <v>0.19195518180050544</v>
      </c>
      <c r="CJ150" s="1497">
        <f>+CJ146+CJ148+CJ149</f>
        <v>0.22647818506144599</v>
      </c>
      <c r="CK150" s="1497">
        <f>+CK146+CK148+CK149</f>
        <v>0.23749318255600055</v>
      </c>
      <c r="CL150" s="1497">
        <f>+CL146+CL148+CL149</f>
        <v>0.25795581854074129</v>
      </c>
      <c r="CM150" s="1499">
        <f>+CM146+CM148+CM149</f>
        <v>0.23023734472193214</v>
      </c>
      <c r="CN150" s="36"/>
      <c r="CO150" s="36"/>
      <c r="CP150" s="36"/>
      <c r="CQ150" s="36"/>
      <c r="CR150" s="36"/>
      <c r="CS150"/>
      <c r="CT150"/>
      <c r="CU150"/>
      <c r="CV150"/>
      <c r="CW150"/>
      <c r="CX150"/>
    </row>
    <row r="151" spans="1:102" s="108" customFormat="1">
      <c r="A151" s="1943" t="s">
        <v>508</v>
      </c>
      <c r="B151" s="1500"/>
      <c r="C151" s="1498"/>
      <c r="D151" s="1497"/>
      <c r="E151" s="1497"/>
      <c r="F151" s="1497"/>
      <c r="G151" s="1499"/>
      <c r="H151" s="1500"/>
      <c r="I151" s="1498"/>
      <c r="J151" s="1497"/>
      <c r="K151" s="1497"/>
      <c r="L151" s="1497"/>
      <c r="M151" s="1499"/>
      <c r="N151" s="1500"/>
      <c r="O151" s="1498"/>
      <c r="P151" s="1497"/>
      <c r="Q151" s="1497"/>
      <c r="R151" s="1497"/>
      <c r="S151" s="1499"/>
      <c r="T151" s="1500"/>
      <c r="U151" s="1498"/>
      <c r="V151" s="1497"/>
      <c r="W151" s="1497"/>
      <c r="X151" s="1497"/>
      <c r="Y151" s="1499"/>
      <c r="Z151" s="1500"/>
      <c r="AA151" s="1498"/>
      <c r="AB151" s="1497"/>
      <c r="AC151" s="1497"/>
      <c r="AD151" s="1497"/>
      <c r="AE151" s="1499"/>
      <c r="AF151" s="1500"/>
      <c r="AG151" s="1498"/>
      <c r="AH151" s="1497"/>
      <c r="AI151" s="1497"/>
      <c r="AJ151" s="1497"/>
      <c r="AK151" s="1499"/>
      <c r="AL151" s="1500"/>
      <c r="AM151" s="1498"/>
      <c r="AN151" s="1497"/>
      <c r="AO151" s="1497"/>
      <c r="AP151" s="1497"/>
      <c r="AQ151" s="1499"/>
      <c r="AR151" s="1501"/>
      <c r="AS151" s="1498">
        <v>1.3000000000000012E-2</v>
      </c>
      <c r="AT151" s="1497">
        <v>5.5000000000000049E-3</v>
      </c>
      <c r="AU151" s="1497">
        <v>5.5000000000000049E-3</v>
      </c>
      <c r="AV151" s="1497">
        <v>2.4877830851242871E-2</v>
      </c>
      <c r="AW151" s="1499">
        <v>1.2996962957668612E-2</v>
      </c>
      <c r="AX151" s="1501"/>
      <c r="AY151" s="1498">
        <v>1.3000000000000012E-2</v>
      </c>
      <c r="AZ151" s="1497">
        <v>1.9500000000000017E-2</v>
      </c>
      <c r="BA151" s="1497">
        <v>1.9500000000000017E-2</v>
      </c>
      <c r="BB151" s="1497">
        <v>4.8313993638036956E-3</v>
      </c>
      <c r="BC151" s="1499">
        <v>1.4066395400537446E-2</v>
      </c>
      <c r="BD151" s="1501"/>
      <c r="BE151" s="1498">
        <v>1.3716857614384126E-2</v>
      </c>
      <c r="BF151" s="1497">
        <v>6.5377376554017208E-3</v>
      </c>
      <c r="BG151" s="1497">
        <v>2.1171479949783245E-2</v>
      </c>
      <c r="BH151" s="1497">
        <v>9.1026300162827534E-3</v>
      </c>
      <c r="BI151" s="1499">
        <v>1.1887605301427795E-2</v>
      </c>
      <c r="BJ151" s="1501"/>
      <c r="BK151" s="1498">
        <f>+BK150-BE146</f>
        <v>6.0253475126903489E-4</v>
      </c>
      <c r="BL151" s="1497">
        <f>+BL150-BF146</f>
        <v>6.7069795851444347E-3</v>
      </c>
      <c r="BM151" s="1497">
        <f>+BM150-BG146</f>
        <v>6.0197863536766427E-3</v>
      </c>
      <c r="BN151" s="1497">
        <f>+BN150-BH146</f>
        <v>4.1572493446514203E-3</v>
      </c>
      <c r="BO151" s="1499">
        <f>+BO150-BI146</f>
        <v>5.6906617351492328E-3</v>
      </c>
      <c r="BP151" s="1501"/>
      <c r="BQ151" s="1498">
        <f>+BQ150-BK146</f>
        <v>2.5975841595225202E-3</v>
      </c>
      <c r="BR151" s="1497">
        <f>+BR150-BL146</f>
        <v>1.0769209267566637E-2</v>
      </c>
      <c r="BS151" s="1497">
        <f>+BS150-BM146</f>
        <v>1.2219467890095037E-2</v>
      </c>
      <c r="BT151" s="1497">
        <f>+BT150-BN146</f>
        <v>1.2547584572382059E-2</v>
      </c>
      <c r="BU151" s="1499">
        <f>+BU150-BO146</f>
        <v>9.3654790208716754E-3</v>
      </c>
      <c r="BV151" s="1501"/>
      <c r="BW151" s="1498">
        <f>+BW150-BQ146</f>
        <v>1.0499999999999954E-2</v>
      </c>
      <c r="BX151" s="1497">
        <f>+BX150-BR146</f>
        <v>1.0500000000000037E-2</v>
      </c>
      <c r="BY151" s="1497">
        <f>+BY150-BS146</f>
        <v>1.0500000000000009E-2</v>
      </c>
      <c r="BZ151" s="1497">
        <f>+BZ150-BT146</f>
        <v>1.0500000000000009E-2</v>
      </c>
      <c r="CA151" s="1499">
        <f>+CA150-BU146</f>
        <v>1.0608564283588862E-2</v>
      </c>
      <c r="CB151" s="1501"/>
      <c r="CC151" s="1498">
        <f>+CC150-BW146</f>
        <v>9.4999999999999529E-3</v>
      </c>
      <c r="CD151" s="1497">
        <f>+CD150-BX146</f>
        <v>9.4999999999999807E-3</v>
      </c>
      <c r="CE151" s="1497">
        <f>+CE150-BY146</f>
        <v>9.5000000000000917E-3</v>
      </c>
      <c r="CF151" s="1497">
        <f>+CF150-BZ146</f>
        <v>9.5000000000000084E-3</v>
      </c>
      <c r="CG151" s="1499">
        <f>+CG150-CA146</f>
        <v>9.4583548086610292E-3</v>
      </c>
      <c r="CH151" s="1501"/>
      <c r="CI151" s="1498">
        <f>+CI150-CC146</f>
        <v>9.5000000000000362E-3</v>
      </c>
      <c r="CJ151" s="1497">
        <f>+CJ150-CD146</f>
        <v>9.5000000000000084E-3</v>
      </c>
      <c r="CK151" s="1497">
        <f>+CK150-CE146</f>
        <v>9.4999999999999529E-3</v>
      </c>
      <c r="CL151" s="1497">
        <f>+CL150-CF146</f>
        <v>9.5000000000000084E-3</v>
      </c>
      <c r="CM151" s="1499">
        <f>+CM150-CG146</f>
        <v>9.5295653250219714E-3</v>
      </c>
      <c r="CN151" s="36"/>
      <c r="CO151" s="36"/>
      <c r="CP151" s="36"/>
      <c r="CQ151" s="36"/>
      <c r="CR151" s="36"/>
      <c r="CS151"/>
      <c r="CT151"/>
      <c r="CU151"/>
      <c r="CV151"/>
      <c r="CW151"/>
      <c r="CX151"/>
    </row>
    <row r="152" spans="1:102" s="108" customFormat="1">
      <c r="A152" s="1688" t="s">
        <v>533</v>
      </c>
      <c r="B152" s="1500"/>
      <c r="C152" s="1497"/>
      <c r="D152" s="1497"/>
      <c r="E152" s="1497"/>
      <c r="F152" s="1497"/>
      <c r="G152" s="1497"/>
      <c r="H152" s="1500"/>
      <c r="I152" s="1497"/>
      <c r="J152" s="1497"/>
      <c r="K152" s="1497"/>
      <c r="L152" s="1497"/>
      <c r="M152" s="1497"/>
      <c r="N152" s="1500"/>
      <c r="O152" s="1497"/>
      <c r="P152" s="1497"/>
      <c r="Q152" s="1497"/>
      <c r="R152" s="1497"/>
      <c r="S152" s="1497"/>
      <c r="T152" s="1500"/>
      <c r="U152" s="1497"/>
      <c r="V152" s="1497"/>
      <c r="W152" s="1497"/>
      <c r="X152" s="1497"/>
      <c r="Y152" s="1497"/>
      <c r="Z152" s="1500"/>
      <c r="AA152" s="1497"/>
      <c r="AB152" s="1497"/>
      <c r="AC152" s="1497"/>
      <c r="AD152" s="1497"/>
      <c r="AE152" s="1497"/>
      <c r="AF152" s="1500"/>
      <c r="AG152" s="1497"/>
      <c r="AH152" s="1497"/>
      <c r="AI152" s="1497"/>
      <c r="AJ152" s="1497"/>
      <c r="AK152" s="1499"/>
      <c r="AL152" s="1500"/>
      <c r="AM152" s="1497"/>
      <c r="AN152" s="1497"/>
      <c r="AO152" s="1497"/>
      <c r="AP152" s="1497"/>
      <c r="AQ152" s="1499"/>
      <c r="AR152" s="1501"/>
      <c r="AS152" s="1946">
        <v>532.17775241676566</v>
      </c>
      <c r="AT152" s="1947">
        <v>553.90297842736436</v>
      </c>
      <c r="AU152" s="1947">
        <v>543.97577337405903</v>
      </c>
      <c r="AV152" s="1947">
        <v>619.25243822858567</v>
      </c>
      <c r="AW152" s="1948">
        <v>2249.3548380787515</v>
      </c>
      <c r="AX152" s="1501"/>
      <c r="AY152" s="1946">
        <v>552.28653038880475</v>
      </c>
      <c r="AZ152" s="1947">
        <v>591.05446762911106</v>
      </c>
      <c r="BA152" s="1947">
        <v>565.36473530353828</v>
      </c>
      <c r="BB152" s="1947">
        <v>630.62534561157577</v>
      </c>
      <c r="BC152" s="1948">
        <v>2339.3368481666457</v>
      </c>
      <c r="BD152" s="1501"/>
      <c r="BE152" s="1946">
        <v>554.32732625939218</v>
      </c>
      <c r="BF152" s="1947">
        <v>582.00603957407759</v>
      </c>
      <c r="BG152" s="1947">
        <v>573.01192274259711</v>
      </c>
      <c r="BH152" s="1947">
        <v>614.33547474567365</v>
      </c>
      <c r="BI152" s="1948">
        <v>2323.6776083144746</v>
      </c>
      <c r="BJ152" s="1501"/>
      <c r="BK152" s="1946">
        <f>ProFormaRevBuild!BE15*(1+ProFormaRevBuild!BK21)</f>
        <v>515.80651109736232</v>
      </c>
      <c r="BL152" s="1947">
        <f>ProFormaRevBuild!BF15*(1+ProFormaRevBuild!BL21)</f>
        <v>550.61002641146342</v>
      </c>
      <c r="BM152" s="1947">
        <f>ProFormaRevBuild!BG15*(1+ProFormaRevBuild!BM21)</f>
        <v>534.31796027349469</v>
      </c>
      <c r="BN152" s="1947">
        <f>ProFormaRevBuild!BH15*(1+ProFormaRevBuild!BN21)</f>
        <v>603.46359105062015</v>
      </c>
      <c r="BO152" s="1948">
        <f>ProFormaRevBuild!BI15*(1+ProFormaRevBuild!BO21)</f>
        <v>2204.1982307960488</v>
      </c>
      <c r="BP152" s="1501"/>
      <c r="BQ152" s="1946">
        <f>ProFormaRevBuild!BK15*(1+ProFormaRevBuild!BQ21)</f>
        <v>536.31866574979153</v>
      </c>
      <c r="BR152" s="1947">
        <f>ProFormaRevBuild!BL15*(1+ProFormaRevBuild!BR21)</f>
        <v>581.2914267657543</v>
      </c>
      <c r="BS152" s="1947">
        <f>ProFormaRevBuild!BM15*(1+ProFormaRevBuild!BS21)</f>
        <v>585.84493644524014</v>
      </c>
      <c r="BT152" s="1947">
        <f>ProFormaRevBuild!BN15*(1+ProFormaRevBuild!BT21)</f>
        <v>665.66105817876132</v>
      </c>
      <c r="BU152" s="1948">
        <f>ProFormaRevBuild!BO15*(1+ProFormaRevBuild!BU21)</f>
        <v>2369.1158229949456</v>
      </c>
      <c r="BV152" s="1501"/>
      <c r="BW152" s="1946">
        <f>ProFormaRevBuild!BQ15*(1+ProFormaRevBuild!BW21)</f>
        <v>663.39730441106906</v>
      </c>
      <c r="BX152" s="1947">
        <f>ProFormaRevBuild!BR15*(1+ProFormaRevBuild!BX21)</f>
        <v>734.03669203030086</v>
      </c>
      <c r="BY152" s="1947">
        <f>ProFormaRevBuild!BS15*(1+ProFormaRevBuild!BY21)</f>
        <v>734.56515858406124</v>
      </c>
      <c r="BZ152" s="1947">
        <f>ProFormaRevBuild!BT15*(1+ProFormaRevBuild!BZ21)</f>
        <v>824.7740014748282</v>
      </c>
      <c r="CA152" s="1948">
        <f>ProFormaRevBuild!BU15*(1+ProFormaRevBuild!CA21)</f>
        <v>2956.7731565002596</v>
      </c>
      <c r="CB152" s="1501"/>
      <c r="CC152" s="1946">
        <f>ProFormaRevBuild!BW15*(1+ProFormaRevBuild!CC21)</f>
        <v>711.22700533691716</v>
      </c>
      <c r="CD152" s="1947">
        <f>ProFormaRevBuild!BX15*(1+ProFormaRevBuild!CD21)</f>
        <v>788.46222375207776</v>
      </c>
      <c r="CE152" s="1947">
        <f>ProFormaRevBuild!BY15*(1+ProFormaRevBuild!CE21)</f>
        <v>787.2624900301256</v>
      </c>
      <c r="CF152" s="1947">
        <f>ProFormaRevBuild!BZ15*(1+ProFormaRevBuild!CF21)</f>
        <v>879.75225636117534</v>
      </c>
      <c r="CG152" s="1948">
        <f>ProFormaRevBuild!CA15*(1+ProFormaRevBuild!CG21)</f>
        <v>3166.7039754802963</v>
      </c>
      <c r="CH152" s="1501"/>
      <c r="CI152" s="1946">
        <f>ProFormaRevBuild!CC15*(1+ProFormaRevBuild!CI21)</f>
        <v>749.40231176765747</v>
      </c>
      <c r="CJ152" s="1947">
        <f>ProFormaRevBuild!CD15*(1+ProFormaRevBuild!CJ21)</f>
        <v>830.86438726510255</v>
      </c>
      <c r="CK152" s="1947">
        <f>ProFormaRevBuild!CE15*(1+ProFormaRevBuild!CK21)</f>
        <v>832.62791892981556</v>
      </c>
      <c r="CL152" s="1947">
        <f>ProFormaRevBuild!CF15*(1+ProFormaRevBuild!CL21)</f>
        <v>929.72940333262716</v>
      </c>
      <c r="CM152" s="1948">
        <f>ProFormaRevBuild!CG15*(1+ProFormaRevBuild!CM21)</f>
        <v>3342.6240212952025</v>
      </c>
      <c r="CN152" s="36"/>
      <c r="CO152" s="36"/>
      <c r="CP152" s="36"/>
      <c r="CQ152" s="36"/>
      <c r="CR152" s="36"/>
      <c r="CS152"/>
      <c r="CT152"/>
      <c r="CU152"/>
      <c r="CV152"/>
      <c r="CW152"/>
      <c r="CX152"/>
    </row>
    <row r="153" spans="1:102" s="108" customFormat="1">
      <c r="A153" s="1688" t="s">
        <v>504</v>
      </c>
      <c r="B153" s="1500"/>
      <c r="C153" s="1497"/>
      <c r="D153" s="1497"/>
      <c r="E153" s="1497"/>
      <c r="F153" s="1497"/>
      <c r="G153" s="1497"/>
      <c r="H153" s="1500"/>
      <c r="I153" s="1497"/>
      <c r="J153" s="1497"/>
      <c r="K153" s="1497"/>
      <c r="L153" s="1497"/>
      <c r="M153" s="1497"/>
      <c r="N153" s="1500"/>
      <c r="O153" s="1497"/>
      <c r="P153" s="1497"/>
      <c r="Q153" s="1497"/>
      <c r="R153" s="1497"/>
      <c r="S153" s="1497"/>
      <c r="T153" s="1500"/>
      <c r="U153" s="1497"/>
      <c r="V153" s="1497"/>
      <c r="W153" s="1497"/>
      <c r="X153" s="1497"/>
      <c r="Y153" s="1497"/>
      <c r="Z153" s="1500"/>
      <c r="AA153" s="1497"/>
      <c r="AB153" s="1497"/>
      <c r="AC153" s="1497"/>
      <c r="AD153" s="1497"/>
      <c r="AE153" s="1497"/>
      <c r="AF153" s="1500"/>
      <c r="AG153" s="1497"/>
      <c r="AH153" s="1497"/>
      <c r="AI153" s="1497"/>
      <c r="AJ153" s="1497"/>
      <c r="AK153" s="1499"/>
      <c r="AL153" s="1500"/>
      <c r="AM153" s="1497"/>
      <c r="AN153" s="1497"/>
      <c r="AO153" s="1497"/>
      <c r="AP153" s="1497"/>
      <c r="AQ153" s="1499"/>
      <c r="AR153" s="1501"/>
      <c r="AS153" s="1946">
        <v>73.943272117020271</v>
      </c>
      <c r="AT153" s="1947">
        <v>89.958262126598413</v>
      </c>
      <c r="AU153" s="1947">
        <v>88.346840648874178</v>
      </c>
      <c r="AV153" s="1947">
        <v>134.31708721350697</v>
      </c>
      <c r="AW153" s="1948">
        <v>387.52038404751153</v>
      </c>
      <c r="AX153" s="1501"/>
      <c r="AY153" s="1946">
        <v>89.661065966776761</v>
      </c>
      <c r="AZ153" s="1947">
        <v>110.53993935700743</v>
      </c>
      <c r="BA153" s="1947">
        <v>106.16271204349498</v>
      </c>
      <c r="BB153" s="1947">
        <v>138.36214276952253</v>
      </c>
      <c r="BC153" s="1948">
        <v>445.02863348039892</v>
      </c>
      <c r="BD153" s="1501"/>
      <c r="BE153" s="1946">
        <v>94.543966397136941</v>
      </c>
      <c r="BF153" s="1947">
        <v>102.5291885558491</v>
      </c>
      <c r="BG153" s="1947">
        <v>109.37273175830316</v>
      </c>
      <c r="BH153" s="1947">
        <v>132.80616393692031</v>
      </c>
      <c r="BI153" s="1948">
        <v>438.29292028191998</v>
      </c>
      <c r="BJ153" s="1501"/>
      <c r="BK153" s="1946">
        <f>BK152*BK150</f>
        <v>86.155340903637637</v>
      </c>
      <c r="BL153" s="1947">
        <f t="shared" ref="BL153:BO153" si="180">BL152*BL150</f>
        <v>99.920380963759314</v>
      </c>
      <c r="BM153" s="1947">
        <f t="shared" si="180"/>
        <v>104.45551855069614</v>
      </c>
      <c r="BN153" s="1947">
        <f t="shared" si="180"/>
        <v>130.92493735592242</v>
      </c>
      <c r="BO153" s="1948">
        <f t="shared" si="180"/>
        <v>422.64177081534757</v>
      </c>
      <c r="BP153" s="1501"/>
      <c r="BQ153" s="1946">
        <f>BQ152*BQ150</f>
        <v>89.057197883744607</v>
      </c>
      <c r="BR153" s="1947">
        <f t="shared" ref="BR153:BU153" si="181">BR152*BR150</f>
        <v>112.0424078548932</v>
      </c>
      <c r="BS153" s="1947">
        <f t="shared" si="181"/>
        <v>120.22279215835214</v>
      </c>
      <c r="BT153" s="1947">
        <f t="shared" si="181"/>
        <v>150.44166446828282</v>
      </c>
      <c r="BU153" s="1948">
        <f t="shared" si="181"/>
        <v>470.92730467893847</v>
      </c>
      <c r="BV153" s="1501"/>
      <c r="BW153" s="1946">
        <f>BW152*BW150</f>
        <v>114.73800139038171</v>
      </c>
      <c r="BX153" s="1947">
        <f t="shared" ref="BX153:CA153" si="182">BX152*BX150</f>
        <v>152.2966006309544</v>
      </c>
      <c r="BY153" s="1947">
        <f t="shared" si="182"/>
        <v>160.49747929378475</v>
      </c>
      <c r="BZ153" s="1947">
        <f t="shared" si="182"/>
        <v>197.08454663354013</v>
      </c>
      <c r="CA153" s="1948">
        <f t="shared" si="182"/>
        <v>624.61662794866095</v>
      </c>
      <c r="CB153" s="1501"/>
      <c r="CC153" s="1946">
        <f>CC152*CC150</f>
        <v>129.76705256017624</v>
      </c>
      <c r="CD153" s="1947">
        <f t="shared" ref="CD153:CG153" si="183">CD152*CD150</f>
        <v>171.07910229923755</v>
      </c>
      <c r="CE153" s="1947">
        <f t="shared" si="183"/>
        <v>179.49048060893003</v>
      </c>
      <c r="CF153" s="1947">
        <f t="shared" si="183"/>
        <v>218.57956696727987</v>
      </c>
      <c r="CG153" s="1948">
        <f t="shared" si="183"/>
        <v>698.91620243562363</v>
      </c>
      <c r="CH153" s="1501"/>
      <c r="CI153" s="1946">
        <f>CI152*CI150</f>
        <v>143.85165699707974</v>
      </c>
      <c r="CJ153" s="1947">
        <f t="shared" ref="CJ153:CM153" si="184">CJ152*CJ150</f>
        <v>188.17265845999083</v>
      </c>
      <c r="CK153" s="1947">
        <f t="shared" si="184"/>
        <v>197.74345435162152</v>
      </c>
      <c r="CL153" s="1947">
        <f t="shared" si="184"/>
        <v>239.82910925806283</v>
      </c>
      <c r="CM153" s="1948">
        <f t="shared" si="184"/>
        <v>769.59687906675458</v>
      </c>
      <c r="CN153" s="36"/>
      <c r="CO153" s="36"/>
      <c r="CP153" s="36"/>
      <c r="CQ153" s="36"/>
      <c r="CR153" s="36"/>
      <c r="CS153"/>
      <c r="CT153"/>
      <c r="CU153"/>
      <c r="CV153"/>
      <c r="CW153"/>
      <c r="CX153"/>
    </row>
    <row r="154" spans="1:102" s="108" customFormat="1">
      <c r="A154" s="1949" t="s">
        <v>505</v>
      </c>
      <c r="B154" s="1510"/>
      <c r="C154" s="1514"/>
      <c r="D154" s="1514"/>
      <c r="E154" s="1514"/>
      <c r="F154" s="1514"/>
      <c r="G154" s="1514"/>
      <c r="H154" s="1510"/>
      <c r="I154" s="1514"/>
      <c r="J154" s="1514"/>
      <c r="K154" s="1514"/>
      <c r="L154" s="1514"/>
      <c r="M154" s="1514"/>
      <c r="N154" s="1510"/>
      <c r="O154" s="1514"/>
      <c r="P154" s="1514"/>
      <c r="Q154" s="1514"/>
      <c r="R154" s="1514"/>
      <c r="S154" s="1514"/>
      <c r="T154" s="1510"/>
      <c r="U154" s="1514"/>
      <c r="V154" s="1514"/>
      <c r="W154" s="1514"/>
      <c r="X154" s="1514"/>
      <c r="Y154" s="1514"/>
      <c r="Z154" s="1510"/>
      <c r="AA154" s="1514"/>
      <c r="AB154" s="1514"/>
      <c r="AC154" s="1514"/>
      <c r="AD154" s="1514"/>
      <c r="AE154" s="1514"/>
      <c r="AF154" s="1510"/>
      <c r="AG154" s="1514"/>
      <c r="AH154" s="1514"/>
      <c r="AI154" s="1514"/>
      <c r="AJ154" s="1514"/>
      <c r="AK154" s="1512"/>
      <c r="AL154" s="1510"/>
      <c r="AM154" s="1514"/>
      <c r="AN154" s="1514"/>
      <c r="AO154" s="1514"/>
      <c r="AP154" s="1514"/>
      <c r="AQ154" s="1512"/>
      <c r="AR154" s="1515"/>
      <c r="AS154" s="1950">
        <v>0.4041487927250102</v>
      </c>
      <c r="AT154" s="1951">
        <v>0.47993558266078257</v>
      </c>
      <c r="AU154" s="1951">
        <v>0.29950903802929874</v>
      </c>
      <c r="AV154" s="1951">
        <v>0.80254965772225006</v>
      </c>
      <c r="AW154" s="1952">
        <v>0.52218287715688894</v>
      </c>
      <c r="AX154" s="1515"/>
      <c r="AY154" s="1950">
        <v>0.50471585890692938</v>
      </c>
      <c r="AZ154" s="1951">
        <v>0.50198497733894187</v>
      </c>
      <c r="BA154" s="1951">
        <v>0.65897135511679705</v>
      </c>
      <c r="BB154" s="1951">
        <v>0.3530513429693693</v>
      </c>
      <c r="BC154" s="1952">
        <v>0.50809035083624765</v>
      </c>
      <c r="BD154" s="1515"/>
      <c r="BE154" s="1950">
        <v>0.43682379788894765</v>
      </c>
      <c r="BF154" s="1951">
        <v>0.38213758353011346</v>
      </c>
      <c r="BG154" s="1951">
        <v>1.4586532564840564</v>
      </c>
      <c r="BH154" s="1951">
        <v>1.1344413232478598</v>
      </c>
      <c r="BI154" s="1952">
        <v>0.63330164460768212</v>
      </c>
      <c r="BJ154" s="1515"/>
      <c r="BK154" s="1950">
        <f>(BK153-BE18)/(BK152-BE11)</f>
        <v>0.28130554238529309</v>
      </c>
      <c r="BL154" s="1951">
        <f>(BL153-BF18)/(BL152-BF11)</f>
        <v>0.41716248209467666</v>
      </c>
      <c r="BM154" s="1951">
        <f>(BM153-BG18)/(BM152-BG11)</f>
        <v>0.34374050813134183</v>
      </c>
      <c r="BN154" s="1951">
        <f>(BN153-BH18)/(BN152-BH11)</f>
        <v>0.28006167863522918</v>
      </c>
      <c r="BO154" s="1952">
        <f>(BO153-BI18)/(BO152-BI11)</f>
        <v>0.33013180200332137</v>
      </c>
      <c r="BP154" s="1515"/>
      <c r="BQ154" s="1950">
        <f>(BQ153-BK18)/(BQ152-BK11)</f>
        <v>0.22672572173415731</v>
      </c>
      <c r="BR154" s="1951">
        <f>(BR153-BL18)/(BR152-BL11)</f>
        <v>0.36532384228650228</v>
      </c>
      <c r="BS154" s="1951">
        <f>(BS153-BM18)/(BS152-BM11)</f>
        <v>0.42108710914265385</v>
      </c>
      <c r="BT154" s="1951">
        <f>(BT153-BN18)/(BT152-BN11)</f>
        <v>0.56377953478264442</v>
      </c>
      <c r="BU154" s="1952">
        <f>(BU153-BO18)/(BU152-BO11)</f>
        <v>0.38860545892385223</v>
      </c>
      <c r="BV154" s="1515"/>
      <c r="BW154" s="1950">
        <f>(BW153-BQ18)/(BW152-BQ11)</f>
        <v>0.33774680390298295</v>
      </c>
      <c r="BX154" s="1951">
        <f>(BX153-BR18)/(BX152-BR11)</f>
        <v>0.35700182487210197</v>
      </c>
      <c r="BY154" s="1951">
        <f>(BY153-BS18)/(BY152-BS11)</f>
        <v>0.3571867540820608</v>
      </c>
      <c r="BZ154" s="1951">
        <f>(BZ153-BT18)/(BZ152-BT11)</f>
        <v>0.37580888129171197</v>
      </c>
      <c r="CA154" s="1952">
        <f>(CA153-BU18)/(CA152-BU11)</f>
        <v>0.35876482114586139</v>
      </c>
      <c r="CB154" s="1515"/>
      <c r="CC154" s="1950">
        <f>(CC153-BW18)/(CC152-BW11)</f>
        <v>0.31422005320699292</v>
      </c>
      <c r="CD154" s="1951">
        <f>(CD153-BX18)/(CD152-BX11)</f>
        <v>0.34510460576295748</v>
      </c>
      <c r="CE154" s="1951">
        <f>(CE153-BY18)/(CE152-BY11)</f>
        <v>0.36041675724290867</v>
      </c>
      <c r="CF154" s="1951">
        <f>(CF153-BZ18)/(CF152-BZ11)</f>
        <v>0.39097312888841129</v>
      </c>
      <c r="CG154" s="1952">
        <f>(CG153-CA18)/(CG152-CA11)</f>
        <v>0.35392409198397956</v>
      </c>
      <c r="CH154" s="1515"/>
      <c r="CI154" s="1950">
        <f>(CI153-CC18)/(CI152-CC11)</f>
        <v>0.36894541927139607</v>
      </c>
      <c r="CJ154" s="1951">
        <f>(CJ153-CD18)/(CJ152-CD11)</f>
        <v>0.40312933927304456</v>
      </c>
      <c r="CK154" s="1951">
        <f>(CK153-CE18)/(CK152-CE11)</f>
        <v>0.4023542637070992</v>
      </c>
      <c r="CL154" s="1951">
        <f>(CL153-CF18)/(CL152-CF11)</f>
        <v>0.42518518119734205</v>
      </c>
      <c r="CM154" s="1952">
        <f>(CM153-CG18)/(CM152-CG11)</f>
        <v>0.40177727503264393</v>
      </c>
      <c r="CN154" s="36"/>
      <c r="CO154" s="36"/>
      <c r="CP154" s="36"/>
      <c r="CQ154" s="36"/>
      <c r="CR154" s="36"/>
      <c r="CS154"/>
      <c r="CT154"/>
      <c r="CU154"/>
      <c r="CV154"/>
      <c r="CW154"/>
      <c r="CX154"/>
    </row>
    <row r="156" spans="1:102">
      <c r="BM156" s="226"/>
    </row>
    <row r="157" spans="1:102">
      <c r="AY157" s="213"/>
      <c r="AZ157" s="213"/>
      <c r="BA157" s="213"/>
      <c r="BB157" s="213"/>
      <c r="BM157" s="226"/>
    </row>
    <row r="158" spans="1:102">
      <c r="BU158" s="846"/>
    </row>
    <row r="159" spans="1:102">
      <c r="BM159" s="1819"/>
    </row>
    <row r="160" spans="1:102">
      <c r="BM160" s="1819"/>
    </row>
    <row r="162" spans="64:65">
      <c r="BL162" s="226"/>
      <c r="BM162" s="2252"/>
    </row>
    <row r="164" spans="64:65">
      <c r="BL164" s="226"/>
      <c r="BM164" s="1819"/>
    </row>
    <row r="165" spans="64:65">
      <c r="BM165" s="1819"/>
    </row>
    <row r="167" spans="64:65">
      <c r="BM167" s="213"/>
    </row>
  </sheetData>
  <pageMargins left="0" right="0" top="0" bottom="0" header="0" footer="0"/>
  <pageSetup scale="65" orientation="portrait" r:id="rId1"/>
  <headerFooter alignWithMargins="0"/>
  <ignoredErrors>
    <ignoredError sqref="AK13:BK13 BO13:CA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EB166"/>
  <sheetViews>
    <sheetView zoomScaleNormal="100" workbookViewId="0">
      <pane xSplit="1" ySplit="8" topLeftCell="B9" activePane="bottomRight" state="frozen"/>
      <selection activeCell="A53" sqref="A53"/>
      <selection pane="topRight" activeCell="A53" sqref="A53"/>
      <selection pane="bottomLeft" activeCell="A53" sqref="A53"/>
      <selection pane="bottomRight"/>
    </sheetView>
  </sheetViews>
  <sheetFormatPr defaultRowHeight="11.25" outlineLevelRow="1" outlineLevelCol="1"/>
  <cols>
    <col min="1" max="1" width="29.28515625" style="226" customWidth="1"/>
    <col min="2" max="2" width="0.85546875" style="226" customWidth="1"/>
    <col min="3" max="7" width="6.5703125" style="226" hidden="1" customWidth="1" outlineLevel="1"/>
    <col min="8" max="8" width="0.85546875" style="226" hidden="1" customWidth="1" outlineLevel="1"/>
    <col min="9" max="13" width="6.5703125" style="226" hidden="1" customWidth="1" outlineLevel="1"/>
    <col min="14" max="14" width="0.85546875" style="226" hidden="1" customWidth="1" outlineLevel="1"/>
    <col min="15" max="19" width="6.5703125" style="226" hidden="1" customWidth="1" outlineLevel="1"/>
    <col min="20" max="20" width="0.85546875" style="226" hidden="1" customWidth="1" outlineLevel="1"/>
    <col min="21" max="25" width="6.5703125" style="226" hidden="1" customWidth="1" outlineLevel="1"/>
    <col min="26" max="26" width="0.85546875" style="226" hidden="1" customWidth="1" outlineLevel="1"/>
    <col min="27" max="30" width="6.5703125" style="226" hidden="1" customWidth="1" outlineLevel="1"/>
    <col min="31" max="31" width="6.5703125" style="226" hidden="1" customWidth="1" outlineLevel="1" collapsed="1"/>
    <col min="32" max="32" width="0.85546875" style="226" hidden="1" customWidth="1" outlineLevel="1"/>
    <col min="33" max="36" width="6.5703125" style="226" hidden="1" customWidth="1" outlineLevel="1"/>
    <col min="37" max="37" width="6.5703125" style="226" customWidth="1" collapsed="1"/>
    <col min="38" max="38" width="0.85546875" style="226" customWidth="1"/>
    <col min="39" max="42" width="6.5703125" style="226" hidden="1" customWidth="1" outlineLevel="1"/>
    <col min="43" max="43" width="6.5703125" style="226" customWidth="1" collapsed="1"/>
    <col min="44" max="44" width="0.85546875" style="226" customWidth="1"/>
    <col min="45" max="48" width="6.5703125" style="226" hidden="1" customWidth="1" outlineLevel="1"/>
    <col min="49" max="49" width="6.5703125" style="226" customWidth="1" collapsed="1"/>
    <col min="50" max="50" width="0.85546875" style="226" customWidth="1"/>
    <col min="51" max="54" width="6.5703125" style="226" hidden="1" customWidth="1" outlineLevel="1"/>
    <col min="55" max="55" width="6.5703125" style="226" customWidth="1" collapsed="1"/>
    <col min="56" max="56" width="0.85546875" style="226" customWidth="1"/>
    <col min="57" max="57" width="7.140625" style="226" hidden="1" customWidth="1" outlineLevel="1"/>
    <col min="58" max="60" width="6.5703125" style="226" hidden="1" customWidth="1" outlineLevel="1"/>
    <col min="61" max="61" width="6.5703125" style="226" customWidth="1" collapsed="1"/>
    <col min="62" max="62" width="0.85546875" style="226" customWidth="1"/>
    <col min="63" max="66" width="6.5703125" style="226" hidden="1" customWidth="1" outlineLevel="1"/>
    <col min="67" max="67" width="6.5703125" style="226" customWidth="1" collapsed="1"/>
    <col min="68" max="68" width="0.85546875" style="226" customWidth="1"/>
    <col min="69" max="72" width="6.5703125" style="226" customWidth="1" outlineLevel="1"/>
    <col min="73" max="73" width="6.5703125" style="226" customWidth="1"/>
    <col min="74" max="74" width="0.85546875" style="226" customWidth="1"/>
    <col min="75" max="78" width="6.5703125" style="226" customWidth="1" outlineLevel="1"/>
    <col min="79" max="79" width="6.5703125" style="226" customWidth="1"/>
    <col min="80" max="80" width="0.85546875" style="226" customWidth="1"/>
    <col min="81" max="81" width="7.140625" style="226" hidden="1" customWidth="1" outlineLevel="1"/>
    <col min="82" max="84" width="6.5703125" style="226" hidden="1" customWidth="1" outlineLevel="1"/>
    <col min="85" max="85" width="6.5703125" style="226" customWidth="1" collapsed="1"/>
    <col min="86" max="86" width="0.85546875" style="226" customWidth="1"/>
    <col min="87" max="90" width="6.5703125" style="226" hidden="1" customWidth="1" outlineLevel="1"/>
    <col min="91" max="91" width="6.5703125" style="226" customWidth="1" collapsed="1"/>
    <col min="92" max="16384" width="9.140625" style="226"/>
  </cols>
  <sheetData>
    <row r="1" spans="1:91">
      <c r="O1" s="209"/>
      <c r="P1" s="209"/>
      <c r="Q1" s="209"/>
      <c r="R1" s="209"/>
      <c r="S1" s="831"/>
      <c r="Y1" s="1422"/>
      <c r="Z1" s="1422"/>
      <c r="AA1" s="1422"/>
      <c r="AB1" s="1422"/>
      <c r="AC1" s="1422"/>
      <c r="AD1" s="1422"/>
      <c r="AE1" s="1422"/>
      <c r="AF1" s="1422"/>
      <c r="AG1" s="1422"/>
      <c r="AH1" s="1422"/>
      <c r="AI1" s="1422"/>
      <c r="AJ1" s="1422"/>
      <c r="AK1" s="1422"/>
      <c r="AL1" s="1422"/>
      <c r="AM1" s="1422"/>
      <c r="AN1" s="1422"/>
      <c r="AO1" s="1422"/>
      <c r="AP1" s="1422"/>
      <c r="AQ1" s="353"/>
      <c r="AR1" s="353"/>
      <c r="AS1" s="353"/>
      <c r="AT1" s="353"/>
      <c r="AU1" s="353"/>
      <c r="AV1" s="353"/>
      <c r="AW1" s="353"/>
      <c r="AX1" s="1658"/>
      <c r="AY1" s="1659"/>
      <c r="AZ1" s="440"/>
      <c r="BA1" s="1833"/>
      <c r="BB1" s="1726"/>
      <c r="BC1" s="1659"/>
      <c r="BD1" s="1953"/>
      <c r="BE1" s="1659"/>
      <c r="BF1" s="1659"/>
      <c r="BG1" s="1659"/>
      <c r="BH1" s="1659"/>
      <c r="BI1" s="1659"/>
      <c r="BJ1" s="1660"/>
      <c r="BK1" s="1659"/>
      <c r="BL1" s="1659"/>
      <c r="BM1" s="1659"/>
      <c r="BN1" s="1659"/>
      <c r="BO1" s="2284"/>
      <c r="BP1" s="1660"/>
      <c r="BQ1" s="1659"/>
      <c r="BR1" s="1659"/>
      <c r="BS1" s="1659"/>
      <c r="BT1" s="1659"/>
      <c r="BU1" s="1659"/>
      <c r="BV1" s="1660"/>
      <c r="BW1" s="1659"/>
      <c r="BX1" s="1659"/>
      <c r="BY1" s="1659"/>
      <c r="BZ1" s="1659"/>
      <c r="CA1" s="1659"/>
      <c r="CB1" s="1660"/>
      <c r="CC1" s="1659"/>
      <c r="CD1" s="1659"/>
      <c r="CE1" s="1659"/>
      <c r="CF1" s="1659"/>
      <c r="CG1" s="1659"/>
      <c r="CH1" s="1660"/>
      <c r="CI1" s="1659"/>
      <c r="CJ1" s="1659"/>
      <c r="CK1" s="1659"/>
      <c r="CL1" s="1659"/>
      <c r="CM1" s="1659"/>
    </row>
    <row r="2" spans="1:91" s="353" customFormat="1">
      <c r="A2" s="1555" t="s">
        <v>172</v>
      </c>
      <c r="O2" s="907"/>
      <c r="P2" s="907"/>
      <c r="Q2" s="907"/>
      <c r="R2" s="907"/>
      <c r="S2" s="907"/>
      <c r="AM2" s="906"/>
      <c r="AY2" s="1656"/>
      <c r="AZ2" s="440"/>
      <c r="BA2" s="1833"/>
      <c r="BB2" s="1656"/>
      <c r="BC2" s="1781"/>
      <c r="BD2" s="1656"/>
      <c r="BE2" s="1780"/>
      <c r="BF2" s="1656"/>
      <c r="BG2" s="1656"/>
      <c r="BH2" s="1656"/>
      <c r="BI2" s="1656"/>
      <c r="BJ2" s="1656"/>
      <c r="BK2" s="1656"/>
      <c r="BL2" s="1656"/>
      <c r="BM2" s="1656"/>
      <c r="BN2" s="1656"/>
      <c r="BO2" s="1656"/>
      <c r="BP2" s="1656"/>
      <c r="BQ2" s="1656"/>
      <c r="BR2" s="1656"/>
      <c r="BS2" s="1656"/>
      <c r="BT2" s="1656"/>
      <c r="BU2" s="1656"/>
      <c r="BV2" s="1656"/>
      <c r="BW2" s="1656"/>
      <c r="BX2" s="1656"/>
      <c r="BY2" s="1656"/>
      <c r="BZ2" s="1656"/>
      <c r="CA2" s="1656"/>
      <c r="CB2" s="1656"/>
      <c r="CC2" s="1656"/>
      <c r="CD2" s="1656"/>
      <c r="CE2" s="1656"/>
      <c r="CF2" s="1656"/>
      <c r="CG2" s="1656"/>
      <c r="CH2" s="1656"/>
      <c r="CI2" s="1656"/>
      <c r="CJ2" s="1656"/>
      <c r="CK2" s="1656"/>
      <c r="CL2" s="1656"/>
      <c r="CM2" s="1656"/>
    </row>
    <row r="3" spans="1:91" s="353" customFormat="1">
      <c r="A3" s="1556" t="s">
        <v>173</v>
      </c>
      <c r="B3" s="423"/>
      <c r="C3" s="423"/>
      <c r="M3" s="847"/>
      <c r="S3" s="453"/>
      <c r="AY3" s="1648"/>
      <c r="AZ3" s="1648"/>
      <c r="BA3" s="1648"/>
      <c r="BB3" s="1648"/>
      <c r="BC3" s="1648"/>
      <c r="BD3" s="1648"/>
      <c r="BE3" s="1648"/>
      <c r="BF3" s="1648"/>
      <c r="BG3" s="1648"/>
      <c r="BH3" s="1648"/>
      <c r="BI3" s="1648"/>
      <c r="BJ3" s="1648"/>
      <c r="BK3" s="1648"/>
      <c r="BL3" s="1648"/>
      <c r="BM3" s="1648"/>
      <c r="BN3" s="1648"/>
      <c r="BO3" s="1648"/>
      <c r="BP3" s="1648"/>
      <c r="BQ3" s="1648"/>
      <c r="BR3" s="1648"/>
      <c r="BS3" s="1648"/>
      <c r="BT3" s="1648"/>
      <c r="BU3" s="1648"/>
      <c r="BV3" s="1648"/>
      <c r="BW3" s="1648"/>
      <c r="BX3" s="1648"/>
      <c r="BY3" s="1648"/>
      <c r="BZ3" s="1648"/>
      <c r="CA3" s="1648"/>
      <c r="CB3" s="1648"/>
      <c r="CC3" s="1648"/>
      <c r="CD3" s="1648"/>
      <c r="CE3" s="1648"/>
      <c r="CF3" s="1648"/>
      <c r="CG3" s="1648"/>
      <c r="CH3" s="1648"/>
      <c r="CI3" s="1648"/>
      <c r="CJ3" s="1648"/>
      <c r="CK3" s="1648"/>
      <c r="CL3" s="1648"/>
      <c r="CM3" s="1648"/>
    </row>
    <row r="4" spans="1:91" s="353" customFormat="1">
      <c r="A4" s="1557" t="s">
        <v>389</v>
      </c>
      <c r="D4" s="342"/>
      <c r="E4" s="342"/>
      <c r="F4" s="342"/>
      <c r="G4" s="342"/>
      <c r="H4" s="342"/>
      <c r="I4" s="908"/>
      <c r="J4" s="908"/>
      <c r="K4" s="908"/>
      <c r="L4" s="908"/>
      <c r="M4" s="909"/>
      <c r="N4" s="342"/>
      <c r="O4" s="908"/>
      <c r="P4" s="908"/>
      <c r="Q4" s="908"/>
      <c r="R4" s="908"/>
      <c r="S4" s="910"/>
      <c r="T4" s="342"/>
      <c r="U4" s="908"/>
      <c r="V4" s="908"/>
      <c r="W4" s="908"/>
      <c r="X4" s="908"/>
      <c r="Y4" s="908"/>
      <c r="Z4" s="342"/>
      <c r="AA4" s="908"/>
      <c r="AB4" s="908"/>
      <c r="AC4" s="908"/>
      <c r="AD4" s="908"/>
      <c r="AE4" s="910"/>
      <c r="AF4" s="342"/>
      <c r="AG4" s="908"/>
      <c r="AH4" s="908"/>
      <c r="AI4" s="908"/>
      <c r="AJ4" s="908"/>
      <c r="AK4" s="910"/>
      <c r="AL4" s="342"/>
      <c r="AM4" s="342"/>
      <c r="AN4" s="342"/>
      <c r="AO4" s="342"/>
      <c r="AP4" s="342"/>
      <c r="AQ4" s="342"/>
      <c r="AR4" s="342"/>
      <c r="AS4" s="908"/>
      <c r="AT4" s="908"/>
      <c r="AU4" s="908"/>
      <c r="AV4" s="908"/>
      <c r="AW4" s="908"/>
      <c r="AX4" s="342"/>
      <c r="AY4" s="1661"/>
      <c r="AZ4" s="1676"/>
      <c r="BA4" s="1661"/>
      <c r="BB4" s="1675"/>
      <c r="BC4" s="1675"/>
      <c r="BD4" s="1661"/>
      <c r="BE4" s="1661"/>
      <c r="BF4" s="1661"/>
      <c r="BG4" s="1661"/>
      <c r="BH4" s="1661"/>
      <c r="BI4" s="1661"/>
      <c r="BJ4" s="1661"/>
      <c r="BK4" s="1661"/>
      <c r="BL4" s="1661"/>
      <c r="BM4" s="1661"/>
      <c r="BN4" s="1661"/>
      <c r="BO4" s="1661"/>
      <c r="BP4" s="1661"/>
      <c r="BQ4" s="1661"/>
      <c r="BR4" s="1661"/>
      <c r="BS4" s="1661"/>
      <c r="BT4" s="1661"/>
      <c r="BU4" s="1661"/>
      <c r="BV4" s="1661"/>
      <c r="BW4" s="1661"/>
      <c r="BX4" s="1661"/>
      <c r="BY4" s="1661"/>
      <c r="BZ4" s="1661"/>
      <c r="CA4" s="1661"/>
      <c r="CB4" s="1661"/>
      <c r="CC4" s="1661"/>
      <c r="CD4" s="1661"/>
      <c r="CE4" s="1661"/>
      <c r="CF4" s="1661"/>
      <c r="CG4" s="1661"/>
      <c r="CH4" s="1661"/>
      <c r="CI4" s="1661"/>
      <c r="CJ4" s="1661"/>
      <c r="CK4" s="1661"/>
      <c r="CL4" s="1661"/>
      <c r="CM4" s="1661"/>
    </row>
    <row r="5" spans="1:91" s="353" customFormat="1">
      <c r="A5" s="1284" t="s">
        <v>83</v>
      </c>
      <c r="I5" s="803"/>
      <c r="J5" s="803"/>
      <c r="K5" s="803"/>
      <c r="L5" s="803"/>
      <c r="M5" s="911"/>
      <c r="O5" s="803"/>
      <c r="P5" s="803"/>
      <c r="Q5" s="803"/>
      <c r="R5" s="803"/>
      <c r="S5" s="907"/>
      <c r="U5" s="803"/>
      <c r="V5" s="803"/>
      <c r="W5" s="803"/>
      <c r="X5" s="803"/>
      <c r="Y5" s="803"/>
      <c r="AA5" s="803"/>
      <c r="AB5" s="803"/>
      <c r="AC5" s="803"/>
      <c r="AD5" s="803"/>
      <c r="AE5" s="907"/>
      <c r="AG5" s="803"/>
      <c r="AH5" s="803"/>
      <c r="AI5" s="803"/>
      <c r="AJ5" s="803"/>
      <c r="AK5" s="907"/>
      <c r="AY5" s="1657"/>
      <c r="AZ5" s="453"/>
      <c r="BA5" s="1657"/>
      <c r="BB5" s="1657"/>
      <c r="BC5" s="1657"/>
      <c r="BD5" s="1657"/>
      <c r="BE5" s="1657"/>
      <c r="BF5" s="1657"/>
      <c r="BG5" s="1657"/>
      <c r="BH5" s="1657"/>
      <c r="BI5" s="1657"/>
      <c r="BJ5" s="1657"/>
      <c r="BK5" s="1657"/>
      <c r="BL5" s="1657"/>
      <c r="BM5" s="1657"/>
      <c r="BN5" s="1657"/>
      <c r="BO5" s="1657"/>
      <c r="BP5" s="1657"/>
      <c r="BQ5" s="1657"/>
      <c r="BR5" s="1657"/>
      <c r="BS5" s="1657"/>
      <c r="BT5" s="1657"/>
      <c r="BU5" s="1657"/>
      <c r="BV5" s="1657"/>
      <c r="BW5" s="1657"/>
      <c r="BX5" s="1657"/>
      <c r="BY5" s="1657"/>
      <c r="BZ5" s="1657"/>
      <c r="CA5" s="1657"/>
      <c r="CB5" s="1657"/>
      <c r="CC5" s="1657"/>
      <c r="CD5" s="1657"/>
      <c r="CE5" s="1657"/>
      <c r="CF5" s="1657"/>
      <c r="CG5" s="1657"/>
      <c r="CH5" s="1657"/>
      <c r="CI5" s="1657"/>
      <c r="CJ5" s="1657"/>
      <c r="CK5" s="1657"/>
      <c r="CL5" s="1657"/>
      <c r="CM5" s="1657"/>
    </row>
    <row r="6" spans="1:91" s="227" customFormat="1" hidden="1" outlineLevel="1">
      <c r="A6" s="912"/>
      <c r="B6" s="913"/>
      <c r="C6" s="914" t="s">
        <v>422</v>
      </c>
      <c r="D6" s="914" t="s">
        <v>423</v>
      </c>
      <c r="E6" s="914" t="s">
        <v>424</v>
      </c>
      <c r="F6" s="914" t="s">
        <v>425</v>
      </c>
      <c r="G6" s="915" t="s">
        <v>84</v>
      </c>
      <c r="H6" s="892"/>
      <c r="I6" s="916" t="s">
        <v>403</v>
      </c>
      <c r="J6" s="916" t="s">
        <v>404</v>
      </c>
      <c r="K6" s="916" t="s">
        <v>405</v>
      </c>
      <c r="L6" s="916" t="s">
        <v>406</v>
      </c>
      <c r="M6" s="915" t="s">
        <v>85</v>
      </c>
      <c r="N6" s="892"/>
      <c r="O6" s="915" t="s">
        <v>86</v>
      </c>
      <c r="P6" s="915" t="s">
        <v>87</v>
      </c>
      <c r="Q6" s="915" t="s">
        <v>88</v>
      </c>
      <c r="R6" s="915" t="s">
        <v>89</v>
      </c>
      <c r="S6" s="915" t="s">
        <v>90</v>
      </c>
      <c r="T6" s="892"/>
      <c r="U6" s="915" t="s">
        <v>91</v>
      </c>
      <c r="V6" s="915" t="s">
        <v>92</v>
      </c>
      <c r="W6" s="915" t="s">
        <v>93</v>
      </c>
      <c r="X6" s="915" t="s">
        <v>94</v>
      </c>
      <c r="Y6" s="915" t="s">
        <v>95</v>
      </c>
      <c r="Z6" s="892"/>
      <c r="AA6" s="915" t="s">
        <v>96</v>
      </c>
      <c r="AB6" s="915" t="s">
        <v>97</v>
      </c>
      <c r="AC6" s="915" t="s">
        <v>98</v>
      </c>
      <c r="AD6" s="915" t="s">
        <v>99</v>
      </c>
      <c r="AE6" s="915" t="s">
        <v>100</v>
      </c>
      <c r="AF6" s="892"/>
      <c r="AG6" s="915" t="s">
        <v>101</v>
      </c>
      <c r="AH6" s="915" t="s">
        <v>102</v>
      </c>
      <c r="AI6" s="915" t="s">
        <v>103</v>
      </c>
      <c r="AJ6" s="915" t="s">
        <v>104</v>
      </c>
      <c r="AK6" s="915" t="s">
        <v>105</v>
      </c>
      <c r="AL6" s="892"/>
      <c r="AM6" s="915" t="s">
        <v>106</v>
      </c>
      <c r="AN6" s="915" t="s">
        <v>107</v>
      </c>
      <c r="AO6" s="915" t="s">
        <v>108</v>
      </c>
      <c r="AP6" s="915" t="s">
        <v>109</v>
      </c>
      <c r="AQ6" s="915" t="s">
        <v>110</v>
      </c>
      <c r="AR6" s="892"/>
      <c r="AS6" s="915" t="s">
        <v>111</v>
      </c>
      <c r="AT6" s="915" t="s">
        <v>112</v>
      </c>
      <c r="AU6" s="915" t="s">
        <v>113</v>
      </c>
      <c r="AV6" s="915" t="s">
        <v>114</v>
      </c>
      <c r="AW6" s="915" t="s">
        <v>115</v>
      </c>
      <c r="AX6" s="892"/>
      <c r="AY6" s="915" t="s">
        <v>445</v>
      </c>
      <c r="AZ6" s="915" t="s">
        <v>446</v>
      </c>
      <c r="BA6" s="915" t="s">
        <v>447</v>
      </c>
      <c r="BB6" s="915" t="s">
        <v>448</v>
      </c>
      <c r="BC6" s="915" t="s">
        <v>449</v>
      </c>
      <c r="BD6" s="892"/>
      <c r="BE6" s="915" t="s">
        <v>137</v>
      </c>
      <c r="BF6" s="915" t="s">
        <v>138</v>
      </c>
      <c r="BG6" s="915" t="s">
        <v>139</v>
      </c>
      <c r="BH6" s="915" t="s">
        <v>140</v>
      </c>
      <c r="BI6" s="915" t="s">
        <v>141</v>
      </c>
      <c r="BJ6" s="892"/>
      <c r="BK6" s="915" t="s">
        <v>142</v>
      </c>
      <c r="BL6" s="915" t="s">
        <v>143</v>
      </c>
      <c r="BM6" s="915" t="s">
        <v>144</v>
      </c>
      <c r="BN6" s="915" t="s">
        <v>145</v>
      </c>
      <c r="BO6" s="915" t="s">
        <v>146</v>
      </c>
      <c r="BP6" s="892"/>
      <c r="BQ6" s="915" t="s">
        <v>58</v>
      </c>
      <c r="BR6" s="915" t="s">
        <v>59</v>
      </c>
      <c r="BS6" s="915" t="s">
        <v>60</v>
      </c>
      <c r="BT6" s="915" t="s">
        <v>61</v>
      </c>
      <c r="BU6" s="915" t="s">
        <v>62</v>
      </c>
      <c r="BV6" s="892"/>
      <c r="BW6" s="915" t="s">
        <v>518</v>
      </c>
      <c r="BX6" s="915" t="s">
        <v>519</v>
      </c>
      <c r="BY6" s="915" t="s">
        <v>520</v>
      </c>
      <c r="BZ6" s="915" t="s">
        <v>521</v>
      </c>
      <c r="CA6" s="915" t="s">
        <v>522</v>
      </c>
      <c r="CB6" s="892"/>
      <c r="CC6" s="915" t="s">
        <v>676</v>
      </c>
      <c r="CD6" s="915" t="s">
        <v>677</v>
      </c>
      <c r="CE6" s="915" t="s">
        <v>678</v>
      </c>
      <c r="CF6" s="915" t="s">
        <v>679</v>
      </c>
      <c r="CG6" s="915" t="s">
        <v>680</v>
      </c>
      <c r="CH6" s="892"/>
      <c r="CI6" s="915" t="s">
        <v>681</v>
      </c>
      <c r="CJ6" s="915" t="s">
        <v>682</v>
      </c>
      <c r="CK6" s="915" t="s">
        <v>683</v>
      </c>
      <c r="CL6" s="915" t="s">
        <v>684</v>
      </c>
      <c r="CM6" s="915" t="s">
        <v>685</v>
      </c>
    </row>
    <row r="7" spans="1:91" ht="13.5" customHeight="1" collapsed="1">
      <c r="A7" s="917"/>
      <c r="B7" s="918"/>
      <c r="C7" s="260">
        <v>2007</v>
      </c>
      <c r="D7" s="261"/>
      <c r="E7" s="261"/>
      <c r="F7" s="261"/>
      <c r="G7" s="262">
        <v>2007</v>
      </c>
      <c r="H7" s="919"/>
      <c r="I7" s="260">
        <f>C7+1</f>
        <v>2008</v>
      </c>
      <c r="J7" s="261"/>
      <c r="K7" s="261"/>
      <c r="L7" s="261"/>
      <c r="M7" s="262">
        <f>G7+1</f>
        <v>2008</v>
      </c>
      <c r="N7" s="264"/>
      <c r="O7" s="260">
        <f>I7+1</f>
        <v>2009</v>
      </c>
      <c r="P7" s="261"/>
      <c r="Q7" s="261"/>
      <c r="R7" s="261"/>
      <c r="S7" s="262">
        <f>M7+1</f>
        <v>2009</v>
      </c>
      <c r="T7" s="264"/>
      <c r="U7" s="260">
        <f>O7+1</f>
        <v>2010</v>
      </c>
      <c r="V7" s="261"/>
      <c r="W7" s="261"/>
      <c r="X7" s="261"/>
      <c r="Y7" s="262">
        <f>S7+1</f>
        <v>2010</v>
      </c>
      <c r="Z7" s="264"/>
      <c r="AA7" s="260">
        <f>U7+1</f>
        <v>2011</v>
      </c>
      <c r="AB7" s="261"/>
      <c r="AC7" s="261"/>
      <c r="AD7" s="261"/>
      <c r="AE7" s="262">
        <f>Y7+1</f>
        <v>2011</v>
      </c>
      <c r="AF7" s="264"/>
      <c r="AG7" s="260">
        <f>AA7+1</f>
        <v>2012</v>
      </c>
      <c r="AH7" s="261"/>
      <c r="AI7" s="261"/>
      <c r="AJ7" s="261"/>
      <c r="AK7" s="262">
        <f>AE7+1</f>
        <v>2012</v>
      </c>
      <c r="AL7" s="264"/>
      <c r="AM7" s="260">
        <f>AG7+1</f>
        <v>2013</v>
      </c>
      <c r="AN7" s="261"/>
      <c r="AO7" s="261"/>
      <c r="AP7" s="261"/>
      <c r="AQ7" s="262">
        <f>AK7+1</f>
        <v>2013</v>
      </c>
      <c r="AR7" s="264"/>
      <c r="AS7" s="876">
        <f>AM7+1</f>
        <v>2014</v>
      </c>
      <c r="AT7" s="877"/>
      <c r="AU7" s="877"/>
      <c r="AV7" s="877"/>
      <c r="AW7" s="878">
        <f>AQ7+1</f>
        <v>2014</v>
      </c>
      <c r="AX7" s="264"/>
      <c r="AY7" s="876">
        <f>AS7+1</f>
        <v>2015</v>
      </c>
      <c r="AZ7" s="877"/>
      <c r="BA7" s="877"/>
      <c r="BB7" s="877"/>
      <c r="BC7" s="878">
        <f>AW7+1</f>
        <v>2015</v>
      </c>
      <c r="BD7" s="264"/>
      <c r="BE7" s="876">
        <f>AY7+1</f>
        <v>2016</v>
      </c>
      <c r="BF7" s="877"/>
      <c r="BG7" s="877"/>
      <c r="BH7" s="877"/>
      <c r="BI7" s="878">
        <f>BC7+1</f>
        <v>2016</v>
      </c>
      <c r="BJ7" s="264"/>
      <c r="BK7" s="260">
        <f>BE7+1</f>
        <v>2017</v>
      </c>
      <c r="BL7" s="261"/>
      <c r="BM7" s="261"/>
      <c r="BN7" s="261"/>
      <c r="BO7" s="262">
        <f>BI7+1</f>
        <v>2017</v>
      </c>
      <c r="BP7" s="264"/>
      <c r="BQ7" s="265">
        <f>BK7+1</f>
        <v>2018</v>
      </c>
      <c r="BR7" s="261"/>
      <c r="BS7" s="261"/>
      <c r="BT7" s="261"/>
      <c r="BU7" s="266">
        <f>BO7+1</f>
        <v>2018</v>
      </c>
      <c r="BV7" s="264"/>
      <c r="BW7" s="265">
        <f>BQ7+1</f>
        <v>2019</v>
      </c>
      <c r="BX7" s="261"/>
      <c r="BY7" s="261"/>
      <c r="BZ7" s="261"/>
      <c r="CA7" s="266">
        <f>BU7+1</f>
        <v>2019</v>
      </c>
      <c r="CB7" s="264"/>
      <c r="CC7" s="265">
        <f>BW7+1</f>
        <v>2020</v>
      </c>
      <c r="CD7" s="261"/>
      <c r="CE7" s="261"/>
      <c r="CF7" s="261"/>
      <c r="CG7" s="266">
        <f>CA7+1</f>
        <v>2020</v>
      </c>
      <c r="CH7" s="264"/>
      <c r="CI7" s="265">
        <f>CC7+1</f>
        <v>2021</v>
      </c>
      <c r="CJ7" s="261"/>
      <c r="CK7" s="261"/>
      <c r="CL7" s="261"/>
      <c r="CM7" s="266">
        <f>CG7+1</f>
        <v>2021</v>
      </c>
    </row>
    <row r="8" spans="1:91" s="227" customFormat="1">
      <c r="A8" s="920"/>
      <c r="B8" s="918"/>
      <c r="C8" s="921">
        <v>39172</v>
      </c>
      <c r="D8" s="922">
        <f>C8+FLOOR(365/4,1)</f>
        <v>39263</v>
      </c>
      <c r="E8" s="922">
        <f>D8+FLOOR(365/4,1)+1</f>
        <v>39355</v>
      </c>
      <c r="F8" s="922">
        <f>E8+FLOOR(365/4,1)+1</f>
        <v>39447</v>
      </c>
      <c r="G8" s="923"/>
      <c r="H8" s="924"/>
      <c r="I8" s="921">
        <f>C8+366</f>
        <v>39538</v>
      </c>
      <c r="J8" s="922">
        <f>I8+FLOOR(365/4,1)</f>
        <v>39629</v>
      </c>
      <c r="K8" s="922">
        <f>J8+FLOOR(365/4,1)+1</f>
        <v>39721</v>
      </c>
      <c r="L8" s="922">
        <f>K8+FLOOR(365/4,1)+1</f>
        <v>39813</v>
      </c>
      <c r="M8" s="923"/>
      <c r="N8" s="925"/>
      <c r="O8" s="921">
        <f>I8+365</f>
        <v>39903</v>
      </c>
      <c r="P8" s="922">
        <f>O8+FLOOR(365/4,1)</f>
        <v>39994</v>
      </c>
      <c r="Q8" s="922">
        <f>P8+FLOOR(365/4,1)+1</f>
        <v>40086</v>
      </c>
      <c r="R8" s="922">
        <f>Q8+FLOOR(365/4,1)+1</f>
        <v>40178</v>
      </c>
      <c r="S8" s="923"/>
      <c r="T8" s="925"/>
      <c r="U8" s="921">
        <f>O8+365</f>
        <v>40268</v>
      </c>
      <c r="V8" s="922">
        <f>U8+FLOOR(365/4,1)</f>
        <v>40359</v>
      </c>
      <c r="W8" s="922">
        <f>V8+FLOOR(365/4,1)+1</f>
        <v>40451</v>
      </c>
      <c r="X8" s="922">
        <f>W8+FLOOR(365/4,1)+1</f>
        <v>40543</v>
      </c>
      <c r="Y8" s="923"/>
      <c r="Z8" s="925"/>
      <c r="AA8" s="921">
        <f>U8+365</f>
        <v>40633</v>
      </c>
      <c r="AB8" s="922">
        <f>AA8+FLOOR(365/4,1)</f>
        <v>40724</v>
      </c>
      <c r="AC8" s="922">
        <f>AB8+FLOOR(365/4,1)+1</f>
        <v>40816</v>
      </c>
      <c r="AD8" s="922">
        <f>AC8+FLOOR(365/4,1)+1</f>
        <v>40908</v>
      </c>
      <c r="AE8" s="923"/>
      <c r="AF8" s="925"/>
      <c r="AG8" s="921">
        <f>AA8+366</f>
        <v>40999</v>
      </c>
      <c r="AH8" s="922">
        <f>AG8+FLOOR(365/4,1)</f>
        <v>41090</v>
      </c>
      <c r="AI8" s="922">
        <f>AH8+FLOOR(365/4,1)+1</f>
        <v>41182</v>
      </c>
      <c r="AJ8" s="922">
        <f>AI8+FLOOR(365/4,1)+1</f>
        <v>41274</v>
      </c>
      <c r="AK8" s="923"/>
      <c r="AL8" s="925"/>
      <c r="AM8" s="921">
        <f>AG8+365</f>
        <v>41364</v>
      </c>
      <c r="AN8" s="922">
        <f>AM8+FLOOR(365/4,1)</f>
        <v>41455</v>
      </c>
      <c r="AO8" s="922">
        <f>AN8+FLOOR(365/4,1)+1</f>
        <v>41547</v>
      </c>
      <c r="AP8" s="922">
        <f>AO8+FLOOR(365/4,1)+1</f>
        <v>41639</v>
      </c>
      <c r="AQ8" s="923"/>
      <c r="AR8" s="925"/>
      <c r="AS8" s="1442">
        <f>AM8+365</f>
        <v>41729</v>
      </c>
      <c r="AT8" s="1443">
        <f>AS8+FLOOR(365/4,1)</f>
        <v>41820</v>
      </c>
      <c r="AU8" s="1443">
        <f>AT8+FLOOR(365/4,1)+1</f>
        <v>41912</v>
      </c>
      <c r="AV8" s="1443">
        <f>AU8+FLOOR(365/4,1)+1</f>
        <v>42004</v>
      </c>
      <c r="AW8" s="1444"/>
      <c r="AX8" s="925"/>
      <c r="AY8" s="1442">
        <f>AS8+365</f>
        <v>42094</v>
      </c>
      <c r="AZ8" s="1443">
        <f>AY8+FLOOR(365/4,1)</f>
        <v>42185</v>
      </c>
      <c r="BA8" s="1443">
        <f>AZ8+FLOOR(365/4,1)+1</f>
        <v>42277</v>
      </c>
      <c r="BB8" s="1443">
        <f>BA8+FLOOR(365/4,1)+1</f>
        <v>42369</v>
      </c>
      <c r="BC8" s="1444"/>
      <c r="BD8" s="925"/>
      <c r="BE8" s="1442">
        <f>AY8+365+1</f>
        <v>42460</v>
      </c>
      <c r="BF8" s="1443">
        <f>BE8+FLOOR(365/4,1)</f>
        <v>42551</v>
      </c>
      <c r="BG8" s="1443">
        <f>BF8+FLOOR(365/4,1)+1</f>
        <v>42643</v>
      </c>
      <c r="BH8" s="1443">
        <f>BG8+FLOOR(365/4,1)+1</f>
        <v>42735</v>
      </c>
      <c r="BI8" s="1444"/>
      <c r="BJ8" s="925"/>
      <c r="BK8" s="1442">
        <f>BE8+365</f>
        <v>42825</v>
      </c>
      <c r="BL8" s="1443">
        <f>BK8+FLOOR(365/4,1)</f>
        <v>42916</v>
      </c>
      <c r="BM8" s="1443">
        <f>BL8+FLOOR(365/4,1)+1</f>
        <v>43008</v>
      </c>
      <c r="BN8" s="1443">
        <f>BM8+FLOOR(365/4,1)+1</f>
        <v>43100</v>
      </c>
      <c r="BO8" s="923"/>
      <c r="BP8" s="925"/>
      <c r="BQ8" s="928">
        <f>BK8+365</f>
        <v>43190</v>
      </c>
      <c r="BR8" s="926">
        <f>BQ8+FLOOR(365/4,1)</f>
        <v>43281</v>
      </c>
      <c r="BS8" s="926">
        <f>BR8+FLOOR(365/4,1)+1</f>
        <v>43373</v>
      </c>
      <c r="BT8" s="927">
        <f>BS8+FLOOR(365/4,1)+1</f>
        <v>43465</v>
      </c>
      <c r="BU8" s="923"/>
      <c r="BV8" s="925"/>
      <c r="BW8" s="928">
        <f>BQ8+365</f>
        <v>43555</v>
      </c>
      <c r="BX8" s="926">
        <f>BW8+FLOOR(365/4,1)</f>
        <v>43646</v>
      </c>
      <c r="BY8" s="926">
        <f>BX8+FLOOR(365/4,1)+1</f>
        <v>43738</v>
      </c>
      <c r="BZ8" s="927">
        <f>BY8+FLOOR(365/4,1)+1</f>
        <v>43830</v>
      </c>
      <c r="CA8" s="923"/>
      <c r="CB8" s="925"/>
      <c r="CC8" s="928">
        <f>BW8+365</f>
        <v>43920</v>
      </c>
      <c r="CD8" s="926">
        <f>CC8+FLOOR(365/4,1)</f>
        <v>44011</v>
      </c>
      <c r="CE8" s="926">
        <f>CD8+FLOOR(365/4,1)+1</f>
        <v>44103</v>
      </c>
      <c r="CF8" s="927">
        <f>CE8+FLOOR(365/4,1)+1</f>
        <v>44195</v>
      </c>
      <c r="CG8" s="923"/>
      <c r="CH8" s="925"/>
      <c r="CI8" s="928">
        <f>CC8+365</f>
        <v>44285</v>
      </c>
      <c r="CJ8" s="926">
        <f>CI8+FLOOR(365/4,1)</f>
        <v>44376</v>
      </c>
      <c r="CK8" s="926">
        <f>CJ8+FLOOR(365/4,1)+1</f>
        <v>44468</v>
      </c>
      <c r="CL8" s="927">
        <f>CK8+FLOOR(365/4,1)+1</f>
        <v>44560</v>
      </c>
      <c r="CM8" s="923"/>
    </row>
    <row r="9" spans="1:91" s="830" customFormat="1">
      <c r="A9" s="994" t="s">
        <v>523</v>
      </c>
      <c r="B9" s="929"/>
      <c r="C9" s="930">
        <f>IS!C9</f>
        <v>299.53800000000001</v>
      </c>
      <c r="D9" s="931">
        <f>IS!D9</f>
        <v>326.28399999999999</v>
      </c>
      <c r="E9" s="931">
        <f>IS!E9</f>
        <v>319.34100000000001</v>
      </c>
      <c r="F9" s="931">
        <f>IS!F9</f>
        <v>379.32100000000003</v>
      </c>
      <c r="G9" s="932">
        <f>IS!G9</f>
        <v>1324.4839999999999</v>
      </c>
      <c r="H9" s="929"/>
      <c r="I9" s="930">
        <f>IS!I9</f>
        <v>180.089</v>
      </c>
      <c r="J9" s="931">
        <f>IS!J9</f>
        <v>203.91300000000001</v>
      </c>
      <c r="K9" s="931">
        <f>IS!K9</f>
        <v>196.697</v>
      </c>
      <c r="L9" s="931">
        <f>IS!L9</f>
        <v>193.90299999999999</v>
      </c>
      <c r="M9" s="932">
        <f>IS!M9</f>
        <v>774.60200000000009</v>
      </c>
      <c r="N9" s="929"/>
      <c r="O9" s="968">
        <f>177.264/(177.264+184.85)*(538.666-179.132)</f>
        <v>176.00102447295606</v>
      </c>
      <c r="P9" s="969">
        <f>184.85/(177.264+184.85)*(538.666-179.132)</f>
        <v>183.53297552704396</v>
      </c>
      <c r="Q9" s="970">
        <v>179.13200000000001</v>
      </c>
      <c r="R9" s="970">
        <v>192.983</v>
      </c>
      <c r="S9" s="971">
        <v>731.64900000000011</v>
      </c>
      <c r="T9" s="972"/>
      <c r="U9" s="973">
        <v>188.75400000000002</v>
      </c>
      <c r="V9" s="970">
        <v>197.66800000000001</v>
      </c>
      <c r="W9" s="970">
        <v>194.69200000000001</v>
      </c>
      <c r="X9" s="970">
        <f>215.742+0.188</f>
        <v>215.92999999999998</v>
      </c>
      <c r="Y9" s="974">
        <f>SUM(U9:X9)</f>
        <v>797.04399999999998</v>
      </c>
      <c r="Z9" s="972"/>
      <c r="AA9" s="973">
        <f>AA45</f>
        <v>121.62663240000001</v>
      </c>
      <c r="AB9" s="970">
        <f t="shared" ref="AB9:AD9" si="0">AB45</f>
        <v>136.21023160000004</v>
      </c>
      <c r="AC9" s="970">
        <f t="shared" si="0"/>
        <v>126.62722202400005</v>
      </c>
      <c r="AD9" s="970">
        <f t="shared" si="0"/>
        <v>126.98674499999993</v>
      </c>
      <c r="AE9" s="974">
        <f>SUM(AA9:AD9)</f>
        <v>511.45083102400002</v>
      </c>
      <c r="AF9" s="972"/>
      <c r="AG9" s="973">
        <f>AG45</f>
        <v>136.82851000000008</v>
      </c>
      <c r="AH9" s="970">
        <f t="shared" ref="AH9:AJ9" si="1">AH45</f>
        <v>141.51569179999996</v>
      </c>
      <c r="AI9" s="970">
        <f t="shared" si="1"/>
        <v>134.37726622760005</v>
      </c>
      <c r="AJ9" s="970">
        <f t="shared" si="1"/>
        <v>137.82829999999998</v>
      </c>
      <c r="AK9" s="974">
        <f>SUM(AG9:AJ9)</f>
        <v>550.54976802760007</v>
      </c>
      <c r="AL9" s="929"/>
      <c r="AM9" s="2199">
        <f>AM45</f>
        <v>136.04205040000008</v>
      </c>
      <c r="AN9" s="2200">
        <f t="shared" ref="AN9:AP9" si="2">AN45</f>
        <v>143.33087425239995</v>
      </c>
      <c r="AO9" s="2200">
        <f t="shared" si="2"/>
        <v>136.52060875215204</v>
      </c>
      <c r="AP9" s="2200">
        <f t="shared" si="2"/>
        <v>145.81128100000001</v>
      </c>
      <c r="AQ9" s="974">
        <f>SUM(AM9:AP9)</f>
        <v>561.70481440455205</v>
      </c>
      <c r="AR9" s="929"/>
      <c r="AS9" s="2199">
        <f>AS45</f>
        <v>136.21304470240008</v>
      </c>
      <c r="AT9" s="2200">
        <f t="shared" ref="AT9:AV9" si="3">AT45</f>
        <v>144.03063690917634</v>
      </c>
      <c r="AU9" s="2200">
        <f t="shared" si="3"/>
        <v>148.68773742572699</v>
      </c>
      <c r="AV9" s="2200">
        <f t="shared" si="3"/>
        <v>156.99809788959999</v>
      </c>
      <c r="AW9" s="974">
        <f>SUM(AS9:AV9)</f>
        <v>585.92951692690349</v>
      </c>
      <c r="AX9" s="929"/>
      <c r="AY9" s="973">
        <v>135.81399999999999</v>
      </c>
      <c r="AZ9" s="970">
        <v>143.934</v>
      </c>
      <c r="BA9" s="970">
        <v>145.536</v>
      </c>
      <c r="BB9" s="970">
        <v>151.88999999999999</v>
      </c>
      <c r="BC9" s="974">
        <f t="shared" ref="BC9:BC14" si="4">SUM(AY9:BB9)</f>
        <v>577.17399999999998</v>
      </c>
      <c r="BD9" s="929"/>
      <c r="BE9" s="973">
        <v>141.744</v>
      </c>
      <c r="BF9" s="970">
        <v>154.91399999999999</v>
      </c>
      <c r="BG9" s="970">
        <v>149.57599999999999</v>
      </c>
      <c r="BH9" s="970">
        <v>157.01</v>
      </c>
      <c r="BI9" s="974">
        <f t="shared" ref="BI9:BI14" si="5">SUM(BE9:BH9)</f>
        <v>603.24400000000003</v>
      </c>
      <c r="BJ9" s="929"/>
      <c r="BK9" s="973">
        <v>152.54</v>
      </c>
      <c r="BL9" s="970">
        <v>164.02</v>
      </c>
      <c r="BM9" s="970">
        <v>169.078</v>
      </c>
      <c r="BN9" s="2280">
        <v>193.63</v>
      </c>
      <c r="BO9" s="1662">
        <f t="shared" ref="BO9" si="6">SUM(BK9:BN9)</f>
        <v>679.26800000000003</v>
      </c>
      <c r="BP9" s="929"/>
      <c r="BQ9" s="989">
        <f>BQ45</f>
        <v>233.81214734266246</v>
      </c>
      <c r="BR9" s="972">
        <f>BR45</f>
        <v>274.63204098563881</v>
      </c>
      <c r="BS9" s="972">
        <f>BS45</f>
        <v>279.37163169312595</v>
      </c>
      <c r="BT9" s="972">
        <f>BT45</f>
        <v>301.42331967164495</v>
      </c>
      <c r="BU9" s="1662">
        <f t="shared" ref="BU9:BU10" si="7">SUM(BQ9:BT9)</f>
        <v>1089.2391396930723</v>
      </c>
      <c r="BV9" s="929"/>
      <c r="BW9" s="989">
        <f>BW45</f>
        <v>256.47520551494404</v>
      </c>
      <c r="BX9" s="972">
        <f>BX45</f>
        <v>304.91206062875068</v>
      </c>
      <c r="BY9" s="972">
        <f>BY45</f>
        <v>314.05292272654668</v>
      </c>
      <c r="BZ9" s="972">
        <f>BZ45</f>
        <v>340.51442321551372</v>
      </c>
      <c r="CA9" s="1662">
        <f t="shared" ref="CA9:CA10" si="8">SUM(BW9:BZ9)</f>
        <v>1215.9546120857551</v>
      </c>
      <c r="CB9" s="929"/>
      <c r="CC9" s="989">
        <f>CC45</f>
        <v>293.01234387375291</v>
      </c>
      <c r="CD9" s="972">
        <f>CD45</f>
        <v>347.44292209417841</v>
      </c>
      <c r="CE9" s="972">
        <f>CE45</f>
        <v>355.47135982659745</v>
      </c>
      <c r="CF9" s="972">
        <f>CF45</f>
        <v>382.43077831310427</v>
      </c>
      <c r="CG9" s="1662">
        <f t="shared" ref="CG9:CG10" si="9">SUM(CC9:CF9)</f>
        <v>1378.3574041076331</v>
      </c>
      <c r="CH9" s="929"/>
      <c r="CI9" s="989">
        <f>CI45</f>
        <v>319.55432344321804</v>
      </c>
      <c r="CJ9" s="972">
        <f>CJ45</f>
        <v>377.59336878787127</v>
      </c>
      <c r="CK9" s="972">
        <f>CK45</f>
        <v>389.22396041412537</v>
      </c>
      <c r="CL9" s="972">
        <f>CL45</f>
        <v>418.95444919743346</v>
      </c>
      <c r="CM9" s="1662">
        <f t="shared" ref="CM9:CM10" si="10">SUM(CI9:CL9)</f>
        <v>1505.3261018426481</v>
      </c>
    </row>
    <row r="10" spans="1:91" s="130" customFormat="1" outlineLevel="1">
      <c r="A10" s="960" t="s">
        <v>170</v>
      </c>
      <c r="B10" s="97"/>
      <c r="C10" s="961">
        <v>0</v>
      </c>
      <c r="D10" s="962">
        <v>0</v>
      </c>
      <c r="E10" s="962">
        <v>0</v>
      </c>
      <c r="F10" s="962">
        <v>0</v>
      </c>
      <c r="G10" s="963">
        <f>SUM(C10:F10)</f>
        <v>0</v>
      </c>
      <c r="H10" s="97"/>
      <c r="I10" s="961">
        <v>0</v>
      </c>
      <c r="J10" s="962">
        <v>0</v>
      </c>
      <c r="K10" s="962">
        <v>0</v>
      </c>
      <c r="L10" s="962">
        <v>0</v>
      </c>
      <c r="M10" s="963">
        <f>SUM(I10:L10)</f>
        <v>0</v>
      </c>
      <c r="N10" s="97"/>
      <c r="O10" s="975">
        <v>0</v>
      </c>
      <c r="P10" s="843">
        <v>0</v>
      </c>
      <c r="Q10" s="843">
        <v>0</v>
      </c>
      <c r="R10" s="843">
        <v>0</v>
      </c>
      <c r="S10" s="976">
        <f>SUM(O10:R10)</f>
        <v>0</v>
      </c>
      <c r="T10" s="471"/>
      <c r="U10" s="975">
        <v>0.18200000000000005</v>
      </c>
      <c r="V10" s="843">
        <v>0.182</v>
      </c>
      <c r="W10" s="843">
        <v>0.182</v>
      </c>
      <c r="X10" s="843">
        <v>0.188</v>
      </c>
      <c r="Y10" s="976">
        <f>SUM(U10:X10)</f>
        <v>0.73399999999999999</v>
      </c>
      <c r="Z10" s="471"/>
      <c r="AA10" s="975">
        <v>0.191</v>
      </c>
      <c r="AB10" s="843">
        <v>6.1870000000000003</v>
      </c>
      <c r="AC10" s="843">
        <v>9.9190000000000005</v>
      </c>
      <c r="AD10" s="843">
        <v>14.526999999999999</v>
      </c>
      <c r="AE10" s="976">
        <f>SUM(AA10:AD10)</f>
        <v>30.823999999999998</v>
      </c>
      <c r="AF10" s="471"/>
      <c r="AG10" s="975">
        <v>6.4729999999999999</v>
      </c>
      <c r="AH10" s="843">
        <v>10.462999999999999</v>
      </c>
      <c r="AI10" s="843">
        <v>5.2370000000000001</v>
      </c>
      <c r="AJ10" s="843">
        <v>4.0759999999999996</v>
      </c>
      <c r="AK10" s="976">
        <f>SUM(AG10:AJ10)</f>
        <v>26.249000000000002</v>
      </c>
      <c r="AL10" s="97"/>
      <c r="AM10" s="975">
        <v>1.9319999999999999</v>
      </c>
      <c r="AN10" s="843">
        <v>3.7989999999999999</v>
      </c>
      <c r="AO10" s="843">
        <v>0.84199999999999997</v>
      </c>
      <c r="AP10" s="843">
        <v>0.73899999999999999</v>
      </c>
      <c r="AQ10" s="976">
        <f>SUM(AM10:AP10)</f>
        <v>7.3119999999999994</v>
      </c>
      <c r="AR10" s="97"/>
      <c r="AS10" s="1663">
        <v>1.452</v>
      </c>
      <c r="AT10" s="5">
        <v>0.42599999999999999</v>
      </c>
      <c r="AU10" s="5">
        <v>0.81100000000000005</v>
      </c>
      <c r="AV10" s="5">
        <v>0.22700000000000001</v>
      </c>
      <c r="AW10" s="528">
        <f t="shared" ref="AW10:AW14" si="11">SUM(AS10:AV10)</f>
        <v>2.9159999999999999</v>
      </c>
      <c r="AX10" s="97"/>
      <c r="AY10" s="1663">
        <v>0.24199999999999999</v>
      </c>
      <c r="AZ10" s="843">
        <v>0.19500000000000001</v>
      </c>
      <c r="BA10" s="843">
        <v>0.16400000000000001</v>
      </c>
      <c r="BB10" s="5">
        <v>0.16900000000000001</v>
      </c>
      <c r="BC10" s="528">
        <f t="shared" si="4"/>
        <v>0.77</v>
      </c>
      <c r="BD10" s="97"/>
      <c r="BE10" s="975">
        <v>0.17499999999999999</v>
      </c>
      <c r="BF10" s="1757">
        <v>0.17599999999999999</v>
      </c>
      <c r="BG10" s="843">
        <v>0.17599999999999999</v>
      </c>
      <c r="BH10" s="843">
        <v>0.184</v>
      </c>
      <c r="BI10" s="528">
        <f t="shared" si="5"/>
        <v>0.71099999999999985</v>
      </c>
      <c r="BJ10" s="97"/>
      <c r="BK10" s="975">
        <v>0.185</v>
      </c>
      <c r="BL10" s="843">
        <v>0.186</v>
      </c>
      <c r="BM10" s="843">
        <v>0.185</v>
      </c>
      <c r="BN10" s="843">
        <v>0.189</v>
      </c>
      <c r="BO10" s="528">
        <f t="shared" ref="BO10" si="12">SUM(BK10:BN10)</f>
        <v>0.74500000000000011</v>
      </c>
      <c r="BP10" s="97"/>
      <c r="BQ10" s="975">
        <v>0</v>
      </c>
      <c r="BR10" s="843">
        <v>0</v>
      </c>
      <c r="BS10" s="843">
        <v>0</v>
      </c>
      <c r="BT10" s="843">
        <v>0</v>
      </c>
      <c r="BU10" s="528">
        <f t="shared" si="7"/>
        <v>0</v>
      </c>
      <c r="BV10" s="97"/>
      <c r="BW10" s="975">
        <v>0</v>
      </c>
      <c r="BX10" s="843">
        <v>0</v>
      </c>
      <c r="BY10" s="843">
        <v>0</v>
      </c>
      <c r="BZ10" s="843">
        <v>0</v>
      </c>
      <c r="CA10" s="528">
        <f t="shared" si="8"/>
        <v>0</v>
      </c>
      <c r="CB10" s="97"/>
      <c r="CC10" s="975">
        <v>0</v>
      </c>
      <c r="CD10" s="843">
        <v>0</v>
      </c>
      <c r="CE10" s="843">
        <v>0</v>
      </c>
      <c r="CF10" s="843">
        <v>0</v>
      </c>
      <c r="CG10" s="528">
        <f t="shared" si="9"/>
        <v>0</v>
      </c>
      <c r="CH10" s="97"/>
      <c r="CI10" s="975">
        <v>0</v>
      </c>
      <c r="CJ10" s="843">
        <v>0</v>
      </c>
      <c r="CK10" s="843">
        <v>0</v>
      </c>
      <c r="CL10" s="843">
        <v>0</v>
      </c>
      <c r="CM10" s="528">
        <f t="shared" si="10"/>
        <v>0</v>
      </c>
    </row>
    <row r="11" spans="1:91" s="130" customFormat="1" outlineLevel="1">
      <c r="A11" s="463" t="s">
        <v>524</v>
      </c>
      <c r="B11" s="97"/>
      <c r="C11" s="977">
        <f>C9-C10</f>
        <v>299.53800000000001</v>
      </c>
      <c r="D11" s="471">
        <f>D9-D10</f>
        <v>326.28399999999999</v>
      </c>
      <c r="E11" s="471">
        <f>E9-E10</f>
        <v>319.34100000000001</v>
      </c>
      <c r="F11" s="471">
        <f>F9-F10</f>
        <v>379.32100000000003</v>
      </c>
      <c r="G11" s="976">
        <f>G9-G10</f>
        <v>1324.4839999999999</v>
      </c>
      <c r="H11" s="471"/>
      <c r="I11" s="977">
        <f>I9-I10</f>
        <v>180.089</v>
      </c>
      <c r="J11" s="471">
        <f>J9-J10</f>
        <v>203.91300000000001</v>
      </c>
      <c r="K11" s="471">
        <f>K9-K10</f>
        <v>196.697</v>
      </c>
      <c r="L11" s="471">
        <f>L9-L10</f>
        <v>193.90299999999999</v>
      </c>
      <c r="M11" s="976">
        <f>M9-M10</f>
        <v>774.60200000000009</v>
      </c>
      <c r="N11" s="97"/>
      <c r="O11" s="977">
        <f>O9-O10</f>
        <v>176.00102447295606</v>
      </c>
      <c r="P11" s="471">
        <f>P9-P10</f>
        <v>183.53297552704396</v>
      </c>
      <c r="Q11" s="471">
        <f>Q9-Q10</f>
        <v>179.13200000000001</v>
      </c>
      <c r="R11" s="471">
        <f>R9-R10</f>
        <v>192.983</v>
      </c>
      <c r="S11" s="976">
        <f>S9-S10</f>
        <v>731.64900000000011</v>
      </c>
      <c r="T11" s="471"/>
      <c r="U11" s="977">
        <f>U9-U10</f>
        <v>188.57200000000003</v>
      </c>
      <c r="V11" s="471">
        <f>V9-V10</f>
        <v>197.48600000000002</v>
      </c>
      <c r="W11" s="471">
        <f>W9-W10</f>
        <v>194.51000000000002</v>
      </c>
      <c r="X11" s="471">
        <f>X9-X10</f>
        <v>215.74199999999999</v>
      </c>
      <c r="Y11" s="976">
        <f>Y9-Y10</f>
        <v>796.31</v>
      </c>
      <c r="Z11" s="471"/>
      <c r="AA11" s="977">
        <f>AA9-AA10</f>
        <v>121.4356324</v>
      </c>
      <c r="AB11" s="471">
        <f>AB9-AB10</f>
        <v>130.02323160000003</v>
      </c>
      <c r="AC11" s="471">
        <f>AC9-AC10</f>
        <v>116.70822202400005</v>
      </c>
      <c r="AD11" s="471">
        <f>AD9-AD10</f>
        <v>112.45974499999993</v>
      </c>
      <c r="AE11" s="976">
        <f>AE9-AE10</f>
        <v>480.62683102400001</v>
      </c>
      <c r="AF11" s="471"/>
      <c r="AG11" s="977">
        <f>AG9-AG10</f>
        <v>130.35551000000007</v>
      </c>
      <c r="AH11" s="471">
        <f>AH9-AH10</f>
        <v>131.05269179999996</v>
      </c>
      <c r="AI11" s="471">
        <f>AI9-AI10</f>
        <v>129.14026622760005</v>
      </c>
      <c r="AJ11" s="471">
        <f>AJ9-AJ10</f>
        <v>133.75229999999999</v>
      </c>
      <c r="AK11" s="976">
        <f>AK9-AK10</f>
        <v>524.30076802760004</v>
      </c>
      <c r="AL11" s="97"/>
      <c r="AM11" s="977">
        <f>AM9-AM10</f>
        <v>134.11005040000009</v>
      </c>
      <c r="AN11" s="471">
        <f>AN9-AN10</f>
        <v>139.53187425239994</v>
      </c>
      <c r="AO11" s="471">
        <f>AO9-AO10</f>
        <v>135.67860875215203</v>
      </c>
      <c r="AP11" s="471">
        <f>AP9-AP10</f>
        <v>145.072281</v>
      </c>
      <c r="AQ11" s="976">
        <f>AQ9-AQ10</f>
        <v>554.39281440455204</v>
      </c>
      <c r="AR11" s="97"/>
      <c r="AS11" s="1664">
        <f>AS9-AS10</f>
        <v>134.76104470240008</v>
      </c>
      <c r="AT11" s="224">
        <f>AT9-AT10</f>
        <v>143.60463690917635</v>
      </c>
      <c r="AU11" s="224">
        <f>AU9-AU10</f>
        <v>147.87673742572699</v>
      </c>
      <c r="AV11" s="224">
        <f>AV9-AV10</f>
        <v>156.77109788959999</v>
      </c>
      <c r="AW11" s="528">
        <f t="shared" si="11"/>
        <v>583.01351692690343</v>
      </c>
      <c r="AX11" s="97"/>
      <c r="AY11" s="1664">
        <f>AY9-AY10</f>
        <v>135.572</v>
      </c>
      <c r="AZ11" s="471">
        <f>AZ9-AZ10</f>
        <v>143.739</v>
      </c>
      <c r="BA11" s="471">
        <f>BA9-BA10</f>
        <v>145.37200000000001</v>
      </c>
      <c r="BB11" s="224">
        <f>BB9-BB10</f>
        <v>151.72099999999998</v>
      </c>
      <c r="BC11" s="528">
        <f t="shared" si="4"/>
        <v>576.404</v>
      </c>
      <c r="BD11" s="97"/>
      <c r="BE11" s="977">
        <f>BE9-BE10</f>
        <v>141.56899999999999</v>
      </c>
      <c r="BF11" s="471">
        <f>BF9-BF10</f>
        <v>154.738</v>
      </c>
      <c r="BG11" s="471">
        <f>BG9-BG10</f>
        <v>149.4</v>
      </c>
      <c r="BH11" s="471">
        <f>BH9-BH10</f>
        <v>156.82599999999999</v>
      </c>
      <c r="BI11" s="528">
        <f t="shared" si="5"/>
        <v>602.53300000000002</v>
      </c>
      <c r="BJ11" s="97"/>
      <c r="BK11" s="977">
        <f>BK9-BK10</f>
        <v>152.35499999999999</v>
      </c>
      <c r="BL11" s="471">
        <f>BL9-BL10</f>
        <v>163.834</v>
      </c>
      <c r="BM11" s="471">
        <f>BM9-BM10</f>
        <v>168.893</v>
      </c>
      <c r="BN11" s="471">
        <f>BN9-BN10</f>
        <v>193.441</v>
      </c>
      <c r="BO11" s="528">
        <f>BO9-BO10</f>
        <v>678.52300000000002</v>
      </c>
      <c r="BP11" s="97"/>
      <c r="BQ11" s="977">
        <f>BQ9-BQ10</f>
        <v>233.81214734266246</v>
      </c>
      <c r="BR11" s="471">
        <f>BR9-BR10</f>
        <v>274.63204098563881</v>
      </c>
      <c r="BS11" s="471">
        <f>BS9-BS10</f>
        <v>279.37163169312595</v>
      </c>
      <c r="BT11" s="471">
        <f>BT9-BT10</f>
        <v>301.42331967164495</v>
      </c>
      <c r="BU11" s="528">
        <f>BU9-BU10</f>
        <v>1089.2391396930723</v>
      </c>
      <c r="BV11" s="97"/>
      <c r="BW11" s="977">
        <f>BW9-BW10</f>
        <v>256.47520551494404</v>
      </c>
      <c r="BX11" s="471">
        <f>BX9-BX10</f>
        <v>304.91206062875068</v>
      </c>
      <c r="BY11" s="471">
        <f>BY9-BY10</f>
        <v>314.05292272654668</v>
      </c>
      <c r="BZ11" s="471">
        <f>BZ9-BZ10</f>
        <v>340.51442321551372</v>
      </c>
      <c r="CA11" s="528">
        <f>CA9-CA10</f>
        <v>1215.9546120857551</v>
      </c>
      <c r="CB11" s="97"/>
      <c r="CC11" s="977">
        <f>CC9-CC10</f>
        <v>293.01234387375291</v>
      </c>
      <c r="CD11" s="471">
        <f>CD9-CD10</f>
        <v>347.44292209417841</v>
      </c>
      <c r="CE11" s="471">
        <f>CE9-CE10</f>
        <v>355.47135982659745</v>
      </c>
      <c r="CF11" s="471">
        <f>CF9-CF10</f>
        <v>382.43077831310427</v>
      </c>
      <c r="CG11" s="528">
        <f>CG9-CG10</f>
        <v>1378.3574041076331</v>
      </c>
      <c r="CH11" s="97"/>
      <c r="CI11" s="977">
        <f>CI9-CI10</f>
        <v>319.55432344321804</v>
      </c>
      <c r="CJ11" s="471">
        <f>CJ9-CJ10</f>
        <v>377.59336878787127</v>
      </c>
      <c r="CK11" s="471">
        <f>CK9-CK10</f>
        <v>389.22396041412537</v>
      </c>
      <c r="CL11" s="471">
        <f>CL9-CL10</f>
        <v>418.95444919743346</v>
      </c>
      <c r="CM11" s="528">
        <f>CM9-CM10</f>
        <v>1505.3261018426481</v>
      </c>
    </row>
    <row r="12" spans="1:91" s="830" customFormat="1">
      <c r="A12" s="993" t="s">
        <v>525</v>
      </c>
      <c r="B12" s="933"/>
      <c r="C12" s="934">
        <f>IS!C10</f>
        <v>103.36199999999999</v>
      </c>
      <c r="D12" s="935">
        <f>IS!D10</f>
        <v>111.006</v>
      </c>
      <c r="E12" s="935">
        <f>IS!E10</f>
        <v>116.327</v>
      </c>
      <c r="F12" s="935">
        <f>IS!F10</f>
        <v>101.374</v>
      </c>
      <c r="G12" s="936">
        <f>IS!G10</f>
        <v>432.06899999999996</v>
      </c>
      <c r="H12" s="933"/>
      <c r="I12" s="934">
        <f>IS!I10</f>
        <v>278.63099999999997</v>
      </c>
      <c r="J12" s="935">
        <f>IS!J10</f>
        <v>301.05200000000002</v>
      </c>
      <c r="K12" s="935">
        <f>IS!K10</f>
        <v>282.05</v>
      </c>
      <c r="L12" s="935">
        <f>IS!L10</f>
        <v>305.96699999999998</v>
      </c>
      <c r="M12" s="936">
        <f>IS!M10</f>
        <v>1167.6999999999998</v>
      </c>
      <c r="N12" s="933"/>
      <c r="O12" s="978">
        <f>257.893/(257.893+253.42)*(583.624-197.904)</f>
        <v>194.54715205754596</v>
      </c>
      <c r="P12" s="979">
        <f>253.42/(257.893+253.42)*(583.624-197.904)</f>
        <v>191.17284794245404</v>
      </c>
      <c r="Q12" s="980">
        <v>197.904</v>
      </c>
      <c r="R12" s="980">
        <v>235.49299999999999</v>
      </c>
      <c r="S12" s="981">
        <v>819.11699999999996</v>
      </c>
      <c r="T12" s="982"/>
      <c r="U12" s="983">
        <v>205.048</v>
      </c>
      <c r="V12" s="980">
        <v>224.12700000000001</v>
      </c>
      <c r="W12" s="980">
        <v>224.63300000000001</v>
      </c>
      <c r="X12" s="980">
        <v>254.22800000000001</v>
      </c>
      <c r="Y12" s="984">
        <f>SUM(U12:X12)</f>
        <v>908.03600000000006</v>
      </c>
      <c r="Z12" s="982"/>
      <c r="AA12" s="983">
        <v>326.56236760000002</v>
      </c>
      <c r="AB12" s="980">
        <v>349.38276839999997</v>
      </c>
      <c r="AC12" s="980">
        <v>332.27891</v>
      </c>
      <c r="AD12" s="980">
        <v>381.87025499999999</v>
      </c>
      <c r="AE12" s="984">
        <f>SUM(AA12:AD12)</f>
        <v>1390.0943010000001</v>
      </c>
      <c r="AF12" s="982"/>
      <c r="AG12" s="983">
        <v>339.58448999999996</v>
      </c>
      <c r="AH12" s="980">
        <v>348.55730820000008</v>
      </c>
      <c r="AI12" s="980">
        <v>333.43348560000004</v>
      </c>
      <c r="AJ12" s="980">
        <v>387.41870000000006</v>
      </c>
      <c r="AK12" s="984">
        <f>SUM(AG12:AJ12)</f>
        <v>1408.9939838</v>
      </c>
      <c r="AL12" s="933"/>
      <c r="AM12" s="2201">
        <v>324.75102835848787</v>
      </c>
      <c r="AN12" s="2202">
        <v>358.21430820000006</v>
      </c>
      <c r="AO12" s="2202">
        <v>341.82015683600002</v>
      </c>
      <c r="AP12" s="2202">
        <v>390.60152800000014</v>
      </c>
      <c r="AQ12" s="984">
        <f>SUM(AM12:AP12)</f>
        <v>1415.3870213944881</v>
      </c>
      <c r="AR12" s="933"/>
      <c r="AS12" s="2201">
        <f>AS69</f>
        <v>340.48042291644589</v>
      </c>
      <c r="AT12" s="2202">
        <f t="shared" ref="AT12:AV12" si="13">AT69</f>
        <v>359.60975358465078</v>
      </c>
      <c r="AU12" s="2202">
        <f t="shared" si="13"/>
        <v>355.36852538625601</v>
      </c>
      <c r="AV12" s="2202">
        <f t="shared" si="13"/>
        <v>418.47284279935263</v>
      </c>
      <c r="AW12" s="984">
        <f t="shared" si="11"/>
        <v>1473.9315446867054</v>
      </c>
      <c r="AX12" s="933"/>
      <c r="AY12" s="983">
        <v>348.59800000000001</v>
      </c>
      <c r="AZ12" s="980">
        <v>381.529</v>
      </c>
      <c r="BA12" s="980">
        <v>380.137</v>
      </c>
      <c r="BB12" s="980">
        <v>418.18200000000002</v>
      </c>
      <c r="BC12" s="984">
        <f t="shared" si="4"/>
        <v>1528.4459999999999</v>
      </c>
      <c r="BD12" s="933"/>
      <c r="BE12" s="983">
        <v>356.447</v>
      </c>
      <c r="BF12" s="980">
        <v>381.50400000000002</v>
      </c>
      <c r="BG12" s="980">
        <v>365.089</v>
      </c>
      <c r="BH12" s="980">
        <v>409.94400000000002</v>
      </c>
      <c r="BI12" s="984">
        <f t="shared" si="5"/>
        <v>1512.9839999999999</v>
      </c>
      <c r="BJ12" s="933"/>
      <c r="BK12" s="983">
        <v>361.76</v>
      </c>
      <c r="BL12" s="980">
        <v>383.12799999999999</v>
      </c>
      <c r="BM12" s="980">
        <v>385.38200000000001</v>
      </c>
      <c r="BN12" s="2281">
        <v>448.18900000000002</v>
      </c>
      <c r="BO12" s="1665">
        <f t="shared" ref="BO12" si="14">SUM(BK12:BN12)</f>
        <v>1578.4590000000001</v>
      </c>
      <c r="BP12" s="933"/>
      <c r="BQ12" s="990">
        <f>BQ69</f>
        <v>389.84753804948974</v>
      </c>
      <c r="BR12" s="982">
        <f>BR69</f>
        <v>411.24060931034228</v>
      </c>
      <c r="BS12" s="982">
        <f>BS69</f>
        <v>403.49603023448327</v>
      </c>
      <c r="BT12" s="982">
        <f>BT69</f>
        <v>464.57940922962655</v>
      </c>
      <c r="BU12" s="1665">
        <f t="shared" ref="BU12:BU13" si="15">SUM(BQ12:BT12)</f>
        <v>1669.1635868239418</v>
      </c>
      <c r="BV12" s="933"/>
      <c r="BW12" s="990">
        <f>BW69</f>
        <v>406.92209889612514</v>
      </c>
      <c r="BX12" s="982">
        <f>BX69</f>
        <v>429.12463140155029</v>
      </c>
      <c r="BY12" s="982">
        <f>BY69</f>
        <v>420.51223585751461</v>
      </c>
      <c r="BZ12" s="982">
        <f>BZ69</f>
        <v>484.25957825931431</v>
      </c>
      <c r="CA12" s="1665">
        <f t="shared" ref="CA12:CA13" si="16">SUM(BW12:BZ12)</f>
        <v>1740.8185444145042</v>
      </c>
      <c r="CB12" s="933"/>
      <c r="CC12" s="990">
        <f>CC69</f>
        <v>418.21466146316425</v>
      </c>
      <c r="CD12" s="982">
        <f>CD69</f>
        <v>441.0193016578994</v>
      </c>
      <c r="CE12" s="982">
        <f>CE69</f>
        <v>431.79113020352827</v>
      </c>
      <c r="CF12" s="982">
        <f>CF69</f>
        <v>497.32147804807096</v>
      </c>
      <c r="CG12" s="1665">
        <f t="shared" ref="CG12:CG13" si="17">SUM(CC12:CF12)</f>
        <v>1788.346571372663</v>
      </c>
      <c r="CH12" s="933"/>
      <c r="CI12" s="990">
        <f>CI69</f>
        <v>429.84798832443937</v>
      </c>
      <c r="CJ12" s="982">
        <f>CJ69</f>
        <v>453.27101847723122</v>
      </c>
      <c r="CK12" s="982">
        <f>CK69</f>
        <v>443.40395851569014</v>
      </c>
      <c r="CL12" s="982">
        <f>CL69</f>
        <v>510.77495413519381</v>
      </c>
      <c r="CM12" s="1665">
        <f t="shared" ref="CM12:CM13" si="18">SUM(CI12:CL12)</f>
        <v>1837.2979194525547</v>
      </c>
    </row>
    <row r="13" spans="1:91" s="830" customFormat="1" outlineLevel="1">
      <c r="A13" s="960" t="s">
        <v>170</v>
      </c>
      <c r="B13" s="933"/>
      <c r="C13" s="961">
        <v>0</v>
      </c>
      <c r="D13" s="962">
        <v>0</v>
      </c>
      <c r="E13" s="962">
        <v>0</v>
      </c>
      <c r="F13" s="962">
        <v>0</v>
      </c>
      <c r="G13" s="963">
        <f>SUM(C13:F13)</f>
        <v>0</v>
      </c>
      <c r="H13" s="933"/>
      <c r="I13" s="961">
        <v>0</v>
      </c>
      <c r="J13" s="962">
        <v>0</v>
      </c>
      <c r="K13" s="962">
        <v>0</v>
      </c>
      <c r="L13" s="962">
        <v>0</v>
      </c>
      <c r="M13" s="963">
        <f>SUM(I13:L13)</f>
        <v>0</v>
      </c>
      <c r="N13" s="933"/>
      <c r="O13" s="975">
        <v>0</v>
      </c>
      <c r="P13" s="843">
        <v>0</v>
      </c>
      <c r="Q13" s="843">
        <v>0</v>
      </c>
      <c r="R13" s="843">
        <v>0</v>
      </c>
      <c r="S13" s="976">
        <f>SUM(O13:R13)</f>
        <v>0</v>
      </c>
      <c r="T13" s="982"/>
      <c r="U13" s="975">
        <v>0</v>
      </c>
      <c r="V13" s="843">
        <v>0</v>
      </c>
      <c r="W13" s="843">
        <v>0</v>
      </c>
      <c r="X13" s="843">
        <v>0</v>
      </c>
      <c r="Y13" s="976">
        <f>SUM(U13:X13)</f>
        <v>0</v>
      </c>
      <c r="Z13" s="982"/>
      <c r="AA13" s="975">
        <v>0</v>
      </c>
      <c r="AB13" s="843">
        <v>0</v>
      </c>
      <c r="AC13" s="843">
        <v>0</v>
      </c>
      <c r="AD13" s="843">
        <v>0</v>
      </c>
      <c r="AE13" s="976">
        <f>SUM(AA13:AD13)</f>
        <v>0</v>
      </c>
      <c r="AF13" s="982"/>
      <c r="AG13" s="975">
        <v>0</v>
      </c>
      <c r="AH13" s="843">
        <v>0</v>
      </c>
      <c r="AI13" s="843">
        <v>0</v>
      </c>
      <c r="AJ13" s="843">
        <v>0</v>
      </c>
      <c r="AK13" s="976">
        <f>SUM(AG13:AJ13)</f>
        <v>0</v>
      </c>
      <c r="AL13" s="933"/>
      <c r="AM13" s="975">
        <v>0</v>
      </c>
      <c r="AN13" s="843">
        <v>0</v>
      </c>
      <c r="AO13" s="843">
        <v>8.9999999999999993E-3</v>
      </c>
      <c r="AP13" s="843">
        <v>0</v>
      </c>
      <c r="AQ13" s="976">
        <v>0</v>
      </c>
      <c r="AR13" s="933"/>
      <c r="AS13" s="1663">
        <v>0</v>
      </c>
      <c r="AT13" s="5">
        <v>0</v>
      </c>
      <c r="AU13" s="5">
        <v>0</v>
      </c>
      <c r="AV13" s="5">
        <v>0</v>
      </c>
      <c r="AW13" s="528">
        <f t="shared" si="11"/>
        <v>0</v>
      </c>
      <c r="AX13" s="933"/>
      <c r="AY13" s="1663">
        <v>2.7E-2</v>
      </c>
      <c r="AZ13" s="843">
        <v>0</v>
      </c>
      <c r="BA13" s="843">
        <v>0</v>
      </c>
      <c r="BB13" s="5">
        <v>0</v>
      </c>
      <c r="BC13" s="528">
        <f t="shared" si="4"/>
        <v>2.7E-2</v>
      </c>
      <c r="BD13" s="933"/>
      <c r="BE13" s="975">
        <v>0</v>
      </c>
      <c r="BF13" s="1757">
        <v>0</v>
      </c>
      <c r="BG13" s="843">
        <v>0</v>
      </c>
      <c r="BH13" s="843">
        <v>0</v>
      </c>
      <c r="BI13" s="528">
        <f t="shared" si="5"/>
        <v>0</v>
      </c>
      <c r="BJ13" s="933"/>
      <c r="BK13" s="975">
        <v>0</v>
      </c>
      <c r="BL13" s="843">
        <v>0</v>
      </c>
      <c r="BM13" s="843">
        <v>0</v>
      </c>
      <c r="BN13" s="843">
        <v>0</v>
      </c>
      <c r="BO13" s="528">
        <f t="shared" ref="BO13" si="19">SUM(BK13:BN13)</f>
        <v>0</v>
      </c>
      <c r="BP13" s="933"/>
      <c r="BQ13" s="975">
        <v>0</v>
      </c>
      <c r="BR13" s="843">
        <v>0</v>
      </c>
      <c r="BS13" s="843">
        <v>0</v>
      </c>
      <c r="BT13" s="843">
        <v>0</v>
      </c>
      <c r="BU13" s="528">
        <f t="shared" si="15"/>
        <v>0</v>
      </c>
      <c r="BV13" s="97"/>
      <c r="BW13" s="975">
        <v>0</v>
      </c>
      <c r="BX13" s="843">
        <v>0</v>
      </c>
      <c r="BY13" s="843">
        <v>0</v>
      </c>
      <c r="BZ13" s="843">
        <v>0</v>
      </c>
      <c r="CA13" s="528">
        <f t="shared" si="16"/>
        <v>0</v>
      </c>
      <c r="CB13" s="97"/>
      <c r="CC13" s="975">
        <v>0</v>
      </c>
      <c r="CD13" s="843">
        <v>0</v>
      </c>
      <c r="CE13" s="843">
        <v>0</v>
      </c>
      <c r="CF13" s="843">
        <v>0</v>
      </c>
      <c r="CG13" s="528">
        <f t="shared" si="17"/>
        <v>0</v>
      </c>
      <c r="CH13" s="97"/>
      <c r="CI13" s="975">
        <v>0</v>
      </c>
      <c r="CJ13" s="843">
        <v>0</v>
      </c>
      <c r="CK13" s="843">
        <v>0</v>
      </c>
      <c r="CL13" s="843">
        <v>0</v>
      </c>
      <c r="CM13" s="528">
        <f t="shared" si="18"/>
        <v>0</v>
      </c>
    </row>
    <row r="14" spans="1:91" s="830" customFormat="1" outlineLevel="1">
      <c r="A14" s="463" t="s">
        <v>526</v>
      </c>
      <c r="B14" s="933"/>
      <c r="C14" s="977">
        <f>C12-C13</f>
        <v>103.36199999999999</v>
      </c>
      <c r="D14" s="471">
        <f>D12-D13</f>
        <v>111.006</v>
      </c>
      <c r="E14" s="471">
        <f>E12-E13</f>
        <v>116.327</v>
      </c>
      <c r="F14" s="471">
        <f>F12-F13</f>
        <v>101.374</v>
      </c>
      <c r="G14" s="976">
        <f>G12-G13</f>
        <v>432.06899999999996</v>
      </c>
      <c r="H14" s="982"/>
      <c r="I14" s="977">
        <f>I12-I13</f>
        <v>278.63099999999997</v>
      </c>
      <c r="J14" s="471">
        <f>J12-J13</f>
        <v>301.05200000000002</v>
      </c>
      <c r="K14" s="471">
        <f>K12-K13</f>
        <v>282.05</v>
      </c>
      <c r="L14" s="471">
        <f>L12-L13</f>
        <v>305.96699999999998</v>
      </c>
      <c r="M14" s="976">
        <f>M12-M13</f>
        <v>1167.6999999999998</v>
      </c>
      <c r="N14" s="933"/>
      <c r="O14" s="977">
        <f>O12-O13</f>
        <v>194.54715205754596</v>
      </c>
      <c r="P14" s="471">
        <f>P12-P13</f>
        <v>191.17284794245404</v>
      </c>
      <c r="Q14" s="471">
        <f>Q12-Q13</f>
        <v>197.904</v>
      </c>
      <c r="R14" s="471">
        <f>R12-R13</f>
        <v>235.49299999999999</v>
      </c>
      <c r="S14" s="976">
        <f>S12-S13</f>
        <v>819.11699999999996</v>
      </c>
      <c r="T14" s="982"/>
      <c r="U14" s="977">
        <f>U12-U13</f>
        <v>205.048</v>
      </c>
      <c r="V14" s="471">
        <f>V12-V13</f>
        <v>224.12700000000001</v>
      </c>
      <c r="W14" s="471">
        <f>W12-W13</f>
        <v>224.63300000000001</v>
      </c>
      <c r="X14" s="471">
        <f>X12-X13</f>
        <v>254.22800000000001</v>
      </c>
      <c r="Y14" s="976">
        <f>Y12-Y13</f>
        <v>908.03600000000006</v>
      </c>
      <c r="Z14" s="982"/>
      <c r="AA14" s="977">
        <f>AA12-AA13</f>
        <v>326.56236760000002</v>
      </c>
      <c r="AB14" s="471">
        <f>AB12-AB13</f>
        <v>349.38276839999997</v>
      </c>
      <c r="AC14" s="471">
        <f>AC12-AC13</f>
        <v>332.27891</v>
      </c>
      <c r="AD14" s="471">
        <f>AD12-AD13</f>
        <v>381.87025499999999</v>
      </c>
      <c r="AE14" s="976">
        <f>AE12-AE13</f>
        <v>1390.0943010000001</v>
      </c>
      <c r="AF14" s="982"/>
      <c r="AG14" s="977">
        <f>AG12-AG13</f>
        <v>339.58448999999996</v>
      </c>
      <c r="AH14" s="471">
        <f>AH12-AH13</f>
        <v>348.55730820000008</v>
      </c>
      <c r="AI14" s="471">
        <f>AI12-AI13</f>
        <v>333.43348560000004</v>
      </c>
      <c r="AJ14" s="471">
        <f>AJ12-AJ13</f>
        <v>387.41870000000006</v>
      </c>
      <c r="AK14" s="976">
        <f>AK12-AK13</f>
        <v>1408.9939838</v>
      </c>
      <c r="AL14" s="933"/>
      <c r="AM14" s="977">
        <f>AM12-AM13</f>
        <v>324.75102835848787</v>
      </c>
      <c r="AN14" s="471">
        <f>AN12-AN13</f>
        <v>358.21430820000006</v>
      </c>
      <c r="AO14" s="471">
        <f>AO12-AO13</f>
        <v>341.81115683600001</v>
      </c>
      <c r="AP14" s="471">
        <f>AP12-AP13</f>
        <v>390.60152800000014</v>
      </c>
      <c r="AQ14" s="976">
        <f>AQ12-AQ13</f>
        <v>1415.3870213944881</v>
      </c>
      <c r="AR14" s="933"/>
      <c r="AS14" s="1664">
        <f>AS12-AS13</f>
        <v>340.48042291644589</v>
      </c>
      <c r="AT14" s="224">
        <f>AT12-AT13</f>
        <v>359.60975358465078</v>
      </c>
      <c r="AU14" s="224">
        <f>AU12-AU13</f>
        <v>355.36852538625601</v>
      </c>
      <c r="AV14" s="224">
        <f>AV12-AV13</f>
        <v>418.47284279935263</v>
      </c>
      <c r="AW14" s="528">
        <f t="shared" si="11"/>
        <v>1473.9315446867054</v>
      </c>
      <c r="AX14" s="933"/>
      <c r="AY14" s="1664">
        <f>AY12-AY13</f>
        <v>348.57100000000003</v>
      </c>
      <c r="AZ14" s="471">
        <f>AZ12-AZ13</f>
        <v>381.529</v>
      </c>
      <c r="BA14" s="471">
        <f>BA12-BA13</f>
        <v>380.137</v>
      </c>
      <c r="BB14" s="224">
        <f>BB12-BB13</f>
        <v>418.18200000000002</v>
      </c>
      <c r="BC14" s="528">
        <f t="shared" si="4"/>
        <v>1528.4190000000001</v>
      </c>
      <c r="BD14" s="933"/>
      <c r="BE14" s="977">
        <f>BE12-BE13</f>
        <v>356.447</v>
      </c>
      <c r="BF14" s="471">
        <f>BF12-BF13</f>
        <v>381.50400000000002</v>
      </c>
      <c r="BG14" s="471">
        <f>BG12-BG13</f>
        <v>365.089</v>
      </c>
      <c r="BH14" s="471">
        <f>BH12-BH13</f>
        <v>409.94400000000002</v>
      </c>
      <c r="BI14" s="528">
        <f t="shared" si="5"/>
        <v>1512.9839999999999</v>
      </c>
      <c r="BJ14" s="933"/>
      <c r="BK14" s="977">
        <f>BK12-BK13</f>
        <v>361.76</v>
      </c>
      <c r="BL14" s="471">
        <f>BL12-BL13</f>
        <v>383.12799999999999</v>
      </c>
      <c r="BM14" s="471">
        <f>BM12-BM13</f>
        <v>385.38200000000001</v>
      </c>
      <c r="BN14" s="471">
        <f>BN12-BN13</f>
        <v>448.18900000000002</v>
      </c>
      <c r="BO14" s="976">
        <f>BO12-BO13</f>
        <v>1578.4590000000001</v>
      </c>
      <c r="BP14" s="933"/>
      <c r="BQ14" s="977">
        <f>BQ12-BQ13</f>
        <v>389.84753804948974</v>
      </c>
      <c r="BR14" s="471">
        <f>BR12-BR13</f>
        <v>411.24060931034228</v>
      </c>
      <c r="BS14" s="471">
        <f>BS12-BS13</f>
        <v>403.49603023448327</v>
      </c>
      <c r="BT14" s="471">
        <f>BT12-BT13</f>
        <v>464.57940922962655</v>
      </c>
      <c r="BU14" s="976">
        <f>BU12-BU13</f>
        <v>1669.1635868239418</v>
      </c>
      <c r="BV14" s="933"/>
      <c r="BW14" s="977">
        <f>BW12-BW13</f>
        <v>406.92209889612514</v>
      </c>
      <c r="BX14" s="471">
        <f>BX12-BX13</f>
        <v>429.12463140155029</v>
      </c>
      <c r="BY14" s="471">
        <f>BY12-BY13</f>
        <v>420.51223585751461</v>
      </c>
      <c r="BZ14" s="471">
        <f>BZ12-BZ13</f>
        <v>484.25957825931431</v>
      </c>
      <c r="CA14" s="976">
        <f>CA12-CA13</f>
        <v>1740.8185444145042</v>
      </c>
      <c r="CB14" s="933"/>
      <c r="CC14" s="977">
        <f>CC12-CC13</f>
        <v>418.21466146316425</v>
      </c>
      <c r="CD14" s="471">
        <f>CD12-CD13</f>
        <v>441.0193016578994</v>
      </c>
      <c r="CE14" s="471">
        <f>CE12-CE13</f>
        <v>431.79113020352827</v>
      </c>
      <c r="CF14" s="471">
        <f>CF12-CF13</f>
        <v>497.32147804807096</v>
      </c>
      <c r="CG14" s="976">
        <f>CG12-CG13</f>
        <v>1788.346571372663</v>
      </c>
      <c r="CH14" s="933"/>
      <c r="CI14" s="977">
        <f>CI12-CI13</f>
        <v>429.84798832443937</v>
      </c>
      <c r="CJ14" s="471">
        <f>CJ12-CJ13</f>
        <v>453.27101847723122</v>
      </c>
      <c r="CK14" s="471">
        <f>CK12-CK13</f>
        <v>443.40395851569014</v>
      </c>
      <c r="CL14" s="471">
        <f>CL12-CL13</f>
        <v>510.77495413519381</v>
      </c>
      <c r="CM14" s="976">
        <f>CM12-CM13</f>
        <v>1837.2979194525547</v>
      </c>
    </row>
    <row r="15" spans="1:91" s="830" customFormat="1">
      <c r="A15" s="2177" t="s">
        <v>43</v>
      </c>
      <c r="B15" s="2178"/>
      <c r="C15" s="2179">
        <f>IS!C11</f>
        <v>402.9</v>
      </c>
      <c r="D15" s="2180">
        <f>IS!D11</f>
        <v>437.28999999999996</v>
      </c>
      <c r="E15" s="2180">
        <f>IS!E11</f>
        <v>435.66800000000001</v>
      </c>
      <c r="F15" s="2180">
        <f>IS!F11</f>
        <v>480.69500000000005</v>
      </c>
      <c r="G15" s="2181">
        <f>IS!G11</f>
        <v>1756.5529999999999</v>
      </c>
      <c r="H15" s="2178"/>
      <c r="I15" s="2179">
        <f>IS!I11</f>
        <v>458.71999999999997</v>
      </c>
      <c r="J15" s="2180">
        <f>IS!J11</f>
        <v>504.96500000000003</v>
      </c>
      <c r="K15" s="2180">
        <f>IS!K11</f>
        <v>478.74700000000001</v>
      </c>
      <c r="L15" s="2180">
        <f>IS!L11</f>
        <v>499.87</v>
      </c>
      <c r="M15" s="2181">
        <f>IS!M11</f>
        <v>1942.3019999999999</v>
      </c>
      <c r="N15" s="2178"/>
      <c r="O15" s="2182">
        <f t="shared" ref="O15:S16" si="20">O9+O12</f>
        <v>370.54817653050202</v>
      </c>
      <c r="P15" s="2183">
        <f t="shared" si="20"/>
        <v>374.705823469498</v>
      </c>
      <c r="Q15" s="2183">
        <f t="shared" si="20"/>
        <v>377.036</v>
      </c>
      <c r="R15" s="2183">
        <f t="shared" si="20"/>
        <v>428.476</v>
      </c>
      <c r="S15" s="2184">
        <f t="shared" si="20"/>
        <v>1550.7660000000001</v>
      </c>
      <c r="T15" s="2183"/>
      <c r="U15" s="2182">
        <f t="shared" ref="U15:Y16" si="21">U9+U12</f>
        <v>393.80200000000002</v>
      </c>
      <c r="V15" s="2183">
        <f t="shared" si="21"/>
        <v>421.79500000000002</v>
      </c>
      <c r="W15" s="2183">
        <f t="shared" si="21"/>
        <v>419.32500000000005</v>
      </c>
      <c r="X15" s="2183">
        <f t="shared" si="21"/>
        <v>470.15800000000002</v>
      </c>
      <c r="Y15" s="2184">
        <f t="shared" si="21"/>
        <v>1705.08</v>
      </c>
      <c r="Z15" s="2183"/>
      <c r="AA15" s="2182">
        <f t="shared" ref="AA15:AE16" si="22">AA9+AA12</f>
        <v>448.18900000000002</v>
      </c>
      <c r="AB15" s="2183">
        <f t="shared" si="22"/>
        <v>485.59300000000002</v>
      </c>
      <c r="AC15" s="2183">
        <f t="shared" si="22"/>
        <v>458.90613202400004</v>
      </c>
      <c r="AD15" s="2183">
        <f t="shared" si="22"/>
        <v>508.85699999999991</v>
      </c>
      <c r="AE15" s="2184">
        <f t="shared" si="22"/>
        <v>1901.5451320240002</v>
      </c>
      <c r="AF15" s="2183"/>
      <c r="AG15" s="2182">
        <f t="shared" ref="AG15:AK16" si="23">AG9+AG12</f>
        <v>476.41300000000001</v>
      </c>
      <c r="AH15" s="2183">
        <f t="shared" si="23"/>
        <v>490.07300000000004</v>
      </c>
      <c r="AI15" s="2183">
        <f t="shared" si="23"/>
        <v>467.81075182760009</v>
      </c>
      <c r="AJ15" s="2183">
        <f t="shared" si="23"/>
        <v>525.24700000000007</v>
      </c>
      <c r="AK15" s="2184">
        <f t="shared" si="23"/>
        <v>1959.5437518276001</v>
      </c>
      <c r="AL15" s="2178"/>
      <c r="AM15" s="2182">
        <f>AM9+AM12</f>
        <v>460.79307875848792</v>
      </c>
      <c r="AN15" s="2183">
        <f>AN9+AN12</f>
        <v>501.54518245240001</v>
      </c>
      <c r="AO15" s="2183">
        <f>AO9+AO12</f>
        <v>478.34076558815207</v>
      </c>
      <c r="AP15" s="2183">
        <f>AP9+AP12</f>
        <v>536.41280900000015</v>
      </c>
      <c r="AQ15" s="2184">
        <f>AQ9+AQ12</f>
        <v>1977.0918357990402</v>
      </c>
      <c r="AR15" s="2178"/>
      <c r="AS15" s="2182">
        <f t="shared" ref="AS15:AW16" si="24">AS9+AS12</f>
        <v>476.69346761884594</v>
      </c>
      <c r="AT15" s="2183">
        <f t="shared" si="24"/>
        <v>503.64039049382711</v>
      </c>
      <c r="AU15" s="2183">
        <f t="shared" si="24"/>
        <v>504.056262811983</v>
      </c>
      <c r="AV15" s="2183">
        <f t="shared" si="24"/>
        <v>575.47094068895262</v>
      </c>
      <c r="AW15" s="2184">
        <f t="shared" si="24"/>
        <v>2059.8610616136089</v>
      </c>
      <c r="AX15" s="2178"/>
      <c r="AY15" s="2182">
        <f t="shared" ref="AY15:BC16" si="25">AY9+AY12</f>
        <v>484.41200000000003</v>
      </c>
      <c r="AZ15" s="2183">
        <f t="shared" si="25"/>
        <v>525.46299999999997</v>
      </c>
      <c r="BA15" s="2183">
        <f t="shared" si="25"/>
        <v>525.673</v>
      </c>
      <c r="BB15" s="2183">
        <f t="shared" si="25"/>
        <v>570.072</v>
      </c>
      <c r="BC15" s="2184">
        <f t="shared" si="25"/>
        <v>2105.62</v>
      </c>
      <c r="BD15" s="2178"/>
      <c r="BE15" s="2182">
        <f t="shared" ref="BE15:BI16" si="26">BE9+BE12</f>
        <v>498.19100000000003</v>
      </c>
      <c r="BF15" s="2183">
        <f t="shared" si="26"/>
        <v>536.41800000000001</v>
      </c>
      <c r="BG15" s="2183">
        <f t="shared" si="26"/>
        <v>514.66499999999996</v>
      </c>
      <c r="BH15" s="2183">
        <f t="shared" si="26"/>
        <v>566.95399999999995</v>
      </c>
      <c r="BI15" s="2184">
        <f t="shared" si="26"/>
        <v>2116.2280000000001</v>
      </c>
      <c r="BJ15" s="2178"/>
      <c r="BK15" s="2182">
        <f t="shared" ref="BK15:BO16" si="27">BK9+BK12</f>
        <v>514.29999999999995</v>
      </c>
      <c r="BL15" s="2183">
        <f t="shared" si="27"/>
        <v>547.14800000000002</v>
      </c>
      <c r="BM15" s="2183">
        <f t="shared" si="27"/>
        <v>554.46</v>
      </c>
      <c r="BN15" s="2183">
        <f t="shared" si="27"/>
        <v>641.81899999999996</v>
      </c>
      <c r="BO15" s="2184">
        <f t="shared" si="27"/>
        <v>2257.7269999999999</v>
      </c>
      <c r="BP15" s="2178"/>
      <c r="BQ15" s="2182">
        <f t="shared" ref="BQ15:BU16" si="28">BQ9+BQ12</f>
        <v>623.65968539215214</v>
      </c>
      <c r="BR15" s="2183">
        <f t="shared" si="28"/>
        <v>685.87265029598109</v>
      </c>
      <c r="BS15" s="2183">
        <f t="shared" si="28"/>
        <v>682.86766192760922</v>
      </c>
      <c r="BT15" s="2183">
        <f t="shared" si="28"/>
        <v>766.00272890127144</v>
      </c>
      <c r="BU15" s="2184">
        <f t="shared" si="28"/>
        <v>2758.4027265170143</v>
      </c>
      <c r="BV15" s="2178"/>
      <c r="BW15" s="2182">
        <f t="shared" ref="BW15:CA16" si="29">BW9+BW12</f>
        <v>663.39730441106917</v>
      </c>
      <c r="BX15" s="2183">
        <f t="shared" si="29"/>
        <v>734.03669203030097</v>
      </c>
      <c r="BY15" s="2183">
        <f t="shared" si="29"/>
        <v>734.56515858406124</v>
      </c>
      <c r="BZ15" s="2183">
        <f t="shared" si="29"/>
        <v>824.77400147482808</v>
      </c>
      <c r="CA15" s="2184">
        <f t="shared" si="29"/>
        <v>2956.7731565002596</v>
      </c>
      <c r="CB15" s="2178"/>
      <c r="CC15" s="2182">
        <f t="shared" ref="CC15:CG15" si="30">CC9+CC12</f>
        <v>711.22700533691716</v>
      </c>
      <c r="CD15" s="2183">
        <f t="shared" si="30"/>
        <v>788.46222375207776</v>
      </c>
      <c r="CE15" s="2183">
        <f t="shared" si="30"/>
        <v>787.26249003012572</v>
      </c>
      <c r="CF15" s="2183">
        <f t="shared" si="30"/>
        <v>879.75225636117523</v>
      </c>
      <c r="CG15" s="2184">
        <f t="shared" si="30"/>
        <v>3166.7039754802963</v>
      </c>
      <c r="CH15" s="2178"/>
      <c r="CI15" s="2182">
        <f t="shared" ref="CI15:CM15" si="31">CI9+CI12</f>
        <v>749.40231176765747</v>
      </c>
      <c r="CJ15" s="2183">
        <f t="shared" si="31"/>
        <v>830.86438726510255</v>
      </c>
      <c r="CK15" s="2183">
        <f t="shared" si="31"/>
        <v>832.62791892981545</v>
      </c>
      <c r="CL15" s="2183">
        <f t="shared" si="31"/>
        <v>929.72940333262727</v>
      </c>
      <c r="CM15" s="2184">
        <f t="shared" si="31"/>
        <v>3342.6240212952025</v>
      </c>
    </row>
    <row r="16" spans="1:91" s="130" customFormat="1" outlineLevel="1">
      <c r="A16" s="988" t="s">
        <v>170</v>
      </c>
      <c r="B16" s="135"/>
      <c r="C16" s="964">
        <f>C10+C13</f>
        <v>0</v>
      </c>
      <c r="D16" s="966">
        <f>D10+D13</f>
        <v>0</v>
      </c>
      <c r="E16" s="966">
        <f>E10+E13</f>
        <v>0</v>
      </c>
      <c r="F16" s="966">
        <f>F10+F13</f>
        <v>0</v>
      </c>
      <c r="G16" s="967">
        <f>G10+G13</f>
        <v>0</v>
      </c>
      <c r="H16" s="135"/>
      <c r="I16" s="964">
        <f>I10+I13</f>
        <v>0</v>
      </c>
      <c r="J16" s="966">
        <f>J10+J13</f>
        <v>0</v>
      </c>
      <c r="K16" s="966">
        <f>K10+K13</f>
        <v>0</v>
      </c>
      <c r="L16" s="966">
        <f>L10+L13</f>
        <v>0</v>
      </c>
      <c r="M16" s="967">
        <f>M10+M13</f>
        <v>0</v>
      </c>
      <c r="N16" s="135"/>
      <c r="O16" s="985">
        <f t="shared" si="20"/>
        <v>0</v>
      </c>
      <c r="P16" s="986">
        <f t="shared" si="20"/>
        <v>0</v>
      </c>
      <c r="Q16" s="986">
        <f t="shared" si="20"/>
        <v>0</v>
      </c>
      <c r="R16" s="986">
        <f t="shared" si="20"/>
        <v>0</v>
      </c>
      <c r="S16" s="987">
        <f t="shared" si="20"/>
        <v>0</v>
      </c>
      <c r="T16" s="986"/>
      <c r="U16" s="985">
        <f t="shared" si="21"/>
        <v>0.18200000000000005</v>
      </c>
      <c r="V16" s="986">
        <f t="shared" si="21"/>
        <v>0.182</v>
      </c>
      <c r="W16" s="986">
        <f t="shared" si="21"/>
        <v>0.182</v>
      </c>
      <c r="X16" s="986">
        <f t="shared" si="21"/>
        <v>0.188</v>
      </c>
      <c r="Y16" s="987">
        <f t="shared" si="21"/>
        <v>0.73399999999999999</v>
      </c>
      <c r="Z16" s="986"/>
      <c r="AA16" s="985">
        <f t="shared" si="22"/>
        <v>0.191</v>
      </c>
      <c r="AB16" s="986">
        <f t="shared" si="22"/>
        <v>6.1870000000000003</v>
      </c>
      <c r="AC16" s="986">
        <f t="shared" si="22"/>
        <v>9.9190000000000005</v>
      </c>
      <c r="AD16" s="986">
        <f t="shared" si="22"/>
        <v>14.526999999999999</v>
      </c>
      <c r="AE16" s="987">
        <f t="shared" si="22"/>
        <v>30.823999999999998</v>
      </c>
      <c r="AF16" s="986"/>
      <c r="AG16" s="985">
        <f t="shared" si="23"/>
        <v>6.4729999999999999</v>
      </c>
      <c r="AH16" s="986">
        <f t="shared" si="23"/>
        <v>10.462999999999999</v>
      </c>
      <c r="AI16" s="986">
        <f t="shared" si="23"/>
        <v>5.2370000000000001</v>
      </c>
      <c r="AJ16" s="986">
        <f t="shared" si="23"/>
        <v>4.0759999999999996</v>
      </c>
      <c r="AK16" s="987">
        <f t="shared" si="23"/>
        <v>26.249000000000002</v>
      </c>
      <c r="AL16" s="135"/>
      <c r="AM16" s="985">
        <f>AM10+AM13</f>
        <v>1.9319999999999999</v>
      </c>
      <c r="AN16" s="986">
        <f>AN10+AN13</f>
        <v>3.7989999999999999</v>
      </c>
      <c r="AO16" s="986">
        <f>AO10+AO13</f>
        <v>0.85099999999999998</v>
      </c>
      <c r="AP16" s="986">
        <f>AP10+AP13</f>
        <v>0.73899999999999999</v>
      </c>
      <c r="AQ16" s="987">
        <f>SUM(AM16:AP16)</f>
        <v>7.3209999999999997</v>
      </c>
      <c r="AR16" s="986"/>
      <c r="AS16" s="1729">
        <f t="shared" si="24"/>
        <v>1.452</v>
      </c>
      <c r="AT16" s="1730">
        <f t="shared" si="24"/>
        <v>0.42599999999999999</v>
      </c>
      <c r="AU16" s="1730">
        <f t="shared" si="24"/>
        <v>0.81100000000000005</v>
      </c>
      <c r="AV16" s="1730">
        <f t="shared" si="24"/>
        <v>0.22700000000000001</v>
      </c>
      <c r="AW16" s="1666">
        <f t="shared" si="24"/>
        <v>2.9159999999999999</v>
      </c>
      <c r="AX16" s="135"/>
      <c r="AY16" s="1729">
        <f t="shared" si="25"/>
        <v>0.26900000000000002</v>
      </c>
      <c r="AZ16" s="986">
        <f t="shared" si="25"/>
        <v>0.19500000000000001</v>
      </c>
      <c r="BA16" s="986">
        <f t="shared" si="25"/>
        <v>0.16400000000000001</v>
      </c>
      <c r="BB16" s="1730">
        <f t="shared" si="25"/>
        <v>0.16900000000000001</v>
      </c>
      <c r="BC16" s="1666">
        <f t="shared" si="25"/>
        <v>0.79700000000000004</v>
      </c>
      <c r="BD16" s="135"/>
      <c r="BE16" s="985">
        <f t="shared" si="26"/>
        <v>0.17499999999999999</v>
      </c>
      <c r="BF16" s="986">
        <f t="shared" si="26"/>
        <v>0.17599999999999999</v>
      </c>
      <c r="BG16" s="986">
        <f t="shared" si="26"/>
        <v>0.17599999999999999</v>
      </c>
      <c r="BH16" s="986">
        <f t="shared" si="26"/>
        <v>0.184</v>
      </c>
      <c r="BI16" s="987">
        <f t="shared" si="26"/>
        <v>0.71099999999999985</v>
      </c>
      <c r="BJ16" s="135"/>
      <c r="BK16" s="985">
        <f t="shared" si="27"/>
        <v>0.185</v>
      </c>
      <c r="BL16" s="986">
        <f t="shared" si="27"/>
        <v>0.186</v>
      </c>
      <c r="BM16" s="986">
        <f t="shared" si="27"/>
        <v>0.185</v>
      </c>
      <c r="BN16" s="986">
        <f t="shared" si="27"/>
        <v>0.189</v>
      </c>
      <c r="BO16" s="987">
        <f t="shared" si="27"/>
        <v>0.74500000000000011</v>
      </c>
      <c r="BP16" s="135"/>
      <c r="BQ16" s="985">
        <f t="shared" si="28"/>
        <v>0</v>
      </c>
      <c r="BR16" s="986">
        <f t="shared" si="28"/>
        <v>0</v>
      </c>
      <c r="BS16" s="986">
        <f t="shared" si="28"/>
        <v>0</v>
      </c>
      <c r="BT16" s="986">
        <f t="shared" si="28"/>
        <v>0</v>
      </c>
      <c r="BU16" s="987">
        <f t="shared" si="28"/>
        <v>0</v>
      </c>
      <c r="BV16" s="135"/>
      <c r="BW16" s="985">
        <f t="shared" si="29"/>
        <v>0</v>
      </c>
      <c r="BX16" s="986">
        <f t="shared" si="29"/>
        <v>0</v>
      </c>
      <c r="BY16" s="986">
        <f t="shared" si="29"/>
        <v>0</v>
      </c>
      <c r="BZ16" s="986">
        <f t="shared" si="29"/>
        <v>0</v>
      </c>
      <c r="CA16" s="987">
        <f t="shared" si="29"/>
        <v>0</v>
      </c>
      <c r="CB16" s="135"/>
      <c r="CC16" s="985">
        <f t="shared" ref="CC16:CG16" si="32">CC10+CC13</f>
        <v>0</v>
      </c>
      <c r="CD16" s="986">
        <f t="shared" si="32"/>
        <v>0</v>
      </c>
      <c r="CE16" s="986">
        <f t="shared" si="32"/>
        <v>0</v>
      </c>
      <c r="CF16" s="986">
        <f t="shared" si="32"/>
        <v>0</v>
      </c>
      <c r="CG16" s="987">
        <f t="shared" si="32"/>
        <v>0</v>
      </c>
      <c r="CH16" s="135"/>
      <c r="CI16" s="985">
        <f t="shared" ref="CI16:CM16" si="33">CI10+CI13</f>
        <v>0</v>
      </c>
      <c r="CJ16" s="986">
        <f t="shared" si="33"/>
        <v>0</v>
      </c>
      <c r="CK16" s="986">
        <f t="shared" si="33"/>
        <v>0</v>
      </c>
      <c r="CL16" s="986">
        <f t="shared" si="33"/>
        <v>0</v>
      </c>
      <c r="CM16" s="987">
        <f t="shared" si="33"/>
        <v>0</v>
      </c>
    </row>
    <row r="17" spans="1:99" s="130" customFormat="1" outlineLevel="1">
      <c r="A17" s="988" t="s">
        <v>162</v>
      </c>
      <c r="B17" s="135"/>
      <c r="C17" s="985">
        <f>C15-C16</f>
        <v>402.9</v>
      </c>
      <c r="D17" s="986">
        <f>D15-D16</f>
        <v>437.28999999999996</v>
      </c>
      <c r="E17" s="986">
        <f>E15-E16</f>
        <v>435.66800000000001</v>
      </c>
      <c r="F17" s="986">
        <f>F15-F16</f>
        <v>480.69500000000005</v>
      </c>
      <c r="G17" s="987">
        <f>G15-G16</f>
        <v>1756.5529999999999</v>
      </c>
      <c r="H17" s="986"/>
      <c r="I17" s="985">
        <f>I15-I16</f>
        <v>458.71999999999997</v>
      </c>
      <c r="J17" s="986">
        <f>J15-J16</f>
        <v>504.96500000000003</v>
      </c>
      <c r="K17" s="986">
        <f>K15-K16</f>
        <v>478.74700000000001</v>
      </c>
      <c r="L17" s="986">
        <f>L15-L16</f>
        <v>499.87</v>
      </c>
      <c r="M17" s="987">
        <f>M15-M16</f>
        <v>1942.3019999999999</v>
      </c>
      <c r="N17" s="135"/>
      <c r="O17" s="985">
        <f>O15-O16</f>
        <v>370.54817653050202</v>
      </c>
      <c r="P17" s="986">
        <f>P15-P16</f>
        <v>374.705823469498</v>
      </c>
      <c r="Q17" s="986">
        <f>Q15-Q16</f>
        <v>377.036</v>
      </c>
      <c r="R17" s="986">
        <f>R15-R16</f>
        <v>428.476</v>
      </c>
      <c r="S17" s="987">
        <f>S15-S16</f>
        <v>1550.7660000000001</v>
      </c>
      <c r="T17" s="986"/>
      <c r="U17" s="985">
        <f>U15-U16</f>
        <v>393.62</v>
      </c>
      <c r="V17" s="986">
        <f>V15-V16</f>
        <v>421.613</v>
      </c>
      <c r="W17" s="986">
        <f>W15-W16</f>
        <v>419.14300000000003</v>
      </c>
      <c r="X17" s="986">
        <f>X15-X16</f>
        <v>469.97</v>
      </c>
      <c r="Y17" s="987">
        <f>Y15-Y16</f>
        <v>1704.346</v>
      </c>
      <c r="Z17" s="986"/>
      <c r="AA17" s="985">
        <f>AA15-AA16</f>
        <v>447.99800000000005</v>
      </c>
      <c r="AB17" s="986">
        <f>AB15-AB16</f>
        <v>479.40600000000001</v>
      </c>
      <c r="AC17" s="986">
        <f>AC15-AC16</f>
        <v>448.98713202400006</v>
      </c>
      <c r="AD17" s="986">
        <f>AD15-AD16</f>
        <v>494.32999999999993</v>
      </c>
      <c r="AE17" s="987">
        <f>AE15-AE16</f>
        <v>1870.7211320240001</v>
      </c>
      <c r="AF17" s="986"/>
      <c r="AG17" s="985">
        <f>AG15-AG16</f>
        <v>469.94</v>
      </c>
      <c r="AH17" s="986">
        <f>AH15-AH16</f>
        <v>479.61</v>
      </c>
      <c r="AI17" s="986">
        <f>AI15-AI16</f>
        <v>462.57375182760006</v>
      </c>
      <c r="AJ17" s="986">
        <f>AJ15-AJ16</f>
        <v>521.17100000000005</v>
      </c>
      <c r="AK17" s="987">
        <f>AK15-AK16</f>
        <v>1933.2947518276001</v>
      </c>
      <c r="AL17" s="135"/>
      <c r="AM17" s="985">
        <f>AM15-AM16</f>
        <v>458.86107875848791</v>
      </c>
      <c r="AN17" s="986">
        <f>AN15-AN16</f>
        <v>497.74618245240003</v>
      </c>
      <c r="AO17" s="986">
        <f>AO15-AO16</f>
        <v>477.48976558815207</v>
      </c>
      <c r="AP17" s="986">
        <f>AP15-AP16</f>
        <v>535.67380900000012</v>
      </c>
      <c r="AQ17" s="987">
        <f>AQ15-AQ16</f>
        <v>1969.7708357990402</v>
      </c>
      <c r="AR17" s="135"/>
      <c r="AS17" s="985">
        <f>AS15-AS16</f>
        <v>475.24146761884595</v>
      </c>
      <c r="AT17" s="986">
        <f>AT15-AT16</f>
        <v>503.21439049382712</v>
      </c>
      <c r="AU17" s="986">
        <f>AU15-AU16</f>
        <v>503.24526281198303</v>
      </c>
      <c r="AV17" s="986">
        <f>AV15-AV16</f>
        <v>575.24394068895265</v>
      </c>
      <c r="AW17" s="987">
        <f>AW15-AW16</f>
        <v>2056.9450616136087</v>
      </c>
      <c r="AX17" s="135"/>
      <c r="AY17" s="985">
        <f>AY15-AY16</f>
        <v>484.14300000000003</v>
      </c>
      <c r="AZ17" s="986">
        <f>AZ15-AZ16</f>
        <v>525.26799999999992</v>
      </c>
      <c r="BA17" s="986">
        <f>BA15-BA16</f>
        <v>525.50900000000001</v>
      </c>
      <c r="BB17" s="986">
        <f>BB15-BB16</f>
        <v>569.90300000000002</v>
      </c>
      <c r="BC17" s="987">
        <f>BC15-BC16</f>
        <v>2104.8229999999999</v>
      </c>
      <c r="BD17" s="135"/>
      <c r="BE17" s="985">
        <f>BE15-BE16</f>
        <v>498.01600000000002</v>
      </c>
      <c r="BF17" s="986">
        <f>BF15-BF16</f>
        <v>536.24199999999996</v>
      </c>
      <c r="BG17" s="986">
        <f>BG15-BG16</f>
        <v>514.48899999999992</v>
      </c>
      <c r="BH17" s="986">
        <f>BH15-BH16</f>
        <v>566.77</v>
      </c>
      <c r="BI17" s="987">
        <f>BI15-BI16</f>
        <v>2115.5170000000003</v>
      </c>
      <c r="BJ17" s="135"/>
      <c r="BK17" s="985">
        <f>BK15-BK16</f>
        <v>514.11500000000001</v>
      </c>
      <c r="BL17" s="986">
        <f>BL15-BL16</f>
        <v>546.96199999999999</v>
      </c>
      <c r="BM17" s="986">
        <f>BM15-BM16</f>
        <v>554.27500000000009</v>
      </c>
      <c r="BN17" s="986">
        <f>BN15-BN16</f>
        <v>641.63</v>
      </c>
      <c r="BO17" s="987">
        <f>BO15-BO16</f>
        <v>2256.982</v>
      </c>
      <c r="BP17" s="135"/>
      <c r="BQ17" s="985">
        <f>BQ15-BQ16</f>
        <v>623.65968539215214</v>
      </c>
      <c r="BR17" s="986">
        <f>BR15-BR16</f>
        <v>685.87265029598109</v>
      </c>
      <c r="BS17" s="986">
        <f>BS15-BS16</f>
        <v>682.86766192760922</v>
      </c>
      <c r="BT17" s="986">
        <f>BT15-BT16</f>
        <v>766.00272890127144</v>
      </c>
      <c r="BU17" s="987">
        <f>BU15-BU16</f>
        <v>2758.4027265170143</v>
      </c>
      <c r="BV17" s="135"/>
      <c r="BW17" s="985">
        <f>BW15-BW16</f>
        <v>663.39730441106917</v>
      </c>
      <c r="BX17" s="986">
        <f>BX15-BX16</f>
        <v>734.03669203030097</v>
      </c>
      <c r="BY17" s="986">
        <f>BY15-BY16</f>
        <v>734.56515858406124</v>
      </c>
      <c r="BZ17" s="986">
        <f>BZ15-BZ16</f>
        <v>824.77400147482808</v>
      </c>
      <c r="CA17" s="987">
        <f>CA15-CA16</f>
        <v>2956.7731565002596</v>
      </c>
      <c r="CB17" s="135"/>
      <c r="CC17" s="985">
        <f>CC15-CC16</f>
        <v>711.22700533691716</v>
      </c>
      <c r="CD17" s="986">
        <f>CD15-CD16</f>
        <v>788.46222375207776</v>
      </c>
      <c r="CE17" s="986">
        <f>CE15-CE16</f>
        <v>787.26249003012572</v>
      </c>
      <c r="CF17" s="986">
        <f>CF15-CF16</f>
        <v>879.75225636117523</v>
      </c>
      <c r="CG17" s="987">
        <f>CG15-CG16</f>
        <v>3166.7039754802963</v>
      </c>
      <c r="CH17" s="135"/>
      <c r="CI17" s="985">
        <f>CI15-CI16</f>
        <v>749.40231176765747</v>
      </c>
      <c r="CJ17" s="986">
        <f>CJ15-CJ16</f>
        <v>830.86438726510255</v>
      </c>
      <c r="CK17" s="986">
        <f>CK15-CK16</f>
        <v>832.62791892981545</v>
      </c>
      <c r="CL17" s="986">
        <f>CL15-CL16</f>
        <v>929.72940333262727</v>
      </c>
      <c r="CM17" s="987">
        <f>CM15-CM16</f>
        <v>3342.6240212952025</v>
      </c>
    </row>
    <row r="18" spans="1:99">
      <c r="A18" s="897" t="s">
        <v>175</v>
      </c>
      <c r="B18" s="227"/>
      <c r="C18" s="904">
        <v>0.13</v>
      </c>
      <c r="D18" s="905">
        <v>0.16</v>
      </c>
      <c r="E18" s="905">
        <v>0.13</v>
      </c>
      <c r="F18" s="905">
        <v>0.2</v>
      </c>
      <c r="G18" s="850">
        <f>AVERAGE(C18:F18)</f>
        <v>0.15500000000000003</v>
      </c>
      <c r="H18" s="227"/>
      <c r="I18" s="848">
        <f>I17/C17-1</f>
        <v>0.13854554480019865</v>
      </c>
      <c r="J18" s="849">
        <f>J17/D17-1</f>
        <v>0.15475999908527549</v>
      </c>
      <c r="K18" s="849">
        <f>K17/E17-1</f>
        <v>9.8880340075470308E-2</v>
      </c>
      <c r="L18" s="849">
        <f>L17/F17-1</f>
        <v>3.9890159040555817E-2</v>
      </c>
      <c r="M18" s="850">
        <f>M17/G17-1</f>
        <v>0.10574631109906729</v>
      </c>
      <c r="N18" s="227"/>
      <c r="O18" s="848">
        <f>O17/I17-1</f>
        <v>-0.19221272992129834</v>
      </c>
      <c r="P18" s="849">
        <f>P17/J17-1</f>
        <v>-0.25795684162368093</v>
      </c>
      <c r="Q18" s="849">
        <f>Q17/K17-1</f>
        <v>-0.21245250622980405</v>
      </c>
      <c r="R18" s="849">
        <f>R17/L17-1</f>
        <v>-0.14282513453497914</v>
      </c>
      <c r="S18" s="850">
        <f>S17/M17-1</f>
        <v>-0.20158348186842201</v>
      </c>
      <c r="T18" s="227"/>
      <c r="U18" s="848">
        <f>U17/O17-1</f>
        <v>6.2264031860912006E-2</v>
      </c>
      <c r="V18" s="849">
        <f>V17/P17-1</f>
        <v>0.12518400727316248</v>
      </c>
      <c r="W18" s="849">
        <f>W17/Q17-1</f>
        <v>0.11167899086559374</v>
      </c>
      <c r="X18" s="849">
        <f>X17/R17-1</f>
        <v>9.6840896572970347E-2</v>
      </c>
      <c r="Y18" s="850">
        <f>Y17/S17-1</f>
        <v>9.9034928544990075E-2</v>
      </c>
      <c r="Z18" s="227"/>
      <c r="AA18" s="848">
        <f>AA17/U17-1</f>
        <v>0.13814846806564707</v>
      </c>
      <c r="AB18" s="849">
        <f>AB17/V17-1</f>
        <v>0.13707594405295853</v>
      </c>
      <c r="AC18" s="849">
        <f>AC17/W17-1</f>
        <v>7.1202744705267662E-2</v>
      </c>
      <c r="AD18" s="849">
        <f>AD17/X17-1</f>
        <v>5.1833095729514334E-2</v>
      </c>
      <c r="AE18" s="850">
        <f>AE17/Y17-1</f>
        <v>9.7618166747831747E-2</v>
      </c>
      <c r="AF18" s="227"/>
      <c r="AG18" s="848">
        <f>AG17/AA17-1-(6.473-0.191)/AA17</f>
        <v>3.4955513194255126E-2</v>
      </c>
      <c r="AH18" s="849">
        <f>AH17/AB17-1-(10.463-6.187)/AB17</f>
        <v>-8.4938444658597314E-3</v>
      </c>
      <c r="AI18" s="849">
        <f>AI17/AC17-1</f>
        <v>3.0260599546255484E-2</v>
      </c>
      <c r="AJ18" s="849">
        <f>AJ17/AD17-1</f>
        <v>5.429773632998236E-2</v>
      </c>
      <c r="AK18" s="850">
        <f>AK17/AE17-1</f>
        <v>3.344892979099412E-2</v>
      </c>
      <c r="AL18" s="227"/>
      <c r="AM18" s="848">
        <f>AM17/AG17-1</f>
        <v>-2.3575182452040933E-2</v>
      </c>
      <c r="AN18" s="849">
        <f>AN17/AH17-1</f>
        <v>3.7814437673109547E-2</v>
      </c>
      <c r="AO18" s="849">
        <f>AO17/AI17-1</f>
        <v>3.2245698554273172E-2</v>
      </c>
      <c r="AP18" s="849">
        <f>AP17/AJ17-1</f>
        <v>2.7827352250988868E-2</v>
      </c>
      <c r="AQ18" s="850">
        <f>AQ17/AK17-1</f>
        <v>1.8867316500475795E-2</v>
      </c>
      <c r="AR18" s="227"/>
      <c r="AS18" s="848">
        <f>AS17/AM17-1</f>
        <v>3.5697926057876694E-2</v>
      </c>
      <c r="AT18" s="453">
        <f>AT17/AN17-1</f>
        <v>1.0985936676571217E-2</v>
      </c>
      <c r="AU18" s="453">
        <f>AU17/AO17-1</f>
        <v>5.3939370181278035E-2</v>
      </c>
      <c r="AV18" s="849">
        <f>AV17/AP17-1</f>
        <v>7.386982716743673E-2</v>
      </c>
      <c r="AW18" s="850">
        <f>AW17/AQ17-1</f>
        <v>4.4256024218779721E-2</v>
      </c>
      <c r="AX18" s="227"/>
      <c r="AY18" s="848">
        <f>AY17/AS17-1</f>
        <v>1.8730546443588736E-2</v>
      </c>
      <c r="AZ18" s="849">
        <f>AZ17/AT17-1</f>
        <v>4.3825474634242134E-2</v>
      </c>
      <c r="BA18" s="849">
        <f>BA17/AU17-1</f>
        <v>4.4240331371653507E-2</v>
      </c>
      <c r="BB18" s="849">
        <f>BB17/AV17-1</f>
        <v>-9.2846535376903683E-3</v>
      </c>
      <c r="BC18" s="861">
        <f>BC17/AW17-1</f>
        <v>2.3276235850865357E-2</v>
      </c>
      <c r="BD18" s="227"/>
      <c r="BE18" s="848">
        <f>BE17/AY17-1</f>
        <v>2.8654756962302352E-2</v>
      </c>
      <c r="BF18" s="849">
        <f>BF17/AZ17-1</f>
        <v>2.0892192176184432E-2</v>
      </c>
      <c r="BG18" s="849">
        <f>BG17/BA17-1</f>
        <v>-2.0970145135478346E-2</v>
      </c>
      <c r="BH18" s="849">
        <f>BH17/BB17-1</f>
        <v>-5.4974267550794709E-3</v>
      </c>
      <c r="BI18" s="850">
        <f>BI17/BC17-1</f>
        <v>5.0807122499139101E-3</v>
      </c>
      <c r="BJ18" s="227"/>
      <c r="BK18" s="848">
        <f>BK17/BE17-1</f>
        <v>3.2326270641906962E-2</v>
      </c>
      <c r="BL18" s="849">
        <f>BL17/BF17-1</f>
        <v>1.9990974224324054E-2</v>
      </c>
      <c r="BM18" s="849">
        <f>BM17/BG17-1</f>
        <v>7.7331099401542369E-2</v>
      </c>
      <c r="BN18" s="849">
        <f>BN17/BH17-1</f>
        <v>0.13208179684880994</v>
      </c>
      <c r="BO18" s="850">
        <f>BO17/BI17-1</f>
        <v>6.6870178778993372E-2</v>
      </c>
      <c r="BP18" s="227"/>
      <c r="BQ18" s="848">
        <f>BQ17/BK17-1</f>
        <v>0.21307428375393078</v>
      </c>
      <c r="BR18" s="849">
        <f>BR17/BL17-1</f>
        <v>0.25396764363151569</v>
      </c>
      <c r="BS18" s="849">
        <f>BS17/BM17-1</f>
        <v>0.23200155505409614</v>
      </c>
      <c r="BT18" s="849">
        <f>BT17/BN17-1</f>
        <v>0.19383870595401009</v>
      </c>
      <c r="BU18" s="850">
        <f>BU17/BO17-1</f>
        <v>0.22216425585893651</v>
      </c>
      <c r="BV18" s="227"/>
      <c r="BW18" s="848">
        <f>BW17/BQ17-1</f>
        <v>6.3716831390071782E-2</v>
      </c>
      <c r="BX18" s="849">
        <f>BX17/BR17-1</f>
        <v>7.022300964112671E-2</v>
      </c>
      <c r="BY18" s="849">
        <f>BY17/BS17-1</f>
        <v>7.5706464866881484E-2</v>
      </c>
      <c r="BZ18" s="849">
        <f>BZ17/BT17-1</f>
        <v>7.6724625586982231E-2</v>
      </c>
      <c r="CA18" s="850">
        <f>CA17/BU17-1</f>
        <v>7.1914962987918774E-2</v>
      </c>
      <c r="CB18" s="227"/>
      <c r="CC18" s="848">
        <f>CC17/BW17-1</f>
        <v>7.2098123715333529E-2</v>
      </c>
      <c r="CD18" s="849">
        <f>CD17/BX17-1</f>
        <v>7.414551930808666E-2</v>
      </c>
      <c r="CE18" s="849">
        <f>CE17/BY17-1</f>
        <v>7.1739492174721642E-2</v>
      </c>
      <c r="CF18" s="849">
        <f>CF17/BZ17-1</f>
        <v>6.6658569242043608E-2</v>
      </c>
      <c r="CG18" s="850">
        <f>CG17/CA17-1</f>
        <v>7.0999974590042036E-2</v>
      </c>
      <c r="CH18" s="227"/>
      <c r="CI18" s="848">
        <f>CI17/CC17-1</f>
        <v>5.367527687261564E-2</v>
      </c>
      <c r="CJ18" s="849">
        <f>CJ17/CD17-1</f>
        <v>5.3778306982475765E-2</v>
      </c>
      <c r="CK18" s="849">
        <f>CK17/CE17-1</f>
        <v>5.7624273319504704E-2</v>
      </c>
      <c r="CL18" s="849">
        <f>CL17/CF17-1</f>
        <v>5.6808205503407372E-2</v>
      </c>
      <c r="CM18" s="850">
        <f>CM17/CG17-1</f>
        <v>5.5553044167389931E-2</v>
      </c>
    </row>
    <row r="19" spans="1:99" s="228" customFormat="1">
      <c r="A19" s="900" t="s">
        <v>176</v>
      </c>
      <c r="B19" s="353"/>
      <c r="C19" s="901">
        <v>0.04</v>
      </c>
      <c r="D19" s="902">
        <v>0.03</v>
      </c>
      <c r="E19" s="902">
        <v>0.04</v>
      </c>
      <c r="F19" s="902">
        <v>0.05</v>
      </c>
      <c r="G19" s="861">
        <f>AVERAGE(C19:F19)</f>
        <v>4.0000000000000008E-2</v>
      </c>
      <c r="H19" s="353"/>
      <c r="I19" s="901">
        <v>0.06</v>
      </c>
      <c r="J19" s="902">
        <v>0.04</v>
      </c>
      <c r="K19" s="902">
        <v>0.04</v>
      </c>
      <c r="L19" s="902">
        <v>-0.04</v>
      </c>
      <c r="M19" s="781">
        <f>SUMPRODUCT(I19:L19,C17:F17)/SUM(C17:F17)</f>
        <v>2.2694743625726068E-2</v>
      </c>
      <c r="N19" s="353"/>
      <c r="O19" s="901">
        <v>-7.0000000000000007E-2</v>
      </c>
      <c r="P19" s="902">
        <v>-5.5E-2</v>
      </c>
      <c r="Q19" s="902">
        <v>-0.02</v>
      </c>
      <c r="R19" s="902">
        <v>0.04</v>
      </c>
      <c r="S19" s="781">
        <f>SUMPRODUCT(O19:R19,I17:L17)/SUM(I17:L17)</f>
        <v>-2.5466490278030916E-2</v>
      </c>
      <c r="T19" s="353"/>
      <c r="U19" s="901">
        <v>0.04</v>
      </c>
      <c r="V19" s="902">
        <v>-2.5000000000000001E-2</v>
      </c>
      <c r="W19" s="902">
        <v>0.02</v>
      </c>
      <c r="X19" s="902">
        <v>-0.01</v>
      </c>
      <c r="Y19" s="903">
        <v>0</v>
      </c>
      <c r="Z19" s="353"/>
      <c r="AA19" s="901">
        <v>0.02</v>
      </c>
      <c r="AB19" s="902">
        <v>0.04</v>
      </c>
      <c r="AC19" s="902">
        <v>0.03</v>
      </c>
      <c r="AD19" s="902">
        <v>0</v>
      </c>
      <c r="AE19" s="781">
        <f>SUMPRODUCT(AA19:AD19,U17:X17)/SUM(U17:X17)</f>
        <v>2.1891804833056194E-2</v>
      </c>
      <c r="AF19" s="353"/>
      <c r="AG19" s="901">
        <v>-0.01</v>
      </c>
      <c r="AH19" s="902">
        <v>-4.1000000000000002E-2</v>
      </c>
      <c r="AI19" s="902">
        <v>-2.9000000000000001E-2</v>
      </c>
      <c r="AJ19" s="902">
        <v>-8.9999999999999993E-3</v>
      </c>
      <c r="AK19" s="903">
        <v>-2.4E-2</v>
      </c>
      <c r="AL19" s="353"/>
      <c r="AM19" s="901">
        <v>-0.01</v>
      </c>
      <c r="AN19" s="902">
        <v>-3.0000000000000001E-3</v>
      </c>
      <c r="AO19" s="902">
        <v>-4.0000000000000001E-3</v>
      </c>
      <c r="AP19" s="902">
        <v>0</v>
      </c>
      <c r="AQ19" s="861">
        <f>SUMPRODUCT(AM19:AP19,AG17:AJ17)/SUM(AG17:AJ17)</f>
        <v>-4.13207815298656E-3</v>
      </c>
      <c r="AR19" s="353"/>
      <c r="AS19" s="901">
        <v>0</v>
      </c>
      <c r="AT19" s="902">
        <v>5.1000000000000004E-3</v>
      </c>
      <c r="AU19" s="902">
        <v>-2E-3</v>
      </c>
      <c r="AV19" s="1554">
        <v>-0.03</v>
      </c>
      <c r="AW19" s="861">
        <f>SUMPRODUCT(AS19:AV19,AM17:AP17)/SUM(AM17:AP17)</f>
        <v>-7.354504395833703E-3</v>
      </c>
      <c r="AX19" s="353"/>
      <c r="AY19" s="901">
        <v>-6.4000000000000001E-2</v>
      </c>
      <c r="AZ19" s="902">
        <f>-0.066</f>
        <v>-6.6000000000000003E-2</v>
      </c>
      <c r="BA19" s="902">
        <v>-0.06</v>
      </c>
      <c r="BB19" s="1554">
        <f>-32/AV15</f>
        <v>-5.5606630565376014E-2</v>
      </c>
      <c r="BC19" s="861">
        <f>SUMPRODUCT(AY19:BB19,AS17:AV17)/SUM(AS17:AV17)</f>
        <v>-6.116337237761986E-2</v>
      </c>
      <c r="BD19" s="353"/>
      <c r="BE19" s="901">
        <v>-0.02</v>
      </c>
      <c r="BF19" s="902">
        <f>-3.5/AZ15</f>
        <v>-6.6607924820586799E-3</v>
      </c>
      <c r="BG19" s="902">
        <v>0</v>
      </c>
      <c r="BH19" s="1817">
        <v>-1.2999999999999999E-2</v>
      </c>
      <c r="BI19" s="861">
        <f>SUMPRODUCT(BE19:BH19,AY17:BB17)/SUM(AY17:BB17)</f>
        <v>-9.7824378322861338E-3</v>
      </c>
      <c r="BJ19" s="353"/>
      <c r="BK19" s="1818">
        <f>-7/BE15</f>
        <v>-1.4050835924374385E-2</v>
      </c>
      <c r="BL19" s="1817">
        <f>-5.5/BF15</f>
        <v>-1.025319806568758E-2</v>
      </c>
      <c r="BM19" s="902">
        <v>0.01</v>
      </c>
      <c r="BN19" s="902">
        <v>2.8000000000000001E-2</v>
      </c>
      <c r="BO19" s="861">
        <f>SUMPRODUCT(BK19:BN19,BE17:BH17)/SUM(BE17:BH17)</f>
        <v>4.0267761777127422E-3</v>
      </c>
      <c r="BP19" s="353"/>
      <c r="BQ19" s="901">
        <v>3.0537504150991601E-2</v>
      </c>
      <c r="BR19" s="902">
        <v>2.0430416472220214E-2</v>
      </c>
      <c r="BS19" s="902">
        <v>2.3493953938140688E-3</v>
      </c>
      <c r="BT19" s="902">
        <v>1.7938176307268072E-3</v>
      </c>
      <c r="BU19" s="861">
        <f>SUMPRODUCT(BQ19:BT19,BK17:BN17)/SUM(BK17:BN17)</f>
        <v>1.299417927984144E-2</v>
      </c>
      <c r="BV19" s="353"/>
      <c r="BW19" s="901">
        <v>0</v>
      </c>
      <c r="BX19" s="902">
        <v>0</v>
      </c>
      <c r="BY19" s="902">
        <v>0</v>
      </c>
      <c r="BZ19" s="902">
        <v>0</v>
      </c>
      <c r="CA19" s="861">
        <f>SUMPRODUCT(BW19:BZ19,BQ17:BT17)/SUM(BQ17:BT17)</f>
        <v>0</v>
      </c>
      <c r="CB19" s="353"/>
      <c r="CC19" s="901">
        <v>0</v>
      </c>
      <c r="CD19" s="902">
        <v>0</v>
      </c>
      <c r="CE19" s="902">
        <v>0</v>
      </c>
      <c r="CF19" s="902">
        <v>0</v>
      </c>
      <c r="CG19" s="861">
        <f>SUMPRODUCT(CC19:CF19,BW17:BZ17)/SUM(BW17:BZ17)</f>
        <v>0</v>
      </c>
      <c r="CH19" s="353"/>
      <c r="CI19" s="901">
        <v>0</v>
      </c>
      <c r="CJ19" s="902">
        <v>0</v>
      </c>
      <c r="CK19" s="902">
        <v>0</v>
      </c>
      <c r="CL19" s="902">
        <v>0</v>
      </c>
      <c r="CM19" s="861">
        <f>SUMPRODUCT(CI19:CL19,CC17:CF17)/SUM(CC17:CF17)</f>
        <v>0</v>
      </c>
    </row>
    <row r="20" spans="1:99" s="228" customFormat="1">
      <c r="A20" s="900" t="s">
        <v>163</v>
      </c>
      <c r="B20" s="353"/>
      <c r="C20" s="901">
        <v>0.04</v>
      </c>
      <c r="D20" s="902">
        <v>0.04</v>
      </c>
      <c r="E20" s="902">
        <v>0.03</v>
      </c>
      <c r="F20" s="902">
        <v>0.05</v>
      </c>
      <c r="G20" s="861">
        <f>AVERAGE(C20:F20)</f>
        <v>0.04</v>
      </c>
      <c r="H20" s="353"/>
      <c r="I20" s="901">
        <v>0.04</v>
      </c>
      <c r="J20" s="902">
        <v>0.04</v>
      </c>
      <c r="K20" s="902">
        <v>0.04</v>
      </c>
      <c r="L20" s="902">
        <f>3%-(495.033-L17)/F17</f>
        <v>4.0062513652107862E-2</v>
      </c>
      <c r="M20" s="781">
        <f>SUMPRODUCT(I20:L20,C17:F17)/SUM(C17:F17)</f>
        <v>4.0017107368806967E-2</v>
      </c>
      <c r="N20" s="353"/>
      <c r="O20" s="901">
        <f>1%-(431.574-370.548)/I17</f>
        <v>-0.12303540286013258</v>
      </c>
      <c r="P20" s="902">
        <f>1%-(434.575-374.706)/J17</f>
        <v>-0.10856069232521059</v>
      </c>
      <c r="Q20" s="902">
        <f>1%-(437.065-377.036)/K17</f>
        <v>-0.11538773088917527</v>
      </c>
      <c r="R20" s="902">
        <f>1%-(498.25-428.476)/L17</f>
        <v>-0.12958429191589813</v>
      </c>
      <c r="S20" s="781">
        <f>SUMPRODUCT(O20:R20,I17:L17)/SUM(I17:L17)</f>
        <v>-0.1190726158959832</v>
      </c>
      <c r="T20" s="353"/>
      <c r="U20" s="901">
        <v>5.0000000000000001E-3</v>
      </c>
      <c r="V20" s="902">
        <v>1.4999999999999999E-2</v>
      </c>
      <c r="W20" s="902">
        <v>-0.01</v>
      </c>
      <c r="X20" s="902">
        <v>1.4E-2</v>
      </c>
      <c r="Y20" s="903">
        <v>0.02</v>
      </c>
      <c r="Z20" s="353"/>
      <c r="AA20" s="901">
        <v>0.02</v>
      </c>
      <c r="AB20" s="902">
        <f>5.5%-1.4%</f>
        <v>4.1000000000000002E-2</v>
      </c>
      <c r="AC20" s="902">
        <v>1.4999999999999999E-2</v>
      </c>
      <c r="AD20" s="902">
        <v>8.4000000000000005E-2</v>
      </c>
      <c r="AE20" s="781">
        <f>SUMPRODUCT(AA20:AD20,U17:X17)/SUM(U17:X17)</f>
        <v>4.1613121983447021E-2</v>
      </c>
      <c r="AF20" s="353"/>
      <c r="AG20" s="860">
        <f>AG37/AA17+(AA16-AG16)/AA17</f>
        <v>7.6156589984776701E-2</v>
      </c>
      <c r="AH20" s="453">
        <f>AH37/AB17+(AB16-AH16)/AB17</f>
        <v>7.4517215053628877E-2</v>
      </c>
      <c r="AI20" s="453">
        <f>AI37/AC17+(AC16-AI16)/AC17</f>
        <v>9.3393055188402491E-2</v>
      </c>
      <c r="AJ20" s="453">
        <f>(AJ37-AD37)/AD17+(AD16-AJ16)/AD17</f>
        <v>4.2185665446159454E-2</v>
      </c>
      <c r="AK20" s="903">
        <f>(SUM(AG37:AI37)+(AJ37-AD37))/AE17+AK10/AE17</f>
        <v>8.2482587788515138E-2</v>
      </c>
      <c r="AL20" s="353"/>
      <c r="AM20" s="860">
        <f>(AM37-AG37)/AG17+(AG16-AM16)/AG17</f>
        <v>2.3556198663659249E-3</v>
      </c>
      <c r="AN20" s="453">
        <f>(AN37-AH37)/AH17+(AH16-AN16)/AH17</f>
        <v>1.4311628197910792E-2</v>
      </c>
      <c r="AO20" s="902">
        <f>(AI16-AO16)/AI17</f>
        <v>9.4817312540350328E-3</v>
      </c>
      <c r="AP20" s="902">
        <f>(AJ16-AP16)/AJ17</f>
        <v>6.4028888790819121E-3</v>
      </c>
      <c r="AQ20" s="861">
        <f>SUMPRODUCT(AM20:AP20,AG17:AJ17)/SUM(AG17:AJ17)</f>
        <v>8.117748204283905E-3</v>
      </c>
      <c r="AR20" s="353"/>
      <c r="AS20" s="901">
        <f>(AM16-AS16)/AM17</f>
        <v>1.0460682376868971E-3</v>
      </c>
      <c r="AT20" s="1649">
        <f>(AN16-AT16)/AN17</f>
        <v>6.776546197463932E-3</v>
      </c>
      <c r="AU20" s="902">
        <f>(AO16-AU16)/AO17</f>
        <v>8.3771429007969592E-5</v>
      </c>
      <c r="AV20" s="902">
        <v>1.2999999999999999E-2</v>
      </c>
      <c r="AW20" s="861">
        <f>SUMPRODUCT(AS20:AV20,AM17:AP17)/SUM(AM17:AP17)</f>
        <v>5.5116865980990833E-3</v>
      </c>
      <c r="AX20" s="353"/>
      <c r="AY20" s="901">
        <f>2.7%-0.008</f>
        <v>1.9000000000000003E-2</v>
      </c>
      <c r="AZ20" s="902">
        <f>4%-2.2%</f>
        <v>1.7999999999999999E-2</v>
      </c>
      <c r="BA20" s="902">
        <f>4%+0.04-0.022</f>
        <v>5.8000000000000003E-2</v>
      </c>
      <c r="BB20" s="902">
        <f>2.4%-0.008</f>
        <v>1.6E-2</v>
      </c>
      <c r="BC20" s="861">
        <f>SUMPRODUCT(AY20:BB20,AS17:AV17)/SUM(AS17:AV17)</f>
        <v>2.7457989161586441E-2</v>
      </c>
      <c r="BD20" s="353"/>
      <c r="BE20" s="901">
        <f>-5/AY15+(5/AY15)</f>
        <v>0</v>
      </c>
      <c r="BF20" s="902">
        <v>-0.01</v>
      </c>
      <c r="BG20" s="902">
        <f>-4.4%+(5/BA15)</f>
        <v>-3.4488383462723024E-2</v>
      </c>
      <c r="BH20" s="902">
        <f>((2.5-5)/BB15)+(6/BB15)</f>
        <v>6.1395753518853754E-3</v>
      </c>
      <c r="BI20" s="861">
        <f>SUMPRODUCT(BE20:BH20,AY17:BB17)/SUM(AY17:BB17)</f>
        <v>-9.4438693863315715E-3</v>
      </c>
      <c r="BJ20" s="353"/>
      <c r="BK20" s="901">
        <f>((3+6-6.5)/BE15)+0.6%</f>
        <v>1.1018155687276567E-2</v>
      </c>
      <c r="BL20" s="902">
        <f>((2.25+8-5)/BF15)-0.6%</f>
        <v>3.7871436081563254E-3</v>
      </c>
      <c r="BM20" s="902">
        <f>(10+5)/BG15</f>
        <v>2.9145172102241265E-2</v>
      </c>
      <c r="BN20" s="902">
        <f>(9.5+13)/BH15</f>
        <v>3.9685759338500132E-2</v>
      </c>
      <c r="BO20" s="861">
        <f>SUMPRODUCT(BK20:BN20,BE17:BH17)/SUM(BE17:BH17)</f>
        <v>2.1274048639397095E-2</v>
      </c>
      <c r="BP20" s="353"/>
      <c r="BQ20" s="901">
        <f>(2.5/BK15)+(BQ39/BK15)</f>
        <v>0.13972389655842893</v>
      </c>
      <c r="BR20" s="902">
        <f>(BR39/BL15)</f>
        <v>0.17113468385153557</v>
      </c>
      <c r="BS20" s="902">
        <f t="shared" ref="BS20:BT20" si="34">(BS39/BM15)</f>
        <v>0.17304764996573241</v>
      </c>
      <c r="BT20" s="902">
        <f t="shared" si="34"/>
        <v>0.15489725296384182</v>
      </c>
      <c r="BU20" s="861">
        <f>SUMPRODUCT(BQ20:BT20,BK17:BN17)/SUM(BK17:BN17)</f>
        <v>0.15983336625275987</v>
      </c>
      <c r="BV20" s="353"/>
      <c r="BW20" s="901">
        <v>0</v>
      </c>
      <c r="BX20" s="902">
        <v>0</v>
      </c>
      <c r="BY20" s="902">
        <v>0</v>
      </c>
      <c r="BZ20" s="902">
        <v>0</v>
      </c>
      <c r="CA20" s="861">
        <f>SUMPRODUCT(BW20:BZ20,BQ17:BT17)/SUM(BQ17:BT17)</f>
        <v>0</v>
      </c>
      <c r="CB20" s="353"/>
      <c r="CC20" s="901">
        <v>0</v>
      </c>
      <c r="CD20" s="902">
        <v>0</v>
      </c>
      <c r="CE20" s="902">
        <v>0</v>
      </c>
      <c r="CF20" s="902">
        <v>0</v>
      </c>
      <c r="CG20" s="861">
        <f>SUMPRODUCT(CC20:CF20,BW17:BZ17)/SUM(BW17:BZ17)</f>
        <v>0</v>
      </c>
      <c r="CH20" s="353"/>
      <c r="CI20" s="901">
        <v>0</v>
      </c>
      <c r="CJ20" s="902">
        <v>0</v>
      </c>
      <c r="CK20" s="902">
        <v>0</v>
      </c>
      <c r="CL20" s="902">
        <v>0</v>
      </c>
      <c r="CM20" s="861">
        <f>SUMPRODUCT(CI20:CL20,CC17:CF17)/SUM(CC17:CF17)</f>
        <v>0</v>
      </c>
    </row>
    <row r="21" spans="1:99">
      <c r="A21" s="897" t="s">
        <v>513</v>
      </c>
      <c r="B21" s="227"/>
      <c r="C21" s="848">
        <f>C18-C19-C20</f>
        <v>4.9999999999999996E-2</v>
      </c>
      <c r="D21" s="849">
        <f>D18-D19-D20</f>
        <v>0.09</v>
      </c>
      <c r="E21" s="849">
        <f>E18-E19-E20</f>
        <v>0.06</v>
      </c>
      <c r="F21" s="849">
        <f>F18-F19-F20</f>
        <v>0.10000000000000002</v>
      </c>
      <c r="G21" s="850">
        <f>AVERAGE(C21:F21)</f>
        <v>7.4999999999999997E-2</v>
      </c>
      <c r="H21" s="227"/>
      <c r="I21" s="848">
        <f>I18-I19-I20</f>
        <v>3.8545544800198651E-2</v>
      </c>
      <c r="J21" s="849">
        <f>J18-J19-J20</f>
        <v>7.4759999085275475E-2</v>
      </c>
      <c r="K21" s="849">
        <f>K18-K19-K20</f>
        <v>1.8880340075470306E-2</v>
      </c>
      <c r="L21" s="849">
        <f>L18-L19-L20</f>
        <v>3.9827645388447963E-2</v>
      </c>
      <c r="M21" s="850">
        <f>M18-M19-M20</f>
        <v>4.3034460104534253E-2</v>
      </c>
      <c r="N21" s="227"/>
      <c r="O21" s="848">
        <f>O18-O19-O20</f>
        <v>8.2267293883424297E-4</v>
      </c>
      <c r="P21" s="849">
        <f>P18-P19-P20</f>
        <v>-9.4396149298470344E-2</v>
      </c>
      <c r="Q21" s="849">
        <f>Q18-Q19-Q20</f>
        <v>-7.7064775340628791E-2</v>
      </c>
      <c r="R21" s="849">
        <f>R18-R19-R20</f>
        <v>-5.3240842619081019E-2</v>
      </c>
      <c r="S21" s="850">
        <f>S18-S19-S20</f>
        <v>-5.7044375694407901E-2</v>
      </c>
      <c r="T21" s="227"/>
      <c r="U21" s="848">
        <f>U18-U19-U20</f>
        <v>1.7264031860912004E-2</v>
      </c>
      <c r="V21" s="849">
        <f>V18-V19-V20</f>
        <v>0.13518400727316249</v>
      </c>
      <c r="W21" s="849">
        <f>W18-W19-W20</f>
        <v>0.10167899086559373</v>
      </c>
      <c r="X21" s="849">
        <f>X18-X19-X20</f>
        <v>9.2840896572970344E-2</v>
      </c>
      <c r="Y21" s="850">
        <f>Y18-Y19-Y20</f>
        <v>7.9034928544990071E-2</v>
      </c>
      <c r="Z21" s="227"/>
      <c r="AA21" s="848">
        <f>AA18-AA19-AA20</f>
        <v>9.814846806564706E-2</v>
      </c>
      <c r="AB21" s="849">
        <f>AB18-AB19-AB20</f>
        <v>5.6075944052958522E-2</v>
      </c>
      <c r="AC21" s="849">
        <f>AC18-AC19-AC20</f>
        <v>2.6202744705267664E-2</v>
      </c>
      <c r="AD21" s="849">
        <f>AD18-AD19-AD20</f>
        <v>-3.2166904270485672E-2</v>
      </c>
      <c r="AE21" s="850">
        <f>AE18-AE19-AE20</f>
        <v>3.4113239931328532E-2</v>
      </c>
      <c r="AF21" s="227"/>
      <c r="AG21" s="848">
        <f>AG18-AG19-AG20</f>
        <v>-3.1201076790521573E-2</v>
      </c>
      <c r="AH21" s="849">
        <f>AH18-AH19-AH20</f>
        <v>-4.2011059519488608E-2</v>
      </c>
      <c r="AI21" s="849">
        <f>AI18-AI19-AI20</f>
        <v>-3.4132455642147008E-2</v>
      </c>
      <c r="AJ21" s="849">
        <f>AJ18-AJ19-AJ20</f>
        <v>2.11120708838229E-2</v>
      </c>
      <c r="AK21" s="850">
        <f>AK18-AK19-AK20</f>
        <v>-2.5033657997521018E-2</v>
      </c>
      <c r="AL21" s="227"/>
      <c r="AM21" s="848">
        <f>AM18-AM19-AM20</f>
        <v>-1.5930802318406857E-2</v>
      </c>
      <c r="AN21" s="849">
        <f>AN18-AN19-AN20</f>
        <v>2.6502809475198758E-2</v>
      </c>
      <c r="AO21" s="849">
        <f>AO18-AO19-AO20</f>
        <v>2.6763967300238143E-2</v>
      </c>
      <c r="AP21" s="849">
        <f>AP18-AP19-AP20</f>
        <v>2.1424463371906954E-2</v>
      </c>
      <c r="AQ21" s="850">
        <f>AQ18-AQ19-AQ20</f>
        <v>1.4881646449178448E-2</v>
      </c>
      <c r="AR21" s="227"/>
      <c r="AS21" s="848">
        <f>AS18-AS19-AS20</f>
        <v>3.4651857820189799E-2</v>
      </c>
      <c r="AT21" s="453">
        <f>AT18-AT19-AT20</f>
        <v>-8.9060952089271492E-4</v>
      </c>
      <c r="AU21" s="453">
        <f>AU18-AU19-AU20</f>
        <v>5.5855598752270065E-2</v>
      </c>
      <c r="AV21" s="849">
        <f>AV18-AV19-AV20</f>
        <v>9.0869827167436731E-2</v>
      </c>
      <c r="AW21" s="850">
        <f>AW18-AW19-AW20</f>
        <v>4.6098842016514339E-2</v>
      </c>
      <c r="AX21" s="227"/>
      <c r="AY21" s="848">
        <f>AY18-AY19-AY20</f>
        <v>6.3730546443588734E-2</v>
      </c>
      <c r="AZ21" s="849">
        <f>AZ18-AZ19-AZ20</f>
        <v>9.1825474634242135E-2</v>
      </c>
      <c r="BA21" s="849">
        <f>BA18-BA19-BA20</f>
        <v>4.6240331371653502E-2</v>
      </c>
      <c r="BB21" s="849">
        <f>BB18-BB19-BB20</f>
        <v>3.0321977027685645E-2</v>
      </c>
      <c r="BC21" s="861">
        <f>BC18-BC19-BC20</f>
        <v>5.6981619066898775E-2</v>
      </c>
      <c r="BD21" s="227"/>
      <c r="BE21" s="848">
        <f>BE18-BE19-BE20</f>
        <v>4.8654756962302356E-2</v>
      </c>
      <c r="BF21" s="849">
        <f>BF18-BF19-BF20</f>
        <v>3.755298465824311E-2</v>
      </c>
      <c r="BG21" s="849">
        <f>BG18-BG19-BG20</f>
        <v>1.3518238327244678E-2</v>
      </c>
      <c r="BH21" s="453">
        <f>BH18-BH19-BH20</f>
        <v>1.3629978930351531E-3</v>
      </c>
      <c r="BI21" s="850">
        <f>BI18-BI19-BI20</f>
        <v>2.4307019468531615E-2</v>
      </c>
      <c r="BJ21" s="227"/>
      <c r="BK21" s="848">
        <f>BK18-BK19-BK20</f>
        <v>3.5358950879004786E-2</v>
      </c>
      <c r="BL21" s="849">
        <f>BL18-BL19-BL20</f>
        <v>2.6457028681855309E-2</v>
      </c>
      <c r="BM21" s="849">
        <f>BM18-BM19-BM20</f>
        <v>3.8185927299301106E-2</v>
      </c>
      <c r="BN21" s="849">
        <f>BN18-BN19-BN20</f>
        <v>6.4396037510309811E-2</v>
      </c>
      <c r="BO21" s="850">
        <f>BO18-BO19-BO20</f>
        <v>4.1569353961883534E-2</v>
      </c>
      <c r="BP21" s="227"/>
      <c r="BQ21" s="848">
        <f>BQ18-BQ19-BQ20</f>
        <v>4.2812883044510253E-2</v>
      </c>
      <c r="BR21" s="849">
        <f>BR18-BR19-BR20</f>
        <v>6.2402543307759906E-2</v>
      </c>
      <c r="BS21" s="849">
        <f>BS18-BS19-BS20</f>
        <v>5.6604509694549665E-2</v>
      </c>
      <c r="BT21" s="849">
        <f>BT18-BT19-BT20</f>
        <v>3.7147635359441461E-2</v>
      </c>
      <c r="BU21" s="850">
        <f>BU18-BU19-BU20</f>
        <v>4.9336710326335187E-2</v>
      </c>
      <c r="BV21" s="227"/>
      <c r="BW21" s="848">
        <f>BW18-BW19-BW20</f>
        <v>6.3716831390071782E-2</v>
      </c>
      <c r="BX21" s="849">
        <f>BX18-BX19-BX20</f>
        <v>7.022300964112671E-2</v>
      </c>
      <c r="BY21" s="849">
        <f>BY18-BY19-BY20</f>
        <v>7.5706464866881484E-2</v>
      </c>
      <c r="BZ21" s="849">
        <f>BZ18-BZ19-BZ20</f>
        <v>7.6724625586982231E-2</v>
      </c>
      <c r="CA21" s="850">
        <f>CA18-CA19-CA20</f>
        <v>7.1914962987918774E-2</v>
      </c>
      <c r="CB21" s="227"/>
      <c r="CC21" s="848">
        <f>CC18-CC19-CC20</f>
        <v>7.2098123715333529E-2</v>
      </c>
      <c r="CD21" s="849">
        <f>CD18-CD19-CD20</f>
        <v>7.414551930808666E-2</v>
      </c>
      <c r="CE21" s="849">
        <f>CE18-CE19-CE20</f>
        <v>7.1739492174721642E-2</v>
      </c>
      <c r="CF21" s="849">
        <f>CF18-CF19-CF20</f>
        <v>6.6658569242043608E-2</v>
      </c>
      <c r="CG21" s="850">
        <f>CG18-CG19-CG20</f>
        <v>7.0999974590042036E-2</v>
      </c>
      <c r="CH21" s="227"/>
      <c r="CI21" s="848">
        <f>CI18-CI19-CI20</f>
        <v>5.367527687261564E-2</v>
      </c>
      <c r="CJ21" s="849">
        <f>CJ18-CJ19-CJ20</f>
        <v>5.3778306982475765E-2</v>
      </c>
      <c r="CK21" s="849">
        <f>CK18-CK19-CK20</f>
        <v>5.7624273319504704E-2</v>
      </c>
      <c r="CL21" s="849">
        <f>CL18-CL19-CL20</f>
        <v>5.6808205503407372E-2</v>
      </c>
      <c r="CM21" s="850">
        <f>CM18-CM19-CM20</f>
        <v>5.5553044167389931E-2</v>
      </c>
      <c r="CO21" s="1941"/>
    </row>
    <row r="22" spans="1:99">
      <c r="A22" s="898" t="s">
        <v>517</v>
      </c>
      <c r="B22" s="424"/>
      <c r="C22" s="899">
        <f>C21</f>
        <v>4.9999999999999996E-2</v>
      </c>
      <c r="D22" s="426">
        <f>D21</f>
        <v>0.09</v>
      </c>
      <c r="E22" s="426">
        <f>E21</f>
        <v>0.06</v>
      </c>
      <c r="F22" s="426">
        <f>F21</f>
        <v>0.10000000000000002</v>
      </c>
      <c r="G22" s="427">
        <f>G21</f>
        <v>7.4999999999999997E-2</v>
      </c>
      <c r="H22" s="424"/>
      <c r="I22" s="899">
        <f>I21</f>
        <v>3.8545544800198651E-2</v>
      </c>
      <c r="J22" s="426">
        <f>J21</f>
        <v>7.4759999085275475E-2</v>
      </c>
      <c r="K22" s="426">
        <f>K21</f>
        <v>1.8880340075470306E-2</v>
      </c>
      <c r="L22" s="426">
        <f>L21</f>
        <v>3.9827645388447963E-2</v>
      </c>
      <c r="M22" s="427">
        <f>M21</f>
        <v>4.3034460104534253E-2</v>
      </c>
      <c r="N22" s="424"/>
      <c r="O22" s="899">
        <f>O21</f>
        <v>8.2267293883424297E-4</v>
      </c>
      <c r="P22" s="426">
        <f>P21</f>
        <v>-9.4396149298470344E-2</v>
      </c>
      <c r="Q22" s="426">
        <f>Q21</f>
        <v>-7.7064775340628791E-2</v>
      </c>
      <c r="R22" s="426">
        <f>R21</f>
        <v>-5.3240842619081019E-2</v>
      </c>
      <c r="S22" s="427">
        <f>S21</f>
        <v>-5.7044375694407901E-2</v>
      </c>
      <c r="T22" s="424"/>
      <c r="U22" s="899">
        <f>U21</f>
        <v>1.7264031860912004E-2</v>
      </c>
      <c r="V22" s="426">
        <f>V21</f>
        <v>0.13518400727316249</v>
      </c>
      <c r="W22" s="426">
        <f>W21</f>
        <v>0.10167899086559373</v>
      </c>
      <c r="X22" s="426">
        <f>X21</f>
        <v>9.2840896572970344E-2</v>
      </c>
      <c r="Y22" s="427">
        <f>Y21</f>
        <v>7.9034928544990071E-2</v>
      </c>
      <c r="Z22" s="424"/>
      <c r="AA22" s="899">
        <f>AA21</f>
        <v>9.814846806564706E-2</v>
      </c>
      <c r="AB22" s="426">
        <f>AB21</f>
        <v>5.6075944052958522E-2</v>
      </c>
      <c r="AC22" s="426">
        <f>AC21</f>
        <v>2.6202744705267664E-2</v>
      </c>
      <c r="AD22" s="426">
        <f>AD21</f>
        <v>-3.2166904270485672E-2</v>
      </c>
      <c r="AE22" s="427">
        <f>AE21</f>
        <v>3.4113239931328532E-2</v>
      </c>
      <c r="AF22" s="424"/>
      <c r="AG22" s="899">
        <f>AG21</f>
        <v>-3.1201076790521573E-2</v>
      </c>
      <c r="AH22" s="426">
        <f>AH21</f>
        <v>-4.2011059519488608E-2</v>
      </c>
      <c r="AI22" s="426">
        <f>AI21</f>
        <v>-3.4132455642147008E-2</v>
      </c>
      <c r="AJ22" s="426">
        <f>AJ21</f>
        <v>2.11120708838229E-2</v>
      </c>
      <c r="AK22" s="427">
        <f>AK21</f>
        <v>-2.5033657997521018E-2</v>
      </c>
      <c r="AL22" s="424"/>
      <c r="AM22" s="899">
        <f>AM21</f>
        <v>-1.5930802318406857E-2</v>
      </c>
      <c r="AN22" s="426">
        <f>AN21</f>
        <v>2.6502809475198758E-2</v>
      </c>
      <c r="AO22" s="426">
        <f>AO21</f>
        <v>2.6763967300238143E-2</v>
      </c>
      <c r="AP22" s="426">
        <f>AP21</f>
        <v>2.1424463371906954E-2</v>
      </c>
      <c r="AQ22" s="427">
        <f>AQ21</f>
        <v>1.4881646449178448E-2</v>
      </c>
      <c r="AR22" s="424"/>
      <c r="AS22" s="899">
        <f>AS21</f>
        <v>3.4651857820189799E-2</v>
      </c>
      <c r="AT22" s="426">
        <f>AT21</f>
        <v>-8.9060952089271492E-4</v>
      </c>
      <c r="AU22" s="426">
        <f>AU21</f>
        <v>5.5855598752270065E-2</v>
      </c>
      <c r="AV22" s="426">
        <f>AV21+0.008</f>
        <v>9.8869827167436725E-2</v>
      </c>
      <c r="AW22" s="427">
        <f>AW21</f>
        <v>4.6098842016514339E-2</v>
      </c>
      <c r="AX22" s="424"/>
      <c r="AY22" s="851">
        <f>AY21-0.008</f>
        <v>5.5730546443588734E-2</v>
      </c>
      <c r="AZ22" s="852">
        <f>AZ21-2.2%</f>
        <v>6.982547463424213E-2</v>
      </c>
      <c r="BA22" s="852">
        <f>BA21+0.02</f>
        <v>6.6240331371653499E-2</v>
      </c>
      <c r="BB22" s="852">
        <f>BB21-0.008</f>
        <v>2.2321977027685645E-2</v>
      </c>
      <c r="BC22" s="427">
        <f>BC21</f>
        <v>5.6981619066898775E-2</v>
      </c>
      <c r="BD22" s="424"/>
      <c r="BE22" s="899">
        <f>+BE21</f>
        <v>4.8654756962302356E-2</v>
      </c>
      <c r="BF22" s="426">
        <f>BF21</f>
        <v>3.755298465824311E-2</v>
      </c>
      <c r="BG22" s="426">
        <f>BG21-0.02</f>
        <v>-6.4817616727553228E-3</v>
      </c>
      <c r="BH22" s="852">
        <f>BH21</f>
        <v>1.3629978930351531E-3</v>
      </c>
      <c r="BI22" s="427">
        <f>BI21-0.005</f>
        <v>1.9307019468531614E-2</v>
      </c>
      <c r="BJ22" s="424"/>
      <c r="BK22" s="899">
        <f>BK21+0.6%</f>
        <v>4.1358950879004784E-2</v>
      </c>
      <c r="BL22" s="426">
        <f>(BL21-(5/BF15))-0.6%</f>
        <v>1.1135939531230236E-2</v>
      </c>
      <c r="BM22" s="426">
        <f>BM21+(5/BG15)</f>
        <v>4.7900984666714858E-2</v>
      </c>
      <c r="BN22" s="426">
        <f>BN21</f>
        <v>6.4396037510309811E-2</v>
      </c>
      <c r="BO22" s="427">
        <f>BO21</f>
        <v>4.1569353961883534E-2</v>
      </c>
      <c r="BP22" s="424"/>
      <c r="BQ22" s="899">
        <f>BQ21</f>
        <v>4.2812883044510253E-2</v>
      </c>
      <c r="BR22" s="426">
        <f>BR21</f>
        <v>6.2402543307759906E-2</v>
      </c>
      <c r="BS22" s="426">
        <f>BS21</f>
        <v>5.6604509694549665E-2</v>
      </c>
      <c r="BT22" s="426">
        <f>BT21</f>
        <v>3.7147635359441461E-2</v>
      </c>
      <c r="BU22" s="427">
        <f>BU21</f>
        <v>4.9336710326335187E-2</v>
      </c>
      <c r="BV22" s="424"/>
      <c r="BW22" s="899">
        <f>BW21</f>
        <v>6.3716831390071782E-2</v>
      </c>
      <c r="BX22" s="426">
        <f>BX21</f>
        <v>7.022300964112671E-2</v>
      </c>
      <c r="BY22" s="426">
        <f>BY21</f>
        <v>7.5706464866881484E-2</v>
      </c>
      <c r="BZ22" s="426">
        <f>BZ21</f>
        <v>7.6724625586982231E-2</v>
      </c>
      <c r="CA22" s="427">
        <f>CA21</f>
        <v>7.1914962987918774E-2</v>
      </c>
      <c r="CB22" s="424"/>
      <c r="CC22" s="899">
        <f>CC21</f>
        <v>7.2098123715333529E-2</v>
      </c>
      <c r="CD22" s="426">
        <f>CD21</f>
        <v>7.414551930808666E-2</v>
      </c>
      <c r="CE22" s="426">
        <f>CE21</f>
        <v>7.1739492174721642E-2</v>
      </c>
      <c r="CF22" s="426">
        <f>CF21</f>
        <v>6.6658569242043608E-2</v>
      </c>
      <c r="CG22" s="427">
        <f>CG21</f>
        <v>7.0999974590042036E-2</v>
      </c>
      <c r="CH22" s="424"/>
      <c r="CI22" s="899">
        <f>CI21</f>
        <v>5.367527687261564E-2</v>
      </c>
      <c r="CJ22" s="426">
        <f>CJ21</f>
        <v>5.3778306982475765E-2</v>
      </c>
      <c r="CK22" s="426">
        <f>CK21</f>
        <v>5.7624273319504704E-2</v>
      </c>
      <c r="CL22" s="426">
        <f>CL21</f>
        <v>5.6808205503407372E-2</v>
      </c>
      <c r="CM22" s="427">
        <f>CM21</f>
        <v>5.5553044167389931E-2</v>
      </c>
    </row>
    <row r="23" spans="1:99">
      <c r="A23" s="1839"/>
      <c r="B23" s="227"/>
      <c r="C23" s="849"/>
      <c r="D23" s="849"/>
      <c r="E23" s="849"/>
      <c r="F23" s="849"/>
      <c r="G23" s="849"/>
      <c r="H23" s="227"/>
      <c r="I23" s="849"/>
      <c r="J23" s="849"/>
      <c r="K23" s="849"/>
      <c r="L23" s="849"/>
      <c r="M23" s="849"/>
      <c r="N23" s="227"/>
      <c r="O23" s="849"/>
      <c r="P23" s="849"/>
      <c r="Q23" s="849"/>
      <c r="R23" s="849"/>
      <c r="S23" s="849"/>
      <c r="T23" s="227"/>
      <c r="U23" s="849"/>
      <c r="V23" s="849"/>
      <c r="W23" s="849"/>
      <c r="X23" s="849"/>
      <c r="Y23" s="849"/>
      <c r="Z23" s="227"/>
      <c r="AA23" s="849"/>
      <c r="AB23" s="849"/>
      <c r="AC23" s="849"/>
      <c r="AD23" s="849"/>
      <c r="AE23" s="849"/>
      <c r="AF23" s="227"/>
      <c r="AG23" s="849"/>
      <c r="AH23" s="849"/>
      <c r="AI23" s="849"/>
      <c r="AJ23" s="849"/>
      <c r="AK23" s="849"/>
      <c r="AL23" s="227"/>
      <c r="AM23" s="849"/>
      <c r="AN23" s="849"/>
      <c r="AO23" s="849"/>
      <c r="AP23" s="849"/>
      <c r="AQ23" s="849"/>
      <c r="AR23" s="227"/>
      <c r="AS23" s="849"/>
      <c r="AT23" s="849"/>
      <c r="AU23" s="849"/>
      <c r="AV23" s="849"/>
      <c r="AW23" s="849"/>
      <c r="AX23" s="227"/>
      <c r="AY23" s="453"/>
      <c r="AZ23" s="453"/>
      <c r="BA23" s="453"/>
      <c r="BB23" s="453"/>
      <c r="BC23" s="849"/>
      <c r="BD23" s="227"/>
      <c r="BE23" s="849"/>
      <c r="BF23" s="849"/>
      <c r="BG23" s="849"/>
      <c r="BH23" s="849"/>
      <c r="BI23" s="849"/>
      <c r="BJ23" s="227"/>
      <c r="BK23" s="849"/>
      <c r="BL23" s="849"/>
      <c r="BM23" s="849"/>
      <c r="BN23" s="849"/>
      <c r="BO23" s="849"/>
      <c r="BP23" s="227"/>
      <c r="BQ23" s="849"/>
      <c r="BR23" s="849"/>
      <c r="BS23" s="849"/>
      <c r="BT23" s="849"/>
      <c r="BU23" s="849"/>
      <c r="BV23" s="227"/>
      <c r="BW23" s="849"/>
      <c r="BX23" s="849"/>
      <c r="BY23" s="849"/>
      <c r="BZ23" s="849"/>
      <c r="CA23" s="849"/>
      <c r="CB23" s="227"/>
      <c r="CC23" s="849"/>
      <c r="CD23" s="849"/>
      <c r="CE23" s="849"/>
      <c r="CF23" s="849"/>
      <c r="CG23" s="849"/>
      <c r="CH23" s="227"/>
      <c r="CI23" s="849"/>
      <c r="CJ23" s="849"/>
      <c r="CK23" s="849"/>
      <c r="CL23" s="849"/>
      <c r="CM23" s="849"/>
      <c r="CO23" s="2370"/>
    </row>
    <row r="24" spans="1:99">
      <c r="A24" s="2185" t="s">
        <v>541</v>
      </c>
      <c r="B24" s="2186"/>
      <c r="C24" s="2186"/>
      <c r="D24" s="2186"/>
      <c r="E24" s="2187"/>
      <c r="F24" s="2187"/>
      <c r="G24" s="2187"/>
      <c r="H24" s="2187"/>
      <c r="I24" s="2187"/>
      <c r="J24" s="2187"/>
      <c r="K24" s="2187"/>
      <c r="L24" s="2187"/>
      <c r="M24" s="2187"/>
      <c r="N24" s="2187"/>
      <c r="O24" s="2187"/>
      <c r="P24" s="2187"/>
      <c r="Q24" s="2187"/>
      <c r="R24" s="2187"/>
      <c r="S24" s="2187"/>
      <c r="T24" s="2187"/>
      <c r="U24" s="2187"/>
      <c r="V24" s="2187"/>
      <c r="W24" s="2187"/>
      <c r="X24" s="2187"/>
      <c r="Y24" s="2187"/>
      <c r="Z24" s="2187"/>
      <c r="AA24" s="2187"/>
      <c r="AB24" s="2187"/>
      <c r="AC24" s="2187"/>
      <c r="AD24" s="2187"/>
      <c r="AE24" s="2187"/>
      <c r="AF24" s="2187"/>
      <c r="AG24" s="2187"/>
      <c r="AH24" s="2187"/>
      <c r="AI24" s="2187"/>
      <c r="AJ24" s="2187"/>
      <c r="AK24" s="2187"/>
      <c r="AL24" s="2187"/>
      <c r="AM24" s="2187"/>
      <c r="AN24" s="2187"/>
      <c r="AO24" s="2187"/>
      <c r="AP24" s="2187"/>
      <c r="AQ24" s="2187"/>
      <c r="AR24" s="2187"/>
      <c r="AS24" s="2188"/>
      <c r="AT24" s="2188"/>
      <c r="AU24" s="2188"/>
      <c r="AV24" s="2188"/>
      <c r="AW24" s="2188"/>
      <c r="AX24" s="2188"/>
      <c r="AY24" s="2188"/>
      <c r="AZ24" s="2188"/>
      <c r="BA24" s="2188"/>
      <c r="BB24" s="2187"/>
      <c r="BC24" s="2187"/>
      <c r="BD24" s="2187"/>
      <c r="BE24" s="2187"/>
      <c r="BF24" s="2187"/>
      <c r="BG24" s="2187"/>
      <c r="BH24" s="2187"/>
      <c r="BI24" s="2187"/>
      <c r="BJ24" s="2187"/>
      <c r="BK24" s="2187"/>
      <c r="BL24" s="2187"/>
      <c r="BM24" s="2187"/>
      <c r="BN24" s="2187"/>
      <c r="BO24" s="2187"/>
      <c r="BP24" s="2187"/>
      <c r="BQ24" s="2187"/>
      <c r="BR24" s="2187"/>
      <c r="BS24" s="2187"/>
      <c r="BT24" s="2187"/>
      <c r="BU24" s="2187"/>
      <c r="BV24" s="2187"/>
      <c r="BW24" s="2187"/>
      <c r="BX24" s="2187"/>
      <c r="BY24" s="2187"/>
      <c r="BZ24" s="2187"/>
      <c r="CA24" s="2187"/>
      <c r="CB24" s="2187"/>
      <c r="CC24" s="2187"/>
      <c r="CD24" s="2187"/>
      <c r="CE24" s="2187"/>
      <c r="CF24" s="2187"/>
      <c r="CG24" s="2187"/>
      <c r="CH24" s="2187"/>
      <c r="CI24" s="2187"/>
      <c r="CJ24" s="2187"/>
      <c r="CK24" s="2187"/>
      <c r="CL24" s="2187"/>
      <c r="CM24" s="2187"/>
    </row>
    <row r="25" spans="1:99">
      <c r="A25" s="1843" t="s">
        <v>537</v>
      </c>
      <c r="B25" s="864"/>
      <c r="C25" s="1844"/>
      <c r="D25" s="864"/>
      <c r="E25" s="864"/>
      <c r="F25" s="864"/>
      <c r="G25" s="1845"/>
      <c r="H25" s="864"/>
      <c r="I25" s="1844"/>
      <c r="J25" s="864"/>
      <c r="K25" s="864"/>
      <c r="L25" s="864"/>
      <c r="M25" s="1845"/>
      <c r="N25" s="864"/>
      <c r="O25" s="1844"/>
      <c r="P25" s="864"/>
      <c r="Q25" s="864"/>
      <c r="R25" s="864"/>
      <c r="S25" s="1845"/>
      <c r="T25" s="864"/>
      <c r="U25" s="1844"/>
      <c r="V25" s="864"/>
      <c r="W25" s="864"/>
      <c r="X25" s="864"/>
      <c r="Y25" s="1845"/>
      <c r="Z25" s="864"/>
      <c r="AA25" s="1846"/>
      <c r="AB25" s="1847"/>
      <c r="AC25" s="1847"/>
      <c r="AD25" s="1847"/>
      <c r="AE25" s="1848"/>
      <c r="AF25" s="864"/>
      <c r="AG25" s="1846"/>
      <c r="AH25" s="1847"/>
      <c r="AI25" s="1847"/>
      <c r="AJ25" s="1847"/>
      <c r="AK25" s="1849"/>
      <c r="AL25" s="1850"/>
      <c r="AM25" s="1851"/>
      <c r="AN25" s="1850"/>
      <c r="AO25" s="1850"/>
      <c r="AP25" s="1850"/>
      <c r="AQ25" s="1849"/>
      <c r="AR25" s="1850"/>
      <c r="AS25" s="1851"/>
      <c r="AT25" s="1850"/>
      <c r="AU25" s="1850"/>
      <c r="AV25" s="1850"/>
      <c r="AW25" s="1849"/>
      <c r="AX25" s="1850"/>
      <c r="AY25" s="1853">
        <v>0</v>
      </c>
      <c r="AZ25" s="1854">
        <v>0.02</v>
      </c>
      <c r="BA25" s="44">
        <v>0.05</v>
      </c>
      <c r="BB25" s="44">
        <v>0</v>
      </c>
      <c r="BC25" s="1837">
        <v>0.02</v>
      </c>
      <c r="BD25" s="1854"/>
      <c r="BE25" s="1853">
        <v>0.03</v>
      </c>
      <c r="BF25" s="44">
        <v>0.02</v>
      </c>
      <c r="BG25" s="44">
        <v>-0.02</v>
      </c>
      <c r="BH25" s="44">
        <v>-0.01</v>
      </c>
      <c r="BI25" s="1881">
        <v>0.01</v>
      </c>
      <c r="BJ25" s="1850"/>
      <c r="BK25" s="1851"/>
      <c r="BL25" s="215"/>
      <c r="BM25" s="215"/>
      <c r="BN25" s="215"/>
      <c r="BO25" s="1849"/>
      <c r="BP25" s="1850"/>
      <c r="BQ25" s="1851"/>
      <c r="BR25" s="215"/>
      <c r="BS25" s="215"/>
      <c r="BT25" s="215"/>
      <c r="BU25" s="1849"/>
      <c r="BV25" s="1850"/>
      <c r="BW25" s="1851"/>
      <c r="BX25" s="215"/>
      <c r="BY25" s="215"/>
      <c r="BZ25" s="215"/>
      <c r="CA25" s="1849"/>
      <c r="CB25" s="1850"/>
      <c r="CC25" s="1851"/>
      <c r="CD25" s="215"/>
      <c r="CE25" s="215"/>
      <c r="CF25" s="215"/>
      <c r="CG25" s="1849"/>
      <c r="CH25" s="1850"/>
      <c r="CI25" s="1851"/>
      <c r="CJ25" s="215"/>
      <c r="CK25" s="215"/>
      <c r="CL25" s="215"/>
      <c r="CM25" s="1849"/>
    </row>
    <row r="26" spans="1:99">
      <c r="A26" s="1840" t="s">
        <v>506</v>
      </c>
      <c r="B26" s="864"/>
      <c r="C26" s="1844"/>
      <c r="D26" s="864"/>
      <c r="E26" s="864"/>
      <c r="F26" s="864"/>
      <c r="G26" s="1845"/>
      <c r="H26" s="864"/>
      <c r="I26" s="1844"/>
      <c r="J26" s="864"/>
      <c r="K26" s="864"/>
      <c r="L26" s="864"/>
      <c r="M26" s="1845"/>
      <c r="N26" s="864"/>
      <c r="O26" s="1844"/>
      <c r="P26" s="864"/>
      <c r="Q26" s="864"/>
      <c r="R26" s="864"/>
      <c r="S26" s="1845"/>
      <c r="T26" s="864"/>
      <c r="U26" s="1844"/>
      <c r="V26" s="864"/>
      <c r="W26" s="864"/>
      <c r="X26" s="864"/>
      <c r="Y26" s="1845"/>
      <c r="Z26" s="864"/>
      <c r="AA26" s="1844"/>
      <c r="AB26" s="864"/>
      <c r="AC26" s="864"/>
      <c r="AD26" s="864"/>
      <c r="AE26" s="1845"/>
      <c r="AF26" s="864"/>
      <c r="AG26" s="1853"/>
      <c r="AH26" s="1854"/>
      <c r="AI26" s="1854"/>
      <c r="AJ26" s="1854"/>
      <c r="AK26" s="1849"/>
      <c r="AL26" s="1850"/>
      <c r="AM26" s="1851"/>
      <c r="AN26" s="1850"/>
      <c r="AO26" s="1850"/>
      <c r="AP26" s="1850"/>
      <c r="AQ26" s="1849"/>
      <c r="AR26" s="1850"/>
      <c r="AS26" s="1855"/>
      <c r="AT26" s="215"/>
      <c r="AU26" s="1850"/>
      <c r="AV26" s="1850"/>
      <c r="AW26" s="1849"/>
      <c r="AX26" s="1850"/>
      <c r="AY26" s="1836">
        <v>-0.06</v>
      </c>
      <c r="AZ26" s="44">
        <v>-7.0000000000000007E-2</v>
      </c>
      <c r="BA26" s="44">
        <v>-7.0000000000000007E-2</v>
      </c>
      <c r="BB26" s="44">
        <v>-0.05</v>
      </c>
      <c r="BC26" s="1837">
        <v>-0.06</v>
      </c>
      <c r="BD26" s="1854"/>
      <c r="BE26" s="1853">
        <v>-0.02</v>
      </c>
      <c r="BF26" s="44">
        <v>-0.01</v>
      </c>
      <c r="BG26" s="44">
        <v>0</v>
      </c>
      <c r="BH26" s="44">
        <v>-0.01</v>
      </c>
      <c r="BI26" s="1881">
        <v>-0.01</v>
      </c>
      <c r="BJ26" s="1850"/>
      <c r="BK26" s="1851"/>
      <c r="BL26" s="1850"/>
      <c r="BM26" s="1850"/>
      <c r="BN26" s="1850"/>
      <c r="BO26" s="1849"/>
      <c r="BP26" s="1850"/>
      <c r="BQ26" s="1851"/>
      <c r="BR26" s="1850"/>
      <c r="BS26" s="1850"/>
      <c r="BT26" s="1850"/>
      <c r="BU26" s="1849"/>
      <c r="BV26" s="1850"/>
      <c r="BW26" s="1851"/>
      <c r="BX26" s="1850"/>
      <c r="BY26" s="1850"/>
      <c r="BZ26" s="1850"/>
      <c r="CA26" s="1849"/>
      <c r="CB26" s="1850"/>
      <c r="CC26" s="1851"/>
      <c r="CD26" s="1850"/>
      <c r="CE26" s="1850"/>
      <c r="CF26" s="1850"/>
      <c r="CG26" s="1849"/>
      <c r="CH26" s="1850"/>
      <c r="CI26" s="1851"/>
      <c r="CJ26" s="1850"/>
      <c r="CK26" s="1850"/>
      <c r="CL26" s="1850"/>
      <c r="CM26" s="1849"/>
    </row>
    <row r="27" spans="1:99">
      <c r="A27" s="1840" t="s">
        <v>536</v>
      </c>
      <c r="B27" s="864"/>
      <c r="C27" s="1844"/>
      <c r="D27" s="864"/>
      <c r="E27" s="864"/>
      <c r="F27" s="864"/>
      <c r="G27" s="1845"/>
      <c r="H27" s="864"/>
      <c r="I27" s="1844"/>
      <c r="J27" s="864"/>
      <c r="K27" s="864"/>
      <c r="L27" s="864"/>
      <c r="M27" s="1845"/>
      <c r="N27" s="864"/>
      <c r="O27" s="1856"/>
      <c r="P27" s="1857"/>
      <c r="Q27" s="1857"/>
      <c r="R27" s="1857"/>
      <c r="S27" s="1845"/>
      <c r="T27" s="864"/>
      <c r="U27" s="1844"/>
      <c r="V27" s="864"/>
      <c r="W27" s="864"/>
      <c r="X27" s="864"/>
      <c r="Y27" s="1845"/>
      <c r="Z27" s="864"/>
      <c r="AA27" s="1858"/>
      <c r="AB27" s="1859"/>
      <c r="AC27" s="1859"/>
      <c r="AD27" s="1859"/>
      <c r="AE27" s="1848"/>
      <c r="AF27" s="864"/>
      <c r="AG27" s="1846"/>
      <c r="AH27" s="1847"/>
      <c r="AI27" s="1847"/>
      <c r="AJ27" s="1847"/>
      <c r="AK27" s="1849"/>
      <c r="AL27" s="1850"/>
      <c r="AM27" s="1851"/>
      <c r="AN27" s="1850"/>
      <c r="AO27" s="1850"/>
      <c r="AP27" s="1850"/>
      <c r="AQ27" s="1849"/>
      <c r="AR27" s="1850"/>
      <c r="AS27" s="1855"/>
      <c r="AT27" s="215"/>
      <c r="AU27" s="1850"/>
      <c r="AV27" s="1850"/>
      <c r="AW27" s="1849"/>
      <c r="AX27" s="1850"/>
      <c r="AY27" s="1836">
        <v>0.03</v>
      </c>
      <c r="AZ27" s="44">
        <v>0.04</v>
      </c>
      <c r="BA27" s="44">
        <v>0.05</v>
      </c>
      <c r="BB27" s="44">
        <v>0.02</v>
      </c>
      <c r="BC27" s="1837">
        <v>0.03</v>
      </c>
      <c r="BD27" s="1854"/>
      <c r="BE27" s="1853">
        <v>0</v>
      </c>
      <c r="BF27" s="44">
        <v>-0.01</v>
      </c>
      <c r="BG27" s="44">
        <v>-0.01</v>
      </c>
      <c r="BH27" s="44">
        <v>0</v>
      </c>
      <c r="BI27" s="1881">
        <v>0</v>
      </c>
      <c r="BJ27" s="1850"/>
      <c r="BK27" s="1851"/>
      <c r="BL27" s="215"/>
      <c r="BM27" s="215"/>
      <c r="BN27" s="215"/>
      <c r="BO27" s="1849"/>
      <c r="BP27" s="1850"/>
      <c r="BQ27" s="1851"/>
      <c r="BR27" s="215"/>
      <c r="BS27" s="215"/>
      <c r="BT27" s="215"/>
      <c r="BU27" s="1849"/>
      <c r="BV27" s="1850"/>
      <c r="BW27" s="1851"/>
      <c r="BX27" s="215"/>
      <c r="BY27" s="215"/>
      <c r="BZ27" s="215"/>
      <c r="CA27" s="1849"/>
      <c r="CB27" s="1850"/>
      <c r="CC27" s="1851"/>
      <c r="CD27" s="215"/>
      <c r="CE27" s="215"/>
      <c r="CF27" s="215"/>
      <c r="CG27" s="1849"/>
      <c r="CH27" s="1850"/>
      <c r="CI27" s="1851"/>
      <c r="CJ27" s="215"/>
      <c r="CK27" s="215"/>
      <c r="CL27" s="215"/>
      <c r="CM27" s="1849"/>
    </row>
    <row r="28" spans="1:99">
      <c r="A28" s="1860" t="s">
        <v>538</v>
      </c>
      <c r="B28" s="1861"/>
      <c r="C28" s="1862"/>
      <c r="D28" s="1861"/>
      <c r="E28" s="1861"/>
      <c r="F28" s="1861"/>
      <c r="G28" s="1863"/>
      <c r="H28" s="1861"/>
      <c r="I28" s="1862"/>
      <c r="J28" s="1861"/>
      <c r="K28" s="1861"/>
      <c r="L28" s="1861"/>
      <c r="M28" s="1863"/>
      <c r="N28" s="1861"/>
      <c r="O28" s="1841"/>
      <c r="P28" s="1842"/>
      <c r="Q28" s="1842"/>
      <c r="R28" s="1842"/>
      <c r="S28" s="1863"/>
      <c r="T28" s="1861"/>
      <c r="U28" s="1862"/>
      <c r="V28" s="1861"/>
      <c r="W28" s="1861"/>
      <c r="X28" s="1861"/>
      <c r="Y28" s="1863"/>
      <c r="Z28" s="1861"/>
      <c r="AA28" s="1864"/>
      <c r="AB28" s="1865"/>
      <c r="AC28" s="1865"/>
      <c r="AD28" s="1865"/>
      <c r="AE28" s="1866"/>
      <c r="AF28" s="1861"/>
      <c r="AG28" s="1867"/>
      <c r="AH28" s="1868"/>
      <c r="AI28" s="1868"/>
      <c r="AJ28" s="1868"/>
      <c r="AK28" s="1869"/>
      <c r="AL28" s="1870"/>
      <c r="AM28" s="1871"/>
      <c r="AN28" s="1870"/>
      <c r="AO28" s="1870"/>
      <c r="AP28" s="1870"/>
      <c r="AQ28" s="1869"/>
      <c r="AR28" s="1870"/>
      <c r="AS28" s="1872"/>
      <c r="AT28" s="1873"/>
      <c r="AU28" s="1870"/>
      <c r="AV28" s="1870"/>
      <c r="AW28" s="1869"/>
      <c r="AX28" s="1870"/>
      <c r="AY28" s="1882">
        <v>0.03</v>
      </c>
      <c r="AZ28" s="1883">
        <v>5.000000000000001E-2</v>
      </c>
      <c r="BA28" s="1883">
        <v>7.0000000000000007E-2</v>
      </c>
      <c r="BB28" s="1883">
        <v>3.0000000000000002E-2</v>
      </c>
      <c r="BC28" s="1884">
        <v>0.05</v>
      </c>
      <c r="BD28" s="1868"/>
      <c r="BE28" s="1867">
        <v>0.05</v>
      </c>
      <c r="BF28" s="1883">
        <v>0.04</v>
      </c>
      <c r="BG28" s="1883">
        <v>-0.01</v>
      </c>
      <c r="BH28" s="1883">
        <v>0</v>
      </c>
      <c r="BI28" s="1885">
        <v>0.02</v>
      </c>
      <c r="BJ28" s="1870"/>
      <c r="BK28" s="1871"/>
      <c r="BL28" s="1870"/>
      <c r="BM28" s="1870"/>
      <c r="BN28" s="1870"/>
      <c r="BO28" s="1869"/>
      <c r="BP28" s="1870"/>
      <c r="BQ28" s="1871"/>
      <c r="BR28" s="1870"/>
      <c r="BS28" s="1870"/>
      <c r="BT28" s="1870"/>
      <c r="BU28" s="1869"/>
      <c r="BV28" s="1870"/>
      <c r="BW28" s="1871"/>
      <c r="BX28" s="1870"/>
      <c r="BY28" s="1870"/>
      <c r="BZ28" s="1870"/>
      <c r="CA28" s="1869"/>
      <c r="CB28" s="1870"/>
      <c r="CC28" s="1871"/>
      <c r="CD28" s="1870"/>
      <c r="CE28" s="1870"/>
      <c r="CF28" s="1870"/>
      <c r="CG28" s="1869"/>
      <c r="CH28" s="1870"/>
      <c r="CI28" s="1871"/>
      <c r="CJ28" s="1870"/>
      <c r="CK28" s="1870"/>
      <c r="CL28" s="1870"/>
      <c r="CM28" s="1869"/>
    </row>
    <row r="29" spans="1:99">
      <c r="AE29" s="869"/>
      <c r="AG29" s="1357"/>
      <c r="AU29" s="854"/>
      <c r="AV29" s="854"/>
      <c r="AW29" s="854"/>
      <c r="BB29" s="831"/>
      <c r="BC29" s="854"/>
      <c r="BG29" s="1742"/>
      <c r="BH29" s="1742"/>
      <c r="BI29" s="1742"/>
      <c r="CA29" s="1382"/>
    </row>
    <row r="30" spans="1:99">
      <c r="A30" s="1796" t="s">
        <v>208</v>
      </c>
      <c r="B30" s="937"/>
      <c r="C30" s="937"/>
      <c r="D30" s="937"/>
      <c r="E30" s="938"/>
      <c r="F30" s="938"/>
      <c r="G30" s="938"/>
      <c r="H30" s="938"/>
      <c r="I30" s="938"/>
      <c r="J30" s="938"/>
      <c r="K30" s="938"/>
      <c r="L30" s="938"/>
      <c r="M30" s="938"/>
      <c r="N30" s="938"/>
      <c r="O30" s="938"/>
      <c r="P30" s="938"/>
      <c r="Q30" s="938"/>
      <c r="R30" s="938"/>
      <c r="S30" s="938"/>
      <c r="T30" s="938"/>
      <c r="U30" s="938"/>
      <c r="V30" s="938"/>
      <c r="W30" s="938"/>
      <c r="X30" s="938"/>
      <c r="Y30" s="938"/>
      <c r="Z30" s="938"/>
      <c r="AA30" s="938"/>
      <c r="AB30" s="938"/>
      <c r="AC30" s="938"/>
      <c r="AD30" s="938"/>
      <c r="AE30" s="938"/>
      <c r="AF30" s="938"/>
      <c r="AG30" s="938"/>
      <c r="AH30" s="938"/>
      <c r="AI30" s="938"/>
      <c r="AJ30" s="938"/>
      <c r="AK30" s="938"/>
      <c r="AL30" s="938"/>
      <c r="AM30" s="938"/>
      <c r="AN30" s="938"/>
      <c r="AO30" s="938"/>
      <c r="AP30" s="938"/>
      <c r="AQ30" s="938"/>
      <c r="AR30" s="938"/>
      <c r="AS30" s="1727"/>
      <c r="AT30" s="1727"/>
      <c r="AU30" s="1727"/>
      <c r="AV30" s="1727"/>
      <c r="AW30" s="1727"/>
      <c r="AX30" s="1727"/>
      <c r="AY30" s="1727"/>
      <c r="AZ30" s="1727"/>
      <c r="BA30" s="1727"/>
      <c r="BB30" s="938"/>
      <c r="BC30" s="938"/>
      <c r="BD30" s="938"/>
      <c r="BE30" s="938"/>
      <c r="BF30" s="938"/>
      <c r="BG30" s="938"/>
      <c r="BH30" s="938"/>
      <c r="BI30" s="938"/>
      <c r="BJ30" s="938"/>
      <c r="BK30" s="938"/>
      <c r="BL30" s="938"/>
      <c r="BM30" s="938"/>
      <c r="BN30" s="938"/>
      <c r="BO30" s="938"/>
      <c r="BP30" s="938"/>
      <c r="BQ30" s="938"/>
      <c r="BR30" s="938"/>
      <c r="BS30" s="938"/>
      <c r="BT30" s="938"/>
      <c r="BU30" s="938"/>
      <c r="BV30" s="938"/>
      <c r="BW30" s="938"/>
      <c r="BX30" s="938"/>
      <c r="BY30" s="938"/>
      <c r="BZ30" s="938"/>
      <c r="CA30" s="938"/>
      <c r="CB30" s="938"/>
      <c r="CC30" s="938"/>
      <c r="CD30" s="938"/>
      <c r="CE30" s="938"/>
      <c r="CF30" s="938"/>
      <c r="CG30" s="938"/>
      <c r="CH30" s="938"/>
      <c r="CI30" s="938"/>
      <c r="CJ30" s="938"/>
      <c r="CK30" s="938"/>
      <c r="CL30" s="938"/>
      <c r="CM30" s="938"/>
    </row>
    <row r="31" spans="1:99">
      <c r="A31" s="1797" t="s">
        <v>209</v>
      </c>
      <c r="B31" s="227"/>
      <c r="C31" s="463"/>
      <c r="D31" s="227"/>
      <c r="E31" s="227"/>
      <c r="F31" s="227"/>
      <c r="G31" s="891"/>
      <c r="H31" s="227"/>
      <c r="I31" s="463"/>
      <c r="J31" s="227"/>
      <c r="K31" s="227"/>
      <c r="L31" s="227"/>
      <c r="M31" s="891"/>
      <c r="N31" s="227"/>
      <c r="O31" s="463"/>
      <c r="P31" s="227"/>
      <c r="Q31" s="227"/>
      <c r="R31" s="227"/>
      <c r="S31" s="891"/>
      <c r="T31" s="227"/>
      <c r="U31" s="463"/>
      <c r="V31" s="227"/>
      <c r="W31" s="227"/>
      <c r="X31" s="227"/>
      <c r="Y31" s="891"/>
      <c r="Z31" s="227"/>
      <c r="AA31" s="420">
        <v>67.806632399999998</v>
      </c>
      <c r="AB31" s="421">
        <v>76.869231600000035</v>
      </c>
      <c r="AC31" s="421">
        <v>72.679222024000055</v>
      </c>
      <c r="AD31" s="421">
        <v>80.986744999999928</v>
      </c>
      <c r="AE31" s="868">
        <f>SUM(AA31:AD31)</f>
        <v>298.34183102400004</v>
      </c>
      <c r="AF31" s="227"/>
      <c r="AG31" s="420">
        <v>77.528510000000068</v>
      </c>
      <c r="AH31" s="421">
        <v>80.305691799999948</v>
      </c>
      <c r="AI31" s="421">
        <v>79.956986227600041</v>
      </c>
      <c r="AJ31" s="421">
        <v>81.425659999999993</v>
      </c>
      <c r="AK31" s="419">
        <f>SUM(AG31:AJ31)</f>
        <v>319.21684802760007</v>
      </c>
      <c r="AL31" s="227"/>
      <c r="AM31" s="420">
        <f>AG31*(1+AM32)</f>
        <v>80.629650400000074</v>
      </c>
      <c r="AN31" s="421">
        <f>AH31*(1+AN32)</f>
        <v>81.751194252399955</v>
      </c>
      <c r="AO31" s="421">
        <f>AI31*(1+AO32)</f>
        <v>81.556125952152044</v>
      </c>
      <c r="AP31" s="421">
        <f>AJ31*(1+AP32)</f>
        <v>87.125456200000002</v>
      </c>
      <c r="AQ31" s="419">
        <f>SUM(AM31:AP31)</f>
        <v>331.06242680455205</v>
      </c>
      <c r="AR31" s="227"/>
      <c r="AS31" s="420">
        <f>AM31*(1+AS32)</f>
        <v>81.113428302400081</v>
      </c>
      <c r="AT31" s="421">
        <f>AN31*(1+AT32)</f>
        <v>82.650457389176353</v>
      </c>
      <c r="AU31" s="421">
        <f>AO31*(1+AU32)</f>
        <v>93.871100970927003</v>
      </c>
      <c r="AV31" s="421">
        <f>AP31*(1+AV32)</f>
        <v>95.489499995200006</v>
      </c>
      <c r="AW31" s="419">
        <f>SUM(AS31:AV31)</f>
        <v>353.12448665770341</v>
      </c>
      <c r="AX31" s="227"/>
      <c r="AY31" s="420">
        <f>AS31*(1+AY32)</f>
        <v>83.141264009960082</v>
      </c>
      <c r="AZ31" s="421">
        <f>AT31*(1+AZ32)</f>
        <v>82.650457389176353</v>
      </c>
      <c r="BA31" s="1058">
        <f>AU31*(1+BA32)</f>
        <v>92.932389961217737</v>
      </c>
      <c r="BB31" s="1058">
        <f>AV31*(1+BB32)</f>
        <v>97.112821495118396</v>
      </c>
      <c r="BC31" s="868">
        <f>SUM(AY31:BB31)</f>
        <v>355.83693285547258</v>
      </c>
      <c r="BD31" s="227"/>
      <c r="BE31" s="420">
        <f>AY31*(1+BE32)</f>
        <v>90.623977770856499</v>
      </c>
      <c r="BF31" s="1058">
        <f>AZ31*(1+BF32)</f>
        <v>93.808269136715168</v>
      </c>
      <c r="BG31" s="1058">
        <f>BA31*(1+BG32)</f>
        <v>99.995251598270286</v>
      </c>
      <c r="BH31" s="1058">
        <f>BB31*(1+BH32)</f>
        <v>106.82410364463024</v>
      </c>
      <c r="BI31" s="419">
        <f>SUM(BE31:BH31)</f>
        <v>391.25160215047219</v>
      </c>
      <c r="BJ31" s="227"/>
      <c r="BK31" s="420">
        <f>BE31*(1+BK32)</f>
        <v>100.38258282406852</v>
      </c>
      <c r="BL31" s="1058">
        <f>BF31*(1+BL32)</f>
        <v>101.75389447447812</v>
      </c>
      <c r="BM31" s="1058">
        <f>BG31*(1+BM32)</f>
        <v>112.4377869785593</v>
      </c>
      <c r="BN31" s="1058">
        <f>BH31*(1+BN32)</f>
        <v>122.58919769792709</v>
      </c>
      <c r="BO31" s="419">
        <f>SUM(BK31:BN31)</f>
        <v>437.16346197503304</v>
      </c>
      <c r="BP31" s="227"/>
      <c r="BQ31" s="420">
        <f>BK31*(1+BQ32)</f>
        <v>108.41318944999401</v>
      </c>
      <c r="BR31" s="1058">
        <f>BL31*(1+BR32)</f>
        <v>113.9643618114155</v>
      </c>
      <c r="BS31" s="1058">
        <f>BM31*(1+BS32)</f>
        <v>122.55718780662964</v>
      </c>
      <c r="BT31" s="1058">
        <f>BN31*(1+BT32)</f>
        <v>139.7516853756369</v>
      </c>
      <c r="BU31" s="419">
        <f>SUM(BQ31:BT31)</f>
        <v>484.68642444367606</v>
      </c>
      <c r="BV31" s="227"/>
      <c r="BW31" s="420">
        <f>BQ31*(1+BW32)</f>
        <v>116.0021127114936</v>
      </c>
      <c r="BX31" s="1058">
        <f>BR31*(1+BX32)</f>
        <v>121.94186713821459</v>
      </c>
      <c r="BY31" s="1058">
        <f>BS31*(1+BY32)</f>
        <v>131.13619095309372</v>
      </c>
      <c r="BZ31" s="1058">
        <f>BT31*(1+BZ32)</f>
        <v>149.5343033519315</v>
      </c>
      <c r="CA31" s="419">
        <f>SUM(BW31:BZ31)</f>
        <v>518.61447415473344</v>
      </c>
      <c r="CB31" s="227"/>
      <c r="CC31" s="420">
        <f>BW31*(1+CC32)</f>
        <v>124.12226060129815</v>
      </c>
      <c r="CD31" s="1058">
        <f>BX31*(1+CD32)</f>
        <v>130.47779783788963</v>
      </c>
      <c r="CE31" s="1058">
        <f>BY31*(1+CE32)</f>
        <v>140.31572431981027</v>
      </c>
      <c r="CF31" s="1058">
        <f>BZ31*(1+CF32)</f>
        <v>160.00170458656672</v>
      </c>
      <c r="CG31" s="419">
        <f>SUM(CC31:CF31)</f>
        <v>554.91748734556472</v>
      </c>
      <c r="CH31" s="227"/>
      <c r="CI31" s="420">
        <f>CC31*(1+CI32)</f>
        <v>132.81081884338903</v>
      </c>
      <c r="CJ31" s="1058">
        <f>CD31*(1+CJ32)</f>
        <v>139.61124368654191</v>
      </c>
      <c r="CK31" s="1058">
        <f>CE31*(1+CK32)</f>
        <v>150.13782502219701</v>
      </c>
      <c r="CL31" s="1058">
        <f>CF31*(1+CL32)</f>
        <v>171.20182390762639</v>
      </c>
      <c r="CM31" s="419">
        <f>SUM(CI31:CL31)</f>
        <v>593.76171145975434</v>
      </c>
      <c r="CN31" s="854"/>
      <c r="CO31" s="854"/>
      <c r="CP31" s="854"/>
      <c r="CQ31" s="854"/>
      <c r="CR31" s="854"/>
      <c r="CS31" s="854"/>
      <c r="CT31" s="854"/>
      <c r="CU31" s="854"/>
    </row>
    <row r="32" spans="1:99">
      <c r="A32" s="945" t="s">
        <v>175</v>
      </c>
      <c r="B32" s="227"/>
      <c r="C32" s="463"/>
      <c r="D32" s="227"/>
      <c r="E32" s="227"/>
      <c r="F32" s="227"/>
      <c r="G32" s="891"/>
      <c r="H32" s="227"/>
      <c r="I32" s="463"/>
      <c r="J32" s="227"/>
      <c r="K32" s="227"/>
      <c r="L32" s="227"/>
      <c r="M32" s="891"/>
      <c r="N32" s="227"/>
      <c r="O32" s="463"/>
      <c r="P32" s="227"/>
      <c r="Q32" s="227"/>
      <c r="R32" s="227"/>
      <c r="S32" s="891"/>
      <c r="T32" s="227"/>
      <c r="U32" s="463"/>
      <c r="V32" s="227"/>
      <c r="W32" s="227"/>
      <c r="X32" s="227"/>
      <c r="Y32" s="891"/>
      <c r="Z32" s="227"/>
      <c r="AA32" s="463"/>
      <c r="AB32" s="227"/>
      <c r="AC32" s="227"/>
      <c r="AD32" s="227"/>
      <c r="AE32" s="891"/>
      <c r="AF32" s="227"/>
      <c r="AG32" s="848">
        <f>AG31/AA31-1</f>
        <v>0.14337649955316278</v>
      </c>
      <c r="AH32" s="849">
        <f>AH31/AB31-1</f>
        <v>4.4705275810249079E-2</v>
      </c>
      <c r="AI32" s="849">
        <f>AI31/AC31-1</f>
        <v>0.10013541698611927</v>
      </c>
      <c r="AJ32" s="849">
        <f>AJ31/AD31-1</f>
        <v>5.4195905762117746E-3</v>
      </c>
      <c r="AK32" s="850">
        <f>AK31/AE31-1</f>
        <v>6.997013101364491E-2</v>
      </c>
      <c r="AL32" s="227"/>
      <c r="AM32" s="904">
        <v>0.04</v>
      </c>
      <c r="AN32" s="905">
        <v>1.7999999999999999E-2</v>
      </c>
      <c r="AO32" s="905">
        <v>0.02</v>
      </c>
      <c r="AP32" s="905">
        <v>7.0000000000000007E-2</v>
      </c>
      <c r="AQ32" s="850">
        <f>AQ31/AK31-1</f>
        <v>3.7108250551762145E-2</v>
      </c>
      <c r="AR32" s="227"/>
      <c r="AS32" s="901">
        <v>6.0000000000000001E-3</v>
      </c>
      <c r="AT32" s="902">
        <v>1.0999999999999999E-2</v>
      </c>
      <c r="AU32" s="905">
        <v>0.151</v>
      </c>
      <c r="AV32" s="905">
        <v>9.6000000000000002E-2</v>
      </c>
      <c r="AW32" s="850">
        <f>AW31/AQ31-1</f>
        <v>6.6640180421851491E-2</v>
      </c>
      <c r="AX32" s="227"/>
      <c r="AY32" s="1674">
        <v>2.5000000000000001E-2</v>
      </c>
      <c r="AZ32" s="1649">
        <v>0</v>
      </c>
      <c r="BA32" s="1649">
        <v>-0.01</v>
      </c>
      <c r="BB32" s="1649">
        <v>1.7000000000000001E-2</v>
      </c>
      <c r="BC32" s="861">
        <f>BC31/AW31-1</f>
        <v>7.6812747352703603E-3</v>
      </c>
      <c r="BD32" s="227"/>
      <c r="BE32" s="1937">
        <v>0.09</v>
      </c>
      <c r="BF32" s="1649">
        <v>0.13500000000000001</v>
      </c>
      <c r="BG32" s="1649">
        <v>7.5999999999999998E-2</v>
      </c>
      <c r="BH32" s="1649">
        <v>0.1</v>
      </c>
      <c r="BI32" s="850">
        <f>BI31/BC31-1</f>
        <v>9.9524995932290361E-2</v>
      </c>
      <c r="BJ32" s="227"/>
      <c r="BK32" s="904">
        <v>0.10768237384025175</v>
      </c>
      <c r="BL32" s="905">
        <v>8.4700692283140519E-2</v>
      </c>
      <c r="BM32" s="905">
        <v>0.12443126229910145</v>
      </c>
      <c r="BN32" s="905">
        <v>0.14757993294979846</v>
      </c>
      <c r="BO32" s="850">
        <f>BO31/BI31-1</f>
        <v>0.11734612605344297</v>
      </c>
      <c r="BP32" s="227"/>
      <c r="BQ32" s="904">
        <v>0.08</v>
      </c>
      <c r="BR32" s="905">
        <v>0.12</v>
      </c>
      <c r="BS32" s="905">
        <v>0.09</v>
      </c>
      <c r="BT32" s="905">
        <v>0.14000000000000001</v>
      </c>
      <c r="BU32" s="850">
        <f>BU31/BO31-1</f>
        <v>0.10870753528655408</v>
      </c>
      <c r="BV32" s="227"/>
      <c r="BW32" s="904">
        <v>7.0000000000000007E-2</v>
      </c>
      <c r="BX32" s="905">
        <v>7.0000000000000007E-2</v>
      </c>
      <c r="BY32" s="905">
        <v>7.0000000000000007E-2</v>
      </c>
      <c r="BZ32" s="905">
        <v>7.0000000000000007E-2</v>
      </c>
      <c r="CA32" s="850">
        <f>CA31/BU31-1</f>
        <v>7.0000000000000062E-2</v>
      </c>
      <c r="CB32" s="227"/>
      <c r="CC32" s="904">
        <v>7.0000000000000007E-2</v>
      </c>
      <c r="CD32" s="905">
        <v>7.0000000000000007E-2</v>
      </c>
      <c r="CE32" s="905">
        <v>7.0000000000000007E-2</v>
      </c>
      <c r="CF32" s="905">
        <v>7.0000000000000007E-2</v>
      </c>
      <c r="CG32" s="850">
        <f>CG31/CA31-1</f>
        <v>6.999999999999984E-2</v>
      </c>
      <c r="CH32" s="227"/>
      <c r="CI32" s="904">
        <v>7.0000000000000007E-2</v>
      </c>
      <c r="CJ32" s="905">
        <v>7.0000000000000007E-2</v>
      </c>
      <c r="CK32" s="905">
        <v>7.0000000000000007E-2</v>
      </c>
      <c r="CL32" s="905">
        <v>7.0000000000000007E-2</v>
      </c>
      <c r="CM32" s="850">
        <f t="shared" ref="CM32" si="35">CM31/CG31-1</f>
        <v>7.0000000000000062E-2</v>
      </c>
    </row>
    <row r="33" spans="1:132">
      <c r="A33" s="1797" t="s">
        <v>211</v>
      </c>
      <c r="B33" s="227"/>
      <c r="C33" s="463"/>
      <c r="D33" s="227"/>
      <c r="E33" s="227"/>
      <c r="F33" s="227"/>
      <c r="G33" s="891"/>
      <c r="H33" s="227"/>
      <c r="I33" s="463"/>
      <c r="J33" s="227"/>
      <c r="K33" s="227"/>
      <c r="L33" s="227"/>
      <c r="M33" s="891"/>
      <c r="N33" s="227"/>
      <c r="O33" s="602">
        <v>21.198311999999998</v>
      </c>
      <c r="P33" s="621">
        <v>21.899486</v>
      </c>
      <c r="Q33" s="621">
        <v>20.79</v>
      </c>
      <c r="R33" s="621">
        <v>19.596654000000001</v>
      </c>
      <c r="S33" s="891"/>
      <c r="T33" s="227"/>
      <c r="U33" s="463"/>
      <c r="V33" s="227"/>
      <c r="W33" s="227"/>
      <c r="X33" s="227"/>
      <c r="Y33" s="891"/>
      <c r="Z33" s="227"/>
      <c r="AA33" s="1020">
        <v>18</v>
      </c>
      <c r="AB33" s="1021">
        <v>21</v>
      </c>
      <c r="AC33" s="1021">
        <v>17</v>
      </c>
      <c r="AD33" s="1021">
        <v>15</v>
      </c>
      <c r="AE33" s="868">
        <f>SUM(AA33:AD33)</f>
        <v>71</v>
      </c>
      <c r="AF33" s="227"/>
      <c r="AG33" s="420">
        <f>AA33*(1+AG34)</f>
        <v>18.900000000000002</v>
      </c>
      <c r="AH33" s="421">
        <f>AB33*(1+AH34)</f>
        <v>21.21</v>
      </c>
      <c r="AI33" s="421">
        <f>AC33*(1+AI34)</f>
        <v>17.170000000000002</v>
      </c>
      <c r="AJ33" s="421">
        <f>AD33*(1+AJ34)</f>
        <v>15</v>
      </c>
      <c r="AK33" s="419">
        <f>SUM(AG33:AJ33)</f>
        <v>72.28</v>
      </c>
      <c r="AL33" s="227"/>
      <c r="AM33" s="420">
        <f>AG33*(1+AM34)</f>
        <v>18.446400000000001</v>
      </c>
      <c r="AN33" s="421">
        <f>AH33*(1+AN34)</f>
        <v>21.37968</v>
      </c>
      <c r="AO33" s="421">
        <f>AI33*(1+AO34)</f>
        <v>17.341700000000003</v>
      </c>
      <c r="AP33" s="421">
        <f>AJ33*(1+AP34)</f>
        <v>14.385</v>
      </c>
      <c r="AQ33" s="419">
        <f>SUM(AM33:AP33)</f>
        <v>71.552780000000013</v>
      </c>
      <c r="AR33" s="227"/>
      <c r="AS33" s="870">
        <f>AM33*(1+AS34)</f>
        <v>17.726990399999998</v>
      </c>
      <c r="AT33" s="1058">
        <f>AN33*(1+AT34)</f>
        <v>22.747979520000001</v>
      </c>
      <c r="AU33" s="421">
        <f>AO33*(1+AU34)</f>
        <v>17.532458700000003</v>
      </c>
      <c r="AV33" s="421">
        <f>AP33*(1+AV34)</f>
        <v>15.967350000000001</v>
      </c>
      <c r="AW33" s="419">
        <f>SUM(AS33:AV33)</f>
        <v>73.974778619999995</v>
      </c>
      <c r="AX33" s="227"/>
      <c r="AY33" s="870">
        <f>AS33*(1+AY34)</f>
        <v>16.421288770039908</v>
      </c>
      <c r="AZ33" s="1058">
        <f>AT33*(1+AZ34)</f>
        <v>22.265020610823637</v>
      </c>
      <c r="BA33" s="1058">
        <f>AU33*(1+BA34)</f>
        <v>14.573748728886278</v>
      </c>
      <c r="BB33" s="1058">
        <f>AV33*(1+BB34)</f>
        <v>13.790055399921483</v>
      </c>
      <c r="BC33" s="868">
        <f>SUM(AY33:BB33)</f>
        <v>67.050113509671306</v>
      </c>
      <c r="BD33" s="227"/>
      <c r="BE33" s="420">
        <f>AY33*(1+BE34)</f>
        <v>16.54019066954314</v>
      </c>
      <c r="BF33" s="1058">
        <f>AZ33*(1+BF34)</f>
        <v>22.048190341284801</v>
      </c>
      <c r="BG33" s="1058">
        <f>BA33*(1+BG34)</f>
        <v>14.783425303174889</v>
      </c>
      <c r="BH33" s="1058">
        <f>BB33*(1+BH34)</f>
        <v>14.117228023004925</v>
      </c>
      <c r="BI33" s="419">
        <f>SUM(BE33:BH33)</f>
        <v>67.489034337007752</v>
      </c>
      <c r="BJ33" s="227"/>
      <c r="BK33" s="420">
        <f>BE33*(1+BK34)</f>
        <v>16.54019066954314</v>
      </c>
      <c r="BL33" s="1058">
        <f>BF33*(1+BL34)</f>
        <v>22.048190341284801</v>
      </c>
      <c r="BM33" s="1058">
        <f>BG33*(1+BM34)</f>
        <v>14.783425303174889</v>
      </c>
      <c r="BN33" s="1058">
        <f>BH33*(1+BN34)</f>
        <v>14.258400303234975</v>
      </c>
      <c r="BO33" s="419">
        <f>SUM(BK33:BN33)</f>
        <v>67.630206617237803</v>
      </c>
      <c r="BP33" s="227"/>
      <c r="BQ33" s="420">
        <f>BK33*(1+BQ34)</f>
        <v>16.209386856152278</v>
      </c>
      <c r="BR33" s="1058">
        <f>BL33*(1+BR34)</f>
        <v>21.607226534459105</v>
      </c>
      <c r="BS33" s="1058">
        <f>BM33*(1+BS34)</f>
        <v>14.192088291047893</v>
      </c>
      <c r="BT33" s="1058">
        <f>BN33*(1+BT34)</f>
        <v>13.973232297170275</v>
      </c>
      <c r="BU33" s="419">
        <f>SUM(BQ33:BT33)</f>
        <v>65.981933978829545</v>
      </c>
      <c r="BV33" s="227"/>
      <c r="BW33" s="420">
        <f>BQ33*(1+BW34)</f>
        <v>15.723105250467709</v>
      </c>
      <c r="BX33" s="1058">
        <f>BR33*(1+BX34)</f>
        <v>20.95900973842533</v>
      </c>
      <c r="BY33" s="1058">
        <f>BS33*(1+BY34)</f>
        <v>13.766325642316456</v>
      </c>
      <c r="BZ33" s="1058">
        <f>BT33*(1+BZ34)</f>
        <v>13.554035328255166</v>
      </c>
      <c r="CA33" s="419">
        <f>SUM(BW33:BZ33)</f>
        <v>64.002475959464661</v>
      </c>
      <c r="CB33" s="227"/>
      <c r="CC33" s="420">
        <f>BW33*(1+CC34)</f>
        <v>16.037567355477062</v>
      </c>
      <c r="CD33" s="1058">
        <f>BX33*(1+CD34)</f>
        <v>21.378189933193838</v>
      </c>
      <c r="CE33" s="1058">
        <f>BY33*(1+CE34)</f>
        <v>14.041652155162785</v>
      </c>
      <c r="CF33" s="1058">
        <f>BZ33*(1+CF34)</f>
        <v>13.825116034820269</v>
      </c>
      <c r="CG33" s="419">
        <f>SUM(CC33:CF33)</f>
        <v>65.282525478653952</v>
      </c>
      <c r="CH33" s="227"/>
      <c r="CI33" s="420">
        <f>CC33*(1+CI34)</f>
        <v>16.358318702586605</v>
      </c>
      <c r="CJ33" s="1058">
        <f>CD33*(1+CJ34)</f>
        <v>21.805753731857713</v>
      </c>
      <c r="CK33" s="1058">
        <f>CE33*(1+CK34)</f>
        <v>14.32248519826604</v>
      </c>
      <c r="CL33" s="1058">
        <f>CF33*(1+CL34)</f>
        <v>14.101618355516674</v>
      </c>
      <c r="CM33" s="419">
        <f>SUM(CI33:CL33)</f>
        <v>66.588175988227036</v>
      </c>
      <c r="CN33" s="854"/>
      <c r="CO33" s="854"/>
      <c r="CP33" s="854"/>
      <c r="CQ33" s="854"/>
      <c r="CR33" s="854"/>
      <c r="CS33" s="854"/>
      <c r="CT33" s="854"/>
      <c r="CU33" s="854"/>
    </row>
    <row r="34" spans="1:132">
      <c r="A34" s="945" t="s">
        <v>175</v>
      </c>
      <c r="B34" s="227"/>
      <c r="C34" s="463"/>
      <c r="D34" s="227"/>
      <c r="E34" s="227"/>
      <c r="F34" s="227"/>
      <c r="G34" s="891"/>
      <c r="H34" s="227"/>
      <c r="I34" s="463"/>
      <c r="J34" s="227"/>
      <c r="K34" s="227"/>
      <c r="L34" s="227"/>
      <c r="M34" s="891"/>
      <c r="N34" s="227"/>
      <c r="O34" s="748"/>
      <c r="P34" s="747"/>
      <c r="Q34" s="747"/>
      <c r="R34" s="747"/>
      <c r="S34" s="891"/>
      <c r="T34" s="227"/>
      <c r="U34" s="463"/>
      <c r="V34" s="227"/>
      <c r="W34" s="227"/>
      <c r="X34" s="227"/>
      <c r="Y34" s="891"/>
      <c r="Z34" s="227"/>
      <c r="AA34" s="418"/>
      <c r="AB34" s="353"/>
      <c r="AC34" s="353"/>
      <c r="AD34" s="353"/>
      <c r="AE34" s="865"/>
      <c r="AF34" s="227"/>
      <c r="AG34" s="904">
        <v>0.05</v>
      </c>
      <c r="AH34" s="905">
        <v>0.01</v>
      </c>
      <c r="AI34" s="905">
        <v>0.01</v>
      </c>
      <c r="AJ34" s="905">
        <v>0</v>
      </c>
      <c r="AK34" s="850">
        <f>AK33/AE33-1</f>
        <v>1.8028169014084439E-2</v>
      </c>
      <c r="AL34" s="227"/>
      <c r="AM34" s="904">
        <v>-2.4E-2</v>
      </c>
      <c r="AN34" s="905">
        <v>8.0000000000000002E-3</v>
      </c>
      <c r="AO34" s="905">
        <v>0.01</v>
      </c>
      <c r="AP34" s="905">
        <v>-4.1000000000000002E-2</v>
      </c>
      <c r="AQ34" s="850">
        <f>AQ33/AK33-1</f>
        <v>-1.0061151079136521E-2</v>
      </c>
      <c r="AR34" s="227"/>
      <c r="AS34" s="901">
        <v>-3.9E-2</v>
      </c>
      <c r="AT34" s="902">
        <v>6.4000000000000001E-2</v>
      </c>
      <c r="AU34" s="905">
        <v>1.0999999999999999E-2</v>
      </c>
      <c r="AV34" s="905">
        <v>0.11</v>
      </c>
      <c r="AW34" s="850">
        <f>AW33/AQ33-1</f>
        <v>3.3849119768651681E-2</v>
      </c>
      <c r="AX34" s="227"/>
      <c r="AY34" s="1674">
        <v>-7.3656136800304889E-2</v>
      </c>
      <c r="AZ34" s="1649">
        <v>-2.1230848601377909E-2</v>
      </c>
      <c r="BA34" s="1649">
        <v>-0.16875613521985508</v>
      </c>
      <c r="BB34" s="1649">
        <v>-0.13635917043708057</v>
      </c>
      <c r="BC34" s="861">
        <f>BC33/AW33-1</f>
        <v>-9.3608460065827348E-2</v>
      </c>
      <c r="BD34" s="227"/>
      <c r="BE34" s="1937">
        <v>7.2407166799336349E-3</v>
      </c>
      <c r="BF34" s="1649">
        <v>-9.7386062797277916E-3</v>
      </c>
      <c r="BG34" s="1649">
        <v>1.4387277987921939E-2</v>
      </c>
      <c r="BH34" s="1649">
        <v>2.3725258064249924E-2</v>
      </c>
      <c r="BI34" s="850">
        <f>BI33/BC33-1</f>
        <v>6.5461608394314919E-3</v>
      </c>
      <c r="BJ34" s="227"/>
      <c r="BK34" s="904">
        <v>0</v>
      </c>
      <c r="BL34" s="905">
        <v>0</v>
      </c>
      <c r="BM34" s="905">
        <v>0</v>
      </c>
      <c r="BN34" s="905">
        <v>0.01</v>
      </c>
      <c r="BO34" s="850">
        <f>BO33/BI33-1</f>
        <v>2.0917810073426413E-3</v>
      </c>
      <c r="BP34" s="227"/>
      <c r="BQ34" s="904">
        <v>-0.02</v>
      </c>
      <c r="BR34" s="905">
        <v>-0.02</v>
      </c>
      <c r="BS34" s="905">
        <v>-0.04</v>
      </c>
      <c r="BT34" s="905">
        <v>-0.02</v>
      </c>
      <c r="BU34" s="850">
        <f>BU33/BO33-1</f>
        <v>-2.4371840939905409E-2</v>
      </c>
      <c r="BV34" s="227"/>
      <c r="BW34" s="904">
        <v>-0.03</v>
      </c>
      <c r="BX34" s="905">
        <v>-0.03</v>
      </c>
      <c r="BY34" s="905">
        <v>-0.03</v>
      </c>
      <c r="BZ34" s="905">
        <v>-0.03</v>
      </c>
      <c r="CA34" s="850">
        <f t="shared" ref="CA34" si="36">CA33/BU33-1</f>
        <v>-2.9999999999999916E-2</v>
      </c>
      <c r="CB34" s="227"/>
      <c r="CC34" s="904">
        <v>0.02</v>
      </c>
      <c r="CD34" s="905">
        <v>0.02</v>
      </c>
      <c r="CE34" s="905">
        <v>0.02</v>
      </c>
      <c r="CF34" s="905">
        <v>0.02</v>
      </c>
      <c r="CG34" s="850">
        <f t="shared" ref="CG34" si="37">CG33/CA33-1</f>
        <v>2.0000000000000018E-2</v>
      </c>
      <c r="CH34" s="227"/>
      <c r="CI34" s="904">
        <v>0.02</v>
      </c>
      <c r="CJ34" s="905">
        <v>0.02</v>
      </c>
      <c r="CK34" s="905">
        <v>0.02</v>
      </c>
      <c r="CL34" s="905">
        <v>0.02</v>
      </c>
      <c r="CM34" s="850">
        <f t="shared" ref="CM34" si="38">CM33/CG33-1</f>
        <v>2.0000000000000018E-2</v>
      </c>
    </row>
    <row r="35" spans="1:132" ht="11.25" customHeight="1" outlineLevel="1">
      <c r="A35" s="1798" t="s">
        <v>212</v>
      </c>
      <c r="B35" s="227"/>
      <c r="C35" s="463"/>
      <c r="D35" s="227"/>
      <c r="E35" s="227"/>
      <c r="F35" s="227"/>
      <c r="G35" s="891"/>
      <c r="H35" s="227"/>
      <c r="I35" s="463"/>
      <c r="J35" s="227"/>
      <c r="K35" s="227"/>
      <c r="L35" s="227"/>
      <c r="M35" s="891"/>
      <c r="N35" s="227"/>
      <c r="O35" s="602">
        <v>26.109419999999997</v>
      </c>
      <c r="P35" s="621">
        <v>26.296199999999999</v>
      </c>
      <c r="Q35" s="621">
        <v>22.622160000000001</v>
      </c>
      <c r="R35" s="621">
        <v>18.018179999999997</v>
      </c>
      <c r="S35" s="891"/>
      <c r="T35" s="227"/>
      <c r="U35" s="463"/>
      <c r="V35" s="227"/>
      <c r="W35" s="227"/>
      <c r="X35" s="951">
        <f>0.06*X15</f>
        <v>28.209479999999999</v>
      </c>
      <c r="Y35" s="891"/>
      <c r="Z35" s="227"/>
      <c r="AA35" s="1020">
        <v>35</v>
      </c>
      <c r="AB35" s="1021">
        <v>38</v>
      </c>
      <c r="AC35" s="1021">
        <v>40.895867975999963</v>
      </c>
      <c r="AD35" s="1021">
        <v>45</v>
      </c>
      <c r="AE35" s="868">
        <f>SUM(AA35:AD35)</f>
        <v>158.89586797599998</v>
      </c>
      <c r="AF35" s="227"/>
      <c r="AG35" s="420">
        <f>AA35*(1+AG36)</f>
        <v>40.949999999999996</v>
      </c>
      <c r="AH35" s="421">
        <f>AB35*(1+AH36)</f>
        <v>42.180000000000007</v>
      </c>
      <c r="AI35" s="421">
        <f>AC35*(1+AI36)</f>
        <v>47.030248172399951</v>
      </c>
      <c r="AJ35" s="421">
        <f>AD35*(1+AJ36)</f>
        <v>51.749999999999993</v>
      </c>
      <c r="AK35" s="419">
        <f>SUM(AG35:AJ35)</f>
        <v>181.91024817239995</v>
      </c>
      <c r="AL35" s="227"/>
      <c r="AM35" s="420">
        <f>AG35*(1+AM36)</f>
        <v>42.997499999999995</v>
      </c>
      <c r="AN35" s="421">
        <f>AH35*(1+AN36)</f>
        <v>40.071000000000005</v>
      </c>
      <c r="AO35" s="421">
        <f>AI35*(1+AO36)</f>
        <v>41.981484089696011</v>
      </c>
      <c r="AP35" s="421">
        <f>AJ35*(1+AP36)</f>
        <v>54.854999999999997</v>
      </c>
      <c r="AQ35" s="419">
        <f>SUM(AM35:AP35)</f>
        <v>179.904984089696</v>
      </c>
      <c r="AR35" s="227"/>
      <c r="AS35" s="870">
        <f>AM35*(1+AS36)</f>
        <v>42.782512499999996</v>
      </c>
      <c r="AT35" s="1058">
        <f>AN35*(1+AT36)</f>
        <v>43.276680000000006</v>
      </c>
      <c r="AU35" s="421">
        <f>AO35*(1+AU36)</f>
        <v>47.019262180459535</v>
      </c>
      <c r="AV35" s="421">
        <f>AP35*(1+AV36)</f>
        <v>51.015149999999991</v>
      </c>
      <c r="AW35" s="419">
        <f>SUM(AS35:AV35)</f>
        <v>184.09360468045952</v>
      </c>
      <c r="AX35" s="227"/>
      <c r="AY35" s="870">
        <f>AS35*(1+AY36)</f>
        <v>42.354687374999997</v>
      </c>
      <c r="AZ35" s="1058">
        <f>AT35*(1+AZ36)</f>
        <v>39.381778800000006</v>
      </c>
      <c r="BA35" s="1058">
        <f>AU35*(1+BA36)</f>
        <v>44.668299071436557</v>
      </c>
      <c r="BB35" s="1058">
        <f>AV35*(1+BB36)</f>
        <v>51.015149999999991</v>
      </c>
      <c r="BC35" s="868">
        <f>SUM(AY35:BB35)</f>
        <v>177.41991524643657</v>
      </c>
      <c r="BD35" s="227"/>
      <c r="BE35" s="420">
        <f>AY35*(1+BE36)</f>
        <v>39.813406132499992</v>
      </c>
      <c r="BF35" s="1058">
        <f>AZ35*(1+BF36)</f>
        <v>36.317584944081631</v>
      </c>
      <c r="BG35" s="1058">
        <f>BA35*(1+BG36)</f>
        <v>37.507457177055194</v>
      </c>
      <c r="BH35" s="1757">
        <v>0</v>
      </c>
      <c r="BI35" s="419">
        <f>SUM(BE35:BH35)</f>
        <v>113.63844825363682</v>
      </c>
      <c r="BJ35" s="227"/>
      <c r="BK35" s="420">
        <v>0</v>
      </c>
      <c r="BL35" s="1058">
        <v>0</v>
      </c>
      <c r="BM35" s="1058">
        <v>0</v>
      </c>
      <c r="BN35" s="1058">
        <v>0</v>
      </c>
      <c r="BO35" s="419">
        <f>SUM(BK35:BN35)</f>
        <v>0</v>
      </c>
      <c r="BP35" s="227"/>
      <c r="BQ35" s="420">
        <v>0</v>
      </c>
      <c r="BR35" s="1058">
        <f>BL35*(1+BR36)</f>
        <v>0</v>
      </c>
      <c r="BS35" s="1058">
        <f>BM35*(1+BS36)</f>
        <v>0</v>
      </c>
      <c r="BT35" s="1058">
        <f>BN35*(1+BT36)</f>
        <v>0</v>
      </c>
      <c r="BU35" s="419">
        <f>SUM(BQ35:BT35)</f>
        <v>0</v>
      </c>
      <c r="BV35" s="227"/>
      <c r="BW35" s="420">
        <f>BQ35*(1+BW36)</f>
        <v>0</v>
      </c>
      <c r="BX35" s="1058">
        <f>BR35*(1+BX36)</f>
        <v>0</v>
      </c>
      <c r="BY35" s="1058">
        <f>BS35*(1+BY36)</f>
        <v>0</v>
      </c>
      <c r="BZ35" s="1058">
        <f>BT35*(1+BZ36)</f>
        <v>0</v>
      </c>
      <c r="CA35" s="419">
        <f>SUM(BW35:BZ35)</f>
        <v>0</v>
      </c>
      <c r="CB35" s="227"/>
      <c r="CC35" s="420">
        <f>BW35*(1+CC36)</f>
        <v>0</v>
      </c>
      <c r="CD35" s="1058">
        <f>BX35*(1+CD36)</f>
        <v>0</v>
      </c>
      <c r="CE35" s="1058">
        <f>BY35*(1+CE36)</f>
        <v>0</v>
      </c>
      <c r="CF35" s="1058">
        <f>BZ35*(1+CF36)</f>
        <v>0</v>
      </c>
      <c r="CG35" s="419">
        <f>SUM(CC35:CF35)</f>
        <v>0</v>
      </c>
      <c r="CH35" s="227"/>
      <c r="CI35" s="420">
        <f>CC35*(1+CI36)</f>
        <v>0</v>
      </c>
      <c r="CJ35" s="1058">
        <f>CD35*(1+CJ36)</f>
        <v>0</v>
      </c>
      <c r="CK35" s="1058">
        <f>CE35*(1+CK36)</f>
        <v>0</v>
      </c>
      <c r="CL35" s="1058">
        <f>CF35*(1+CL36)</f>
        <v>0</v>
      </c>
      <c r="CM35" s="419">
        <f>SUM(CI35:CL35)</f>
        <v>0</v>
      </c>
    </row>
    <row r="36" spans="1:132" ht="11.25" customHeight="1" outlineLevel="1">
      <c r="A36" s="945" t="s">
        <v>175</v>
      </c>
      <c r="B36" s="227"/>
      <c r="C36" s="463"/>
      <c r="D36" s="227"/>
      <c r="E36" s="227"/>
      <c r="F36" s="227"/>
      <c r="G36" s="891"/>
      <c r="H36" s="227"/>
      <c r="I36" s="463"/>
      <c r="J36" s="227"/>
      <c r="K36" s="227"/>
      <c r="L36" s="227"/>
      <c r="M36" s="891"/>
      <c r="N36" s="227"/>
      <c r="O36" s="463"/>
      <c r="P36" s="227"/>
      <c r="Q36" s="227"/>
      <c r="R36" s="227"/>
      <c r="S36" s="891"/>
      <c r="T36" s="227"/>
      <c r="U36" s="463"/>
      <c r="V36" s="227"/>
      <c r="W36" s="227"/>
      <c r="X36" s="227"/>
      <c r="Y36" s="891"/>
      <c r="Z36" s="227"/>
      <c r="AA36" s="463"/>
      <c r="AB36" s="227"/>
      <c r="AC36" s="227"/>
      <c r="AD36" s="227"/>
      <c r="AE36" s="891"/>
      <c r="AF36" s="227"/>
      <c r="AG36" s="904">
        <v>0.17</v>
      </c>
      <c r="AH36" s="905">
        <v>0.11</v>
      </c>
      <c r="AI36" s="905">
        <v>0.15</v>
      </c>
      <c r="AJ36" s="905">
        <v>0.15</v>
      </c>
      <c r="AK36" s="850">
        <f>AK35/AE35-1</f>
        <v>0.14483938751557801</v>
      </c>
      <c r="AL36" s="227"/>
      <c r="AM36" s="904">
        <v>0.05</v>
      </c>
      <c r="AN36" s="905">
        <v>-0.05</v>
      </c>
      <c r="AO36" s="905">
        <v>-0.10735142336898917</v>
      </c>
      <c r="AP36" s="905">
        <v>0.06</v>
      </c>
      <c r="AQ36" s="850">
        <f>AQ35/AK35-1</f>
        <v>-1.1023370606385585E-2</v>
      </c>
      <c r="AR36" s="227"/>
      <c r="AS36" s="901">
        <v>-5.0000000000000001E-3</v>
      </c>
      <c r="AT36" s="902">
        <v>0.08</v>
      </c>
      <c r="AU36" s="905">
        <v>0.12</v>
      </c>
      <c r="AV36" s="905">
        <v>-7.0000000000000007E-2</v>
      </c>
      <c r="AW36" s="850">
        <f>AW35/AQ35-1</f>
        <v>2.3282404386724354E-2</v>
      </c>
      <c r="AX36" s="227"/>
      <c r="AY36" s="901">
        <v>-0.01</v>
      </c>
      <c r="AZ36" s="902">
        <v>-0.09</v>
      </c>
      <c r="BA36" s="902">
        <v>-0.05</v>
      </c>
      <c r="BB36" s="902">
        <v>0</v>
      </c>
      <c r="BC36" s="861">
        <f>BC35/AW35-1</f>
        <v>-3.6251609313679323E-2</v>
      </c>
      <c r="BD36" s="227"/>
      <c r="BE36" s="904">
        <v>-0.06</v>
      </c>
      <c r="BF36" s="902">
        <v>-7.7807401018624725E-2</v>
      </c>
      <c r="BG36" s="902">
        <v>-0.16031149704019987</v>
      </c>
      <c r="BH36" s="902">
        <v>0</v>
      </c>
      <c r="BI36" s="850">
        <f>BI35/BC35-1</f>
        <v>-0.35949440571092139</v>
      </c>
      <c r="BJ36" s="227"/>
      <c r="BK36" s="904">
        <v>0</v>
      </c>
      <c r="BL36" s="905">
        <v>0</v>
      </c>
      <c r="BM36" s="905">
        <v>0</v>
      </c>
      <c r="BN36" s="905">
        <v>0</v>
      </c>
      <c r="BO36" s="850"/>
      <c r="BP36" s="227"/>
      <c r="BQ36" s="904">
        <v>0</v>
      </c>
      <c r="BR36" s="905">
        <v>0</v>
      </c>
      <c r="BS36" s="905">
        <v>0</v>
      </c>
      <c r="BT36" s="905">
        <v>0</v>
      </c>
      <c r="BU36" s="850"/>
      <c r="BV36" s="227"/>
      <c r="BW36" s="904">
        <v>0</v>
      </c>
      <c r="BX36" s="905">
        <v>0</v>
      </c>
      <c r="BY36" s="905">
        <v>0</v>
      </c>
      <c r="BZ36" s="905">
        <v>0</v>
      </c>
      <c r="CA36" s="850"/>
      <c r="CB36" s="227"/>
      <c r="CC36" s="904">
        <v>0</v>
      </c>
      <c r="CD36" s="905">
        <v>0</v>
      </c>
      <c r="CE36" s="905">
        <v>0</v>
      </c>
      <c r="CF36" s="905">
        <v>0</v>
      </c>
      <c r="CG36" s="850"/>
      <c r="CH36" s="227"/>
      <c r="CI36" s="904">
        <v>0</v>
      </c>
      <c r="CJ36" s="905">
        <v>0</v>
      </c>
      <c r="CK36" s="905">
        <v>0</v>
      </c>
      <c r="CL36" s="905">
        <v>0</v>
      </c>
      <c r="CM36" s="850"/>
    </row>
    <row r="37" spans="1:132">
      <c r="A37" s="1798" t="s">
        <v>49</v>
      </c>
      <c r="B37" s="227"/>
      <c r="C37" s="463"/>
      <c r="D37" s="227"/>
      <c r="E37" s="227"/>
      <c r="F37" s="227"/>
      <c r="G37" s="891"/>
      <c r="H37" s="227"/>
      <c r="I37" s="463"/>
      <c r="J37" s="227"/>
      <c r="K37" s="227"/>
      <c r="L37" s="227"/>
      <c r="M37" s="891"/>
      <c r="N37" s="227"/>
      <c r="O37" s="463"/>
      <c r="P37" s="227"/>
      <c r="Q37" s="227"/>
      <c r="R37" s="227"/>
      <c r="S37" s="891"/>
      <c r="T37" s="227"/>
      <c r="U37" s="956">
        <v>28.652000000000001</v>
      </c>
      <c r="V37" s="957">
        <v>29.05</v>
      </c>
      <c r="W37" s="957">
        <v>29.745999999999999</v>
      </c>
      <c r="X37" s="959">
        <f>Y37-SUM(U37:W37)</f>
        <v>36.248000000000005</v>
      </c>
      <c r="Y37" s="958">
        <v>123.696</v>
      </c>
      <c r="Z37" s="227"/>
      <c r="AA37" s="956">
        <v>35.82</v>
      </c>
      <c r="AB37" s="957">
        <v>38.341000000000001</v>
      </c>
      <c r="AC37" s="957">
        <v>36.948</v>
      </c>
      <c r="AD37" s="954">
        <v>31</v>
      </c>
      <c r="AE37" s="868">
        <f>SUM(AA37:AD37)</f>
        <v>142.10900000000001</v>
      </c>
      <c r="AF37" s="227"/>
      <c r="AG37" s="955">
        <v>40.4</v>
      </c>
      <c r="AH37" s="845">
        <v>40</v>
      </c>
      <c r="AI37" s="954">
        <f>206.946*0.18</f>
        <v>37.250279999999997</v>
      </c>
      <c r="AJ37" s="954">
        <f>AD37+0.04*260.066</f>
        <v>41.402639999999998</v>
      </c>
      <c r="AK37" s="419">
        <f>SUM(AG37:AJ37)</f>
        <v>159.05292</v>
      </c>
      <c r="AL37" s="227"/>
      <c r="AM37" s="420">
        <f>AG37*(1+AM38)</f>
        <v>36.966000000000001</v>
      </c>
      <c r="AN37" s="421">
        <f>AH37*(1+AN38)</f>
        <v>40.199999999999996</v>
      </c>
      <c r="AO37" s="421">
        <f>AI37*(1+AO38)</f>
        <v>37.622782799999996</v>
      </c>
      <c r="AP37" s="421">
        <f>AJ37*(1+AP38)</f>
        <v>44.300824800000001</v>
      </c>
      <c r="AQ37" s="419">
        <f>SUM(AM37:AP37)</f>
        <v>159.08960759999999</v>
      </c>
      <c r="AR37" s="227"/>
      <c r="AS37" s="870">
        <f>AM37*(1+AS38)</f>
        <v>37.372625999999997</v>
      </c>
      <c r="AT37" s="1058">
        <f>AN37*(1+AT38)</f>
        <v>38.632199999999997</v>
      </c>
      <c r="AU37" s="1058">
        <f>AO37*(1+AU38)</f>
        <v>37.284177754799998</v>
      </c>
      <c r="AV37" s="1058">
        <f>AP37*(1+AV38)</f>
        <v>45.541247894400001</v>
      </c>
      <c r="AW37" s="868">
        <f>SUM(AS37:AV37)</f>
        <v>158.83025164919999</v>
      </c>
      <c r="AX37" s="227"/>
      <c r="AY37" s="870">
        <f>AS37*(1+AY38)</f>
        <v>36.251447219999996</v>
      </c>
      <c r="AZ37" s="1058">
        <f>AT37*(1+AZ38)</f>
        <v>39.018521999999997</v>
      </c>
      <c r="BA37" s="1058">
        <f>AU37*(1+BA38)</f>
        <v>38.029861309895999</v>
      </c>
      <c r="BB37" s="1058">
        <f>AV37*(1+BB38)</f>
        <v>40.987123104960006</v>
      </c>
      <c r="BC37" s="868">
        <f>SUM(AY37:BB37)</f>
        <v>154.28695363485599</v>
      </c>
      <c r="BD37" s="227"/>
      <c r="BE37" s="420">
        <f>AY37*(1+BE38)</f>
        <v>34.579831559600407</v>
      </c>
      <c r="BF37" s="1058">
        <f>AZ37*(1+BF38)</f>
        <v>39.057540521999996</v>
      </c>
      <c r="BG37" s="1058">
        <f>BA37*(1+BG38)</f>
        <v>34.797323098554841</v>
      </c>
      <c r="BH37" s="1058">
        <f>BB37*(1+BH38)</f>
        <v>36.068668332364808</v>
      </c>
      <c r="BI37" s="419">
        <f>SUM(BE37:BH37)</f>
        <v>144.50336351252005</v>
      </c>
      <c r="BJ37" s="227"/>
      <c r="BK37" s="420">
        <f>BE37*(1+BK38)</f>
        <v>35.61722650638842</v>
      </c>
      <c r="BL37" s="1058">
        <f>BF37*(1+BL38)</f>
        <v>40.217915184237143</v>
      </c>
      <c r="BM37" s="1058">
        <f>BG37*(1+BM38)</f>
        <v>41.756787718265805</v>
      </c>
      <c r="BN37" s="1058">
        <f>BH37*(1+BN38)</f>
        <v>43.28240199883777</v>
      </c>
      <c r="BO37" s="419">
        <f>SUM(BK37:BN37)</f>
        <v>160.87433140772913</v>
      </c>
      <c r="BP37" s="227"/>
      <c r="BQ37" s="420">
        <f>BK37*(1+BQ38)</f>
        <v>36.329571036516185</v>
      </c>
      <c r="BR37" s="1058">
        <f>BL37*(1+BR38)</f>
        <v>41.424452639764255</v>
      </c>
      <c r="BS37" s="1058">
        <f>BM37*(1+BS38)</f>
        <v>42.174355595448461</v>
      </c>
      <c r="BT37" s="1058">
        <f>BN37*(1+BT38)</f>
        <v>43.28240199883777</v>
      </c>
      <c r="BU37" s="419">
        <f>SUM(BQ37:BT37)</f>
        <v>163.21078127056666</v>
      </c>
      <c r="BV37" s="227"/>
      <c r="BW37" s="420">
        <f>BQ37*(1+BW38)</f>
        <v>36.69286674688135</v>
      </c>
      <c r="BX37" s="1058">
        <f>BR37*(1+BX38)</f>
        <v>41.8386971661619</v>
      </c>
      <c r="BY37" s="1058">
        <f>BS37*(1+BY38)</f>
        <v>42.596099151402946</v>
      </c>
      <c r="BZ37" s="1058">
        <f>BT37*(1+BZ38)</f>
        <v>43.715226018826151</v>
      </c>
      <c r="CA37" s="419">
        <f>SUM(BW37:BZ37)</f>
        <v>164.84288908327233</v>
      </c>
      <c r="CB37" s="227"/>
      <c r="CC37" s="420">
        <f>BW37*(1+CC38)</f>
        <v>37.059795414350162</v>
      </c>
      <c r="CD37" s="1058">
        <f>BX37*(1+CD38)</f>
        <v>42.257084137823519</v>
      </c>
      <c r="CE37" s="1058">
        <f>BY37*(1+CE38)</f>
        <v>43.022060142916978</v>
      </c>
      <c r="CF37" s="1058">
        <f>BZ37*(1+CF38)</f>
        <v>44.152378279014414</v>
      </c>
      <c r="CG37" s="419">
        <f>SUM(CC37:CF37)</f>
        <v>166.49131797410507</v>
      </c>
      <c r="CH37" s="227"/>
      <c r="CI37" s="420">
        <f>CC37*(1+CI38)</f>
        <v>37.430393368493661</v>
      </c>
      <c r="CJ37" s="1058">
        <f>CD37*(1+CJ38)</f>
        <v>42.679654979201757</v>
      </c>
      <c r="CK37" s="1058">
        <f>CE37*(1+CK38)</f>
        <v>43.452280744346147</v>
      </c>
      <c r="CL37" s="1058">
        <f>CF37*(1+CL38)</f>
        <v>44.593902061804556</v>
      </c>
      <c r="CM37" s="419">
        <f>SUM(CI37:CL37)</f>
        <v>168.15623115384614</v>
      </c>
      <c r="CN37" s="854"/>
      <c r="CO37" s="854"/>
      <c r="CP37" s="854"/>
      <c r="CQ37" s="854"/>
      <c r="CR37" s="854"/>
      <c r="CS37" s="854"/>
      <c r="CT37" s="854"/>
      <c r="CU37" s="854"/>
    </row>
    <row r="38" spans="1:132">
      <c r="A38" s="897" t="s">
        <v>175</v>
      </c>
      <c r="B38" s="227"/>
      <c r="C38" s="463"/>
      <c r="D38" s="227"/>
      <c r="E38" s="227"/>
      <c r="F38" s="227"/>
      <c r="G38" s="891"/>
      <c r="H38" s="227"/>
      <c r="I38" s="463"/>
      <c r="J38" s="227"/>
      <c r="K38" s="227"/>
      <c r="L38" s="227"/>
      <c r="M38" s="891"/>
      <c r="N38" s="227"/>
      <c r="O38" s="463"/>
      <c r="P38" s="227"/>
      <c r="Q38" s="227"/>
      <c r="R38" s="227"/>
      <c r="S38" s="891"/>
      <c r="T38" s="227"/>
      <c r="U38" s="463"/>
      <c r="V38" s="227"/>
      <c r="W38" s="227"/>
      <c r="X38" s="227"/>
      <c r="Y38" s="891"/>
      <c r="Z38" s="227"/>
      <c r="AA38" s="463"/>
      <c r="AB38" s="227"/>
      <c r="AC38" s="227"/>
      <c r="AD38" s="227"/>
      <c r="AE38" s="891"/>
      <c r="AF38" s="227"/>
      <c r="AG38" s="848">
        <f>AG37/AA37-1</f>
        <v>0.12786152987158017</v>
      </c>
      <c r="AH38" s="849">
        <f>AH37/AB37-1</f>
        <v>4.3269606948175499E-2</v>
      </c>
      <c r="AI38" s="849">
        <f>AI37/AC37-1</f>
        <v>8.1812276713217891E-3</v>
      </c>
      <c r="AJ38" s="849">
        <f>AJ37/AD37-1</f>
        <v>0.33556903225806445</v>
      </c>
      <c r="AK38" s="850">
        <f>AK37/AE37-1</f>
        <v>0.11923185723634666</v>
      </c>
      <c r="AL38" s="227"/>
      <c r="AM38" s="1674">
        <v>-8.5000000000000006E-2</v>
      </c>
      <c r="AN38" s="1936">
        <v>5.0000000000000001E-3</v>
      </c>
      <c r="AO38" s="1936">
        <v>0.01</v>
      </c>
      <c r="AP38" s="1936">
        <v>7.0000000000000007E-2</v>
      </c>
      <c r="AQ38" s="850">
        <f>AQ37/AK37-1</f>
        <v>2.3066285108130913E-4</v>
      </c>
      <c r="AR38" s="227"/>
      <c r="AS38" s="1502">
        <v>1.0999999999999999E-2</v>
      </c>
      <c r="AT38" s="574">
        <v>-3.9E-2</v>
      </c>
      <c r="AU38" s="574">
        <v>-8.9999999999999993E-3</v>
      </c>
      <c r="AV38" s="574">
        <v>2.8000000000000001E-2</v>
      </c>
      <c r="AW38" s="861">
        <f>AW37/AQ37-1</f>
        <v>-1.6302507417838008E-3</v>
      </c>
      <c r="AX38" s="227"/>
      <c r="AY38" s="1674">
        <v>-0.03</v>
      </c>
      <c r="AZ38" s="749">
        <v>0.01</v>
      </c>
      <c r="BA38" s="749">
        <v>0.02</v>
      </c>
      <c r="BB38" s="1649">
        <v>-0.1</v>
      </c>
      <c r="BC38" s="861">
        <f>BC37/AW37-1</f>
        <v>-2.8604739759391373E-2</v>
      </c>
      <c r="BD38" s="227"/>
      <c r="BE38" s="750">
        <v>-4.611169452780782E-2</v>
      </c>
      <c r="BF38" s="749">
        <v>1E-3</v>
      </c>
      <c r="BG38" s="749">
        <v>-8.5000000000000006E-2</v>
      </c>
      <c r="BH38" s="749">
        <v>-0.12</v>
      </c>
      <c r="BI38" s="850">
        <f>BI37/BC37-1</f>
        <v>-6.3411648826058986E-2</v>
      </c>
      <c r="BJ38" s="227"/>
      <c r="BK38" s="1502">
        <v>0.03</v>
      </c>
      <c r="BL38" s="574">
        <v>2.9709363332377239E-2</v>
      </c>
      <c r="BM38" s="574">
        <v>0.2</v>
      </c>
      <c r="BN38" s="574">
        <v>0.2</v>
      </c>
      <c r="BO38" s="850">
        <f>BO37/BI37-1</f>
        <v>0.11329125839891385</v>
      </c>
      <c r="BP38" s="227"/>
      <c r="BQ38" s="1502">
        <v>0.02</v>
      </c>
      <c r="BR38" s="574">
        <v>0.03</v>
      </c>
      <c r="BS38" s="574">
        <v>0.01</v>
      </c>
      <c r="BT38" s="574">
        <v>0</v>
      </c>
      <c r="BU38" s="850">
        <f>BU37/BO37-1</f>
        <v>1.4523447229849884E-2</v>
      </c>
      <c r="BV38" s="227"/>
      <c r="BW38" s="1502">
        <v>0.01</v>
      </c>
      <c r="BX38" s="574">
        <v>0.01</v>
      </c>
      <c r="BY38" s="574">
        <v>0.01</v>
      </c>
      <c r="BZ38" s="574">
        <v>0.01</v>
      </c>
      <c r="CA38" s="850">
        <f t="shared" ref="CA38" si="39">CA37/BU37-1</f>
        <v>1.0000000000000009E-2</v>
      </c>
      <c r="CB38" s="227"/>
      <c r="CC38" s="1502">
        <v>0.01</v>
      </c>
      <c r="CD38" s="574">
        <v>0.01</v>
      </c>
      <c r="CE38" s="574">
        <v>0.01</v>
      </c>
      <c r="CF38" s="574">
        <v>0.01</v>
      </c>
      <c r="CG38" s="850">
        <f t="shared" ref="CG38" si="40">CG37/CA37-1</f>
        <v>1.0000000000000231E-2</v>
      </c>
      <c r="CH38" s="227"/>
      <c r="CI38" s="1502">
        <v>0.01</v>
      </c>
      <c r="CJ38" s="574">
        <v>0.01</v>
      </c>
      <c r="CK38" s="574">
        <v>0.01</v>
      </c>
      <c r="CL38" s="574">
        <v>0.01</v>
      </c>
      <c r="CM38" s="850">
        <f t="shared" ref="CM38" si="41">CM37/CG37-1</f>
        <v>1.0000000000000009E-2</v>
      </c>
    </row>
    <row r="39" spans="1:132">
      <c r="A39" s="2210" t="s">
        <v>686</v>
      </c>
      <c r="B39" s="227"/>
      <c r="C39" s="463"/>
      <c r="D39" s="227"/>
      <c r="E39" s="227"/>
      <c r="F39" s="227"/>
      <c r="G39" s="891"/>
      <c r="H39" s="227"/>
      <c r="I39" s="463"/>
      <c r="J39" s="227"/>
      <c r="K39" s="227"/>
      <c r="L39" s="227"/>
      <c r="M39" s="891"/>
      <c r="N39" s="227"/>
      <c r="O39" s="463"/>
      <c r="P39" s="227"/>
      <c r="Q39" s="227"/>
      <c r="R39" s="227"/>
      <c r="S39" s="891"/>
      <c r="T39" s="227"/>
      <c r="U39" s="463"/>
      <c r="V39" s="227"/>
      <c r="W39" s="227"/>
      <c r="X39" s="227"/>
      <c r="Y39" s="891"/>
      <c r="Z39" s="227"/>
      <c r="AA39" s="463"/>
      <c r="AB39" s="227"/>
      <c r="AC39" s="227"/>
      <c r="AD39" s="227"/>
      <c r="AE39" s="891"/>
      <c r="AF39" s="227"/>
      <c r="AG39" s="463"/>
      <c r="AH39" s="227"/>
      <c r="AI39" s="227"/>
      <c r="AJ39" s="227"/>
      <c r="AK39" s="891"/>
      <c r="AL39" s="227"/>
      <c r="AM39" s="463"/>
      <c r="AN39" s="227"/>
      <c r="AO39" s="227"/>
      <c r="AP39" s="227"/>
      <c r="AQ39" s="891"/>
      <c r="AR39" s="227"/>
      <c r="AS39" s="463"/>
      <c r="AT39" s="227"/>
      <c r="AU39" s="227"/>
      <c r="AV39" s="227"/>
      <c r="AW39" s="891"/>
      <c r="AX39" s="227"/>
      <c r="AY39" s="463"/>
      <c r="AZ39" s="227"/>
      <c r="BA39" s="227"/>
      <c r="BB39" s="227"/>
      <c r="BC39" s="891"/>
      <c r="BD39" s="227"/>
      <c r="BE39" s="750"/>
      <c r="BF39" s="749"/>
      <c r="BG39" s="749"/>
      <c r="BH39" s="749"/>
      <c r="BI39" s="850"/>
      <c r="BJ39" s="227"/>
      <c r="BK39" s="2294">
        <f>EUROIMMUN!G106</f>
        <v>60</v>
      </c>
      <c r="BL39" s="2295">
        <f>EUROIMMUN!H106</f>
        <v>81</v>
      </c>
      <c r="BM39" s="2295">
        <f>EUROIMMUN!I106</f>
        <v>83</v>
      </c>
      <c r="BN39" s="2295">
        <f>EUROIMMUN!J106</f>
        <v>86</v>
      </c>
      <c r="BO39" s="2296">
        <f>EUROIMMUN!B26</f>
        <v>310</v>
      </c>
      <c r="BP39" s="227"/>
      <c r="BQ39" s="2297">
        <f>EUROIMMUN!L106</f>
        <v>69.36</v>
      </c>
      <c r="BR39" s="2298">
        <f>EUROIMMUN!M106</f>
        <v>93.635999999999996</v>
      </c>
      <c r="BS39" s="2298">
        <f>EUROIMMUN!N106</f>
        <v>95.947999999999993</v>
      </c>
      <c r="BT39" s="2298">
        <f>EUROIMMUN!O106</f>
        <v>99.415999999999997</v>
      </c>
      <c r="BU39" s="1250">
        <f>SUM(BQ39:BT39)</f>
        <v>358.35999999999996</v>
      </c>
      <c r="BV39" s="227"/>
      <c r="BW39" s="2299">
        <f>EUROIMMUN!Q106</f>
        <v>81.08184</v>
      </c>
      <c r="BX39" s="2300">
        <f>EUROIMMUN!R106</f>
        <v>109.46048399999999</v>
      </c>
      <c r="BY39" s="2300">
        <f>EUROIMMUN!S106</f>
        <v>112.163212</v>
      </c>
      <c r="BZ39" s="2300">
        <f>EUROIMMUN!T106</f>
        <v>116.217304</v>
      </c>
      <c r="CA39" s="1250">
        <f>SUM(BW39:BZ39)</f>
        <v>418.92284000000001</v>
      </c>
      <c r="CB39" s="227"/>
      <c r="CC39" s="2299">
        <f>EUROIMMUN!V106</f>
        <v>97.784699039999992</v>
      </c>
      <c r="CD39" s="2300">
        <f>EUROIMMUN!W106</f>
        <v>132.00934370399997</v>
      </c>
      <c r="CE39" s="2300">
        <f>EUROIMMUN!X106</f>
        <v>135.268833672</v>
      </c>
      <c r="CF39" s="2300">
        <f>EUROIMMUN!Y106</f>
        <v>140.15806862399998</v>
      </c>
      <c r="CG39" s="1250">
        <f>SUM(CC39:CF39)</f>
        <v>505.22094503999995</v>
      </c>
      <c r="CH39" s="227"/>
      <c r="CI39" s="2299">
        <f>EUROIMMUN!AA106</f>
        <v>108.54101593440001</v>
      </c>
      <c r="CJ39" s="2300">
        <f>EUROIMMUN!AB106</f>
        <v>146.53037151143999</v>
      </c>
      <c r="CK39" s="2300">
        <f>EUROIMMUN!AC106</f>
        <v>150.14840537592002</v>
      </c>
      <c r="CL39" s="2300">
        <f>EUROIMMUN!AD106</f>
        <v>155.57545617264</v>
      </c>
      <c r="CM39" s="1250">
        <f>SUM(CI39:CL39)</f>
        <v>560.79524899440003</v>
      </c>
      <c r="CQ39" s="854"/>
      <c r="CR39" s="854"/>
      <c r="CS39" s="854"/>
      <c r="CT39" s="854"/>
    </row>
    <row r="40" spans="1:132">
      <c r="A40" s="897" t="s">
        <v>175</v>
      </c>
      <c r="B40" s="227"/>
      <c r="C40" s="463"/>
      <c r="D40" s="227"/>
      <c r="E40" s="227"/>
      <c r="F40" s="227"/>
      <c r="G40" s="891"/>
      <c r="H40" s="227"/>
      <c r="I40" s="463"/>
      <c r="J40" s="227"/>
      <c r="K40" s="227"/>
      <c r="L40" s="227"/>
      <c r="M40" s="891"/>
      <c r="N40" s="227"/>
      <c r="O40" s="463"/>
      <c r="P40" s="227"/>
      <c r="Q40" s="227"/>
      <c r="R40" s="227"/>
      <c r="S40" s="891"/>
      <c r="T40" s="227"/>
      <c r="U40" s="463"/>
      <c r="V40" s="227"/>
      <c r="W40" s="227"/>
      <c r="X40" s="227"/>
      <c r="Y40" s="891"/>
      <c r="Z40" s="227"/>
      <c r="AA40" s="463"/>
      <c r="AB40" s="227"/>
      <c r="AC40" s="227"/>
      <c r="AD40" s="227"/>
      <c r="AE40" s="891"/>
      <c r="AF40" s="227"/>
      <c r="AG40" s="463"/>
      <c r="AH40" s="227"/>
      <c r="AI40" s="227"/>
      <c r="AJ40" s="227"/>
      <c r="AK40" s="891"/>
      <c r="AL40" s="227"/>
      <c r="AM40" s="463"/>
      <c r="AN40" s="227"/>
      <c r="AO40" s="227"/>
      <c r="AP40" s="227"/>
      <c r="AQ40" s="891"/>
      <c r="AR40" s="227"/>
      <c r="AS40" s="463"/>
      <c r="AT40" s="227"/>
      <c r="AU40" s="227"/>
      <c r="AV40" s="227"/>
      <c r="AW40" s="891"/>
      <c r="AX40" s="227"/>
      <c r="AY40" s="463"/>
      <c r="AZ40" s="227"/>
      <c r="BA40" s="227"/>
      <c r="BB40" s="227"/>
      <c r="BC40" s="891"/>
      <c r="BD40" s="227"/>
      <c r="BE40" s="750"/>
      <c r="BF40" s="749"/>
      <c r="BG40" s="749"/>
      <c r="BH40" s="749"/>
      <c r="BI40" s="850"/>
      <c r="BJ40" s="227"/>
      <c r="BK40" s="1502"/>
      <c r="BL40" s="574"/>
      <c r="BM40" s="574"/>
      <c r="BN40" s="574"/>
      <c r="BO40" s="850"/>
      <c r="BP40" s="227"/>
      <c r="BQ40" s="1498">
        <f>(BQ39/BK39)-1</f>
        <v>0.15599999999999992</v>
      </c>
      <c r="BR40" s="1497">
        <f t="shared" ref="BR40" si="42">(BR39/BL39)-1</f>
        <v>0.15599999999999992</v>
      </c>
      <c r="BS40" s="1497">
        <f t="shared" ref="BS40" si="43">(BS39/BM39)-1</f>
        <v>0.15599999999999992</v>
      </c>
      <c r="BT40" s="1497">
        <f t="shared" ref="BT40" si="44">(BT39/BN39)-1</f>
        <v>0.15599999999999992</v>
      </c>
      <c r="BU40" s="850">
        <f>BU39/BO39-1</f>
        <v>0.15599999999999992</v>
      </c>
      <c r="BV40" s="227"/>
      <c r="BW40" s="1498">
        <f>(BW39/BQ39)-1</f>
        <v>0.16900000000000004</v>
      </c>
      <c r="BX40" s="1497">
        <f t="shared" ref="BX40" si="45">(BX39/BR39)-1</f>
        <v>0.16900000000000004</v>
      </c>
      <c r="BY40" s="1497">
        <f t="shared" ref="BY40" si="46">(BY39/BS39)-1</f>
        <v>0.16900000000000004</v>
      </c>
      <c r="BZ40" s="1497">
        <f t="shared" ref="BZ40" si="47">(BZ39/BT39)-1</f>
        <v>0.16900000000000004</v>
      </c>
      <c r="CA40" s="850">
        <f>CA39/BU39-1</f>
        <v>0.16900000000000026</v>
      </c>
      <c r="CB40" s="227"/>
      <c r="CC40" s="1498">
        <f>(CC39/BW39)-1</f>
        <v>0.20599999999999996</v>
      </c>
      <c r="CD40" s="1497">
        <f t="shared" ref="CD40" si="48">(CD39/BX39)-1</f>
        <v>0.20599999999999974</v>
      </c>
      <c r="CE40" s="1497">
        <f t="shared" ref="CE40" si="49">(CE39/BY39)-1</f>
        <v>0.20599999999999996</v>
      </c>
      <c r="CF40" s="1497">
        <f t="shared" ref="CF40" si="50">(CF39/BZ39)-1</f>
        <v>0.20599999999999974</v>
      </c>
      <c r="CG40" s="850">
        <f>CG39/CA39-1</f>
        <v>0.20599999999999996</v>
      </c>
      <c r="CH40" s="227"/>
      <c r="CI40" s="1498">
        <f>(CI39/CC39)-1</f>
        <v>0.1100000000000001</v>
      </c>
      <c r="CJ40" s="1497">
        <f t="shared" ref="CJ40" si="51">(CJ39/CD39)-1</f>
        <v>0.1100000000000001</v>
      </c>
      <c r="CK40" s="1497">
        <f t="shared" ref="CK40" si="52">(CK39/CE39)-1</f>
        <v>0.1100000000000001</v>
      </c>
      <c r="CL40" s="1497">
        <f t="shared" ref="CL40" si="53">(CL39/CF39)-1</f>
        <v>0.1100000000000001</v>
      </c>
      <c r="CM40" s="850">
        <f>CM39/CG39-1</f>
        <v>0.1100000000000001</v>
      </c>
    </row>
    <row r="41" spans="1:132" s="228" customFormat="1">
      <c r="A41" s="2210" t="s">
        <v>687</v>
      </c>
      <c r="B41" s="353"/>
      <c r="C41" s="418"/>
      <c r="D41" s="353"/>
      <c r="E41" s="353"/>
      <c r="F41" s="353"/>
      <c r="G41" s="865"/>
      <c r="H41" s="353"/>
      <c r="I41" s="418"/>
      <c r="J41" s="353"/>
      <c r="K41" s="353"/>
      <c r="L41" s="353"/>
      <c r="M41" s="865"/>
      <c r="N41" s="353"/>
      <c r="O41" s="418"/>
      <c r="P41" s="353"/>
      <c r="Q41" s="353"/>
      <c r="R41" s="353"/>
      <c r="S41" s="865"/>
      <c r="T41" s="353"/>
      <c r="U41" s="418"/>
      <c r="V41" s="353"/>
      <c r="W41" s="353"/>
      <c r="X41" s="353"/>
      <c r="Y41" s="865"/>
      <c r="Z41" s="353"/>
      <c r="AA41" s="353"/>
      <c r="AB41" s="353"/>
      <c r="AC41" s="353"/>
      <c r="AD41" s="353"/>
      <c r="AE41" s="353"/>
      <c r="AF41" s="353"/>
      <c r="AG41" s="353"/>
      <c r="AH41" s="353"/>
      <c r="AI41" s="353"/>
      <c r="AJ41" s="353"/>
      <c r="AK41" s="865"/>
      <c r="AL41" s="353"/>
      <c r="AM41" s="353"/>
      <c r="AN41" s="353"/>
      <c r="AO41" s="353"/>
      <c r="AP41" s="353"/>
      <c r="AQ41" s="865"/>
      <c r="AR41" s="353"/>
      <c r="AS41" s="353"/>
      <c r="AT41" s="353"/>
      <c r="AU41" s="353"/>
      <c r="AV41" s="353"/>
      <c r="AW41" s="865"/>
      <c r="AX41" s="353"/>
      <c r="AY41" s="418"/>
      <c r="AZ41" s="353"/>
      <c r="BA41" s="353"/>
      <c r="BB41" s="353"/>
      <c r="BC41" s="865"/>
      <c r="BD41" s="353"/>
      <c r="BE41" s="750"/>
      <c r="BF41" s="749"/>
      <c r="BG41" s="749"/>
      <c r="BH41" s="749"/>
      <c r="BI41" s="861"/>
      <c r="BJ41" s="353"/>
      <c r="BK41" s="1358"/>
      <c r="BL41" s="911"/>
      <c r="BM41" s="911"/>
      <c r="BN41" s="911"/>
      <c r="BO41" s="1359"/>
      <c r="BP41" s="353"/>
      <c r="BQ41" s="2229"/>
      <c r="BR41" s="2230"/>
      <c r="BS41" s="2230"/>
      <c r="BT41" s="2230"/>
      <c r="BU41" s="1359"/>
      <c r="BV41" s="353"/>
      <c r="BW41" s="2228">
        <v>0.67528080610137053</v>
      </c>
      <c r="BX41" s="2227">
        <v>3.512002585948895</v>
      </c>
      <c r="BY41" s="2227">
        <v>6.2910949797335523</v>
      </c>
      <c r="BZ41" s="2227">
        <v>8.4935545165009234</v>
      </c>
      <c r="CA41" s="1250">
        <f>SUM(BW41:BZ41)</f>
        <v>18.971932888284741</v>
      </c>
      <c r="CB41" s="353"/>
      <c r="CC41" s="2228">
        <v>7.9280214626275392</v>
      </c>
      <c r="CD41" s="2227">
        <v>9.8005064812714924</v>
      </c>
      <c r="CE41" s="2227">
        <v>9.863089536707454</v>
      </c>
      <c r="CF41" s="2227">
        <v>9.8935107887028568</v>
      </c>
      <c r="CG41" s="1250">
        <f>SUM(CC41:CF41)</f>
        <v>37.485128269309342</v>
      </c>
      <c r="CH41" s="353"/>
      <c r="CI41" s="2228">
        <v>11.30977659434873</v>
      </c>
      <c r="CJ41" s="2227">
        <v>11.990344878829907</v>
      </c>
      <c r="CK41" s="2227">
        <v>14.314964073396157</v>
      </c>
      <c r="CL41" s="2227">
        <v>14.761648699845823</v>
      </c>
      <c r="CM41" s="1250">
        <f>SUM(CI41:CL41)</f>
        <v>52.376734246420611</v>
      </c>
    </row>
    <row r="42" spans="1:132" s="228" customFormat="1">
      <c r="A42" s="900" t="s">
        <v>175</v>
      </c>
      <c r="B42" s="353"/>
      <c r="C42" s="418"/>
      <c r="D42" s="353"/>
      <c r="E42" s="353"/>
      <c r="F42" s="353"/>
      <c r="G42" s="865"/>
      <c r="H42" s="353"/>
      <c r="I42" s="418"/>
      <c r="J42" s="353"/>
      <c r="K42" s="353"/>
      <c r="L42" s="353"/>
      <c r="M42" s="865"/>
      <c r="N42" s="353"/>
      <c r="O42" s="418"/>
      <c r="P42" s="353"/>
      <c r="Q42" s="353"/>
      <c r="R42" s="353"/>
      <c r="S42" s="865"/>
      <c r="T42" s="353"/>
      <c r="U42" s="418"/>
      <c r="V42" s="353"/>
      <c r="W42" s="353"/>
      <c r="X42" s="353"/>
      <c r="Y42" s="865"/>
      <c r="Z42" s="353"/>
      <c r="AA42" s="353"/>
      <c r="AB42" s="353"/>
      <c r="AC42" s="353"/>
      <c r="AD42" s="353"/>
      <c r="AE42" s="353"/>
      <c r="AF42" s="353"/>
      <c r="AG42" s="353"/>
      <c r="AH42" s="353"/>
      <c r="AI42" s="353"/>
      <c r="AJ42" s="353"/>
      <c r="AK42" s="865"/>
      <c r="AL42" s="353"/>
      <c r="AM42" s="353"/>
      <c r="AN42" s="353"/>
      <c r="AO42" s="353"/>
      <c r="AP42" s="353"/>
      <c r="AQ42" s="865"/>
      <c r="AR42" s="353"/>
      <c r="AS42" s="353"/>
      <c r="AT42" s="353"/>
      <c r="AU42" s="353"/>
      <c r="AV42" s="353"/>
      <c r="AW42" s="865"/>
      <c r="AX42" s="353"/>
      <c r="AY42" s="418"/>
      <c r="AZ42" s="353"/>
      <c r="BA42" s="353"/>
      <c r="BB42" s="353"/>
      <c r="BC42" s="865"/>
      <c r="BD42" s="353"/>
      <c r="BE42" s="750"/>
      <c r="BF42" s="749"/>
      <c r="BG42" s="749"/>
      <c r="BH42" s="749"/>
      <c r="BI42" s="861"/>
      <c r="BJ42" s="353"/>
      <c r="BK42" s="1502"/>
      <c r="BL42" s="574"/>
      <c r="BM42" s="574"/>
      <c r="BN42" s="574"/>
      <c r="BO42" s="861"/>
      <c r="BP42" s="353"/>
      <c r="BQ42" s="1502"/>
      <c r="BR42" s="574"/>
      <c r="BS42" s="574"/>
      <c r="BT42" s="574"/>
      <c r="BU42" s="861"/>
      <c r="BV42" s="353"/>
      <c r="BW42" s="1502"/>
      <c r="BX42" s="574"/>
      <c r="BY42" s="574"/>
      <c r="BZ42" s="574"/>
      <c r="CA42" s="850"/>
      <c r="CB42" s="353"/>
      <c r="CC42" s="1498">
        <f>(CC41/BW41)-1</f>
        <v>10.740332897063588</v>
      </c>
      <c r="CD42" s="1497">
        <f t="shared" ref="CD42:CF42" si="54">(CD41/BX41)-1</f>
        <v>1.790574961556735</v>
      </c>
      <c r="CE42" s="1497">
        <f t="shared" si="54"/>
        <v>0.5677858255964825</v>
      </c>
      <c r="CF42" s="1497">
        <f t="shared" si="54"/>
        <v>0.16482572396305417</v>
      </c>
      <c r="CG42" s="850">
        <f>CG41/CA41-1</f>
        <v>0.97582020187603491</v>
      </c>
      <c r="CH42" s="353"/>
      <c r="CI42" s="1498">
        <f>(CI41/CC41)-1</f>
        <v>0.42655726244721781</v>
      </c>
      <c r="CJ42" s="1497">
        <f t="shared" ref="CJ42" si="55">(CJ41/CD41)-1</f>
        <v>0.2234413498672887</v>
      </c>
      <c r="CK42" s="1497">
        <f t="shared" ref="CK42" si="56">(CK41/CE41)-1</f>
        <v>0.45136714212318196</v>
      </c>
      <c r="CL42" s="1497">
        <f t="shared" ref="CL42" si="57">(CL41/CF41)-1</f>
        <v>0.49205363142695169</v>
      </c>
      <c r="CM42" s="850">
        <f>CM41/CG41-1</f>
        <v>0.39726704068140162</v>
      </c>
    </row>
    <row r="43" spans="1:132">
      <c r="A43" s="2210" t="s">
        <v>690</v>
      </c>
      <c r="B43" s="227"/>
      <c r="C43" s="463"/>
      <c r="D43" s="227"/>
      <c r="E43" s="227"/>
      <c r="F43" s="227"/>
      <c r="G43" s="891"/>
      <c r="H43" s="227"/>
      <c r="I43" s="463"/>
      <c r="J43" s="227"/>
      <c r="K43" s="227"/>
      <c r="L43" s="227"/>
      <c r="M43" s="891"/>
      <c r="N43" s="227"/>
      <c r="O43" s="463"/>
      <c r="P43" s="227"/>
      <c r="Q43" s="227"/>
      <c r="R43" s="227"/>
      <c r="S43" s="891"/>
      <c r="T43" s="227"/>
      <c r="U43" s="463"/>
      <c r="V43" s="227"/>
      <c r="W43" s="227"/>
      <c r="X43" s="227"/>
      <c r="Y43" s="891"/>
      <c r="Z43" s="227"/>
      <c r="AA43" s="227"/>
      <c r="AB43" s="227"/>
      <c r="AC43" s="227"/>
      <c r="AD43" s="227"/>
      <c r="AE43" s="227"/>
      <c r="AF43" s="227"/>
      <c r="AG43" s="227"/>
      <c r="AH43" s="227"/>
      <c r="AI43" s="227"/>
      <c r="AJ43" s="227"/>
      <c r="AK43" s="891"/>
      <c r="AL43" s="227"/>
      <c r="AM43" s="227"/>
      <c r="AN43" s="227"/>
      <c r="AO43" s="227"/>
      <c r="AP43" s="227"/>
      <c r="AQ43" s="891"/>
      <c r="AR43" s="227"/>
      <c r="AS43" s="227"/>
      <c r="AT43" s="227"/>
      <c r="AU43" s="227"/>
      <c r="AV43" s="227"/>
      <c r="AW43" s="891"/>
      <c r="AX43" s="227"/>
      <c r="AY43" s="463"/>
      <c r="AZ43" s="227"/>
      <c r="BA43" s="227"/>
      <c r="BB43" s="227"/>
      <c r="BC43" s="891"/>
      <c r="BD43" s="227"/>
      <c r="BE43" s="750"/>
      <c r="BF43" s="749"/>
      <c r="BG43" s="749"/>
      <c r="BH43" s="749"/>
      <c r="BI43" s="850"/>
      <c r="BJ43" s="227"/>
      <c r="BK43" s="1249"/>
      <c r="BL43" s="951"/>
      <c r="BM43" s="2227">
        <v>0.1</v>
      </c>
      <c r="BN43" s="2227">
        <v>0.5</v>
      </c>
      <c r="BO43" s="1250">
        <f>SUM(BK43:BN43)</f>
        <v>0.6</v>
      </c>
      <c r="BP43" s="227"/>
      <c r="BQ43" s="2228">
        <v>3.5</v>
      </c>
      <c r="BR43" s="2227">
        <v>4</v>
      </c>
      <c r="BS43" s="2227">
        <v>4.5</v>
      </c>
      <c r="BT43" s="2227">
        <v>5</v>
      </c>
      <c r="BU43" s="1250">
        <f>SUM(BQ43:BT43)</f>
        <v>17</v>
      </c>
      <c r="BV43" s="227"/>
      <c r="BW43" s="1249">
        <f t="shared" ref="BW43:BY43" si="58">BQ43*(1+BW44)</f>
        <v>6.3</v>
      </c>
      <c r="BX43" s="951">
        <f t="shared" si="58"/>
        <v>7.2</v>
      </c>
      <c r="BY43" s="951">
        <f t="shared" si="58"/>
        <v>8.1</v>
      </c>
      <c r="BZ43" s="951">
        <f t="shared" ref="BZ43" si="59">BT43*(1+BZ44)</f>
        <v>9</v>
      </c>
      <c r="CA43" s="1250">
        <f>SUM(BW43:BZ43)</f>
        <v>30.6</v>
      </c>
      <c r="CB43" s="227"/>
      <c r="CC43" s="1249">
        <f t="shared" ref="CC43" si="60">BW43*(1+CC44)</f>
        <v>10.08</v>
      </c>
      <c r="CD43" s="951">
        <f t="shared" ref="CD43" si="61">BX43*(1+CD44)</f>
        <v>11.520000000000001</v>
      </c>
      <c r="CE43" s="951">
        <f t="shared" ref="CE43" si="62">BY43*(1+CE44)</f>
        <v>12.96</v>
      </c>
      <c r="CF43" s="951">
        <f t="shared" ref="CF43" si="63">BZ43*(1+CF44)</f>
        <v>14.4</v>
      </c>
      <c r="CG43" s="1250">
        <f>SUM(CC43:CF43)</f>
        <v>48.96</v>
      </c>
      <c r="CH43" s="227"/>
      <c r="CI43" s="1249">
        <f t="shared" ref="CI43" si="64">CC43*(1+CI44)</f>
        <v>13.104000000000001</v>
      </c>
      <c r="CJ43" s="951">
        <f t="shared" ref="CJ43" si="65">CD43*(1+CJ44)</f>
        <v>14.976000000000003</v>
      </c>
      <c r="CK43" s="951">
        <f t="shared" ref="CK43" si="66">CE43*(1+CK44)</f>
        <v>16.848000000000003</v>
      </c>
      <c r="CL43" s="951">
        <f t="shared" ref="CL43" si="67">CF43*(1+CL44)</f>
        <v>18.720000000000002</v>
      </c>
      <c r="CM43" s="1250">
        <f>SUM(CI43:CL43)</f>
        <v>63.64800000000001</v>
      </c>
      <c r="CO43" s="1382"/>
      <c r="CP43" s="1382"/>
    </row>
    <row r="44" spans="1:132">
      <c r="A44" s="897" t="s">
        <v>175</v>
      </c>
      <c r="B44" s="227"/>
      <c r="C44" s="463"/>
      <c r="D44" s="227"/>
      <c r="E44" s="227"/>
      <c r="F44" s="227"/>
      <c r="G44" s="891"/>
      <c r="H44" s="227"/>
      <c r="I44" s="463"/>
      <c r="J44" s="227"/>
      <c r="K44" s="227"/>
      <c r="L44" s="227"/>
      <c r="M44" s="891"/>
      <c r="N44" s="227"/>
      <c r="O44" s="463"/>
      <c r="P44" s="227"/>
      <c r="Q44" s="227"/>
      <c r="R44" s="227"/>
      <c r="S44" s="891"/>
      <c r="T44" s="227"/>
      <c r="U44" s="463"/>
      <c r="V44" s="227"/>
      <c r="W44" s="227"/>
      <c r="X44" s="227"/>
      <c r="Y44" s="891"/>
      <c r="Z44" s="227"/>
      <c r="AA44" s="227"/>
      <c r="AB44" s="227"/>
      <c r="AC44" s="227"/>
      <c r="AD44" s="227"/>
      <c r="AE44" s="227"/>
      <c r="AF44" s="227"/>
      <c r="AG44" s="227"/>
      <c r="AH44" s="227"/>
      <c r="AI44" s="227"/>
      <c r="AJ44" s="227"/>
      <c r="AK44" s="891"/>
      <c r="AL44" s="227"/>
      <c r="AM44" s="227"/>
      <c r="AN44" s="227"/>
      <c r="AO44" s="227"/>
      <c r="AP44" s="227"/>
      <c r="AQ44" s="891"/>
      <c r="AR44" s="227"/>
      <c r="AS44" s="227"/>
      <c r="AT44" s="227"/>
      <c r="AU44" s="227"/>
      <c r="AV44" s="227"/>
      <c r="AW44" s="891"/>
      <c r="AX44" s="227"/>
      <c r="AY44" s="463"/>
      <c r="AZ44" s="227"/>
      <c r="BA44" s="227"/>
      <c r="BB44" s="227"/>
      <c r="BC44" s="891"/>
      <c r="BD44" s="227"/>
      <c r="BE44" s="750"/>
      <c r="BF44" s="749"/>
      <c r="BG44" s="749"/>
      <c r="BH44" s="749"/>
      <c r="BI44" s="850"/>
      <c r="BJ44" s="227"/>
      <c r="BK44" s="1502"/>
      <c r="BL44" s="574"/>
      <c r="BM44" s="574"/>
      <c r="BN44" s="574"/>
      <c r="BO44" s="850"/>
      <c r="BP44" s="227"/>
      <c r="BQ44" s="1502"/>
      <c r="BR44" s="574"/>
      <c r="BS44" s="574"/>
      <c r="BT44" s="574"/>
      <c r="BU44" s="2234">
        <f>BU43/BO43-1</f>
        <v>27.333333333333336</v>
      </c>
      <c r="BV44" s="227"/>
      <c r="BW44" s="1502">
        <v>0.8</v>
      </c>
      <c r="BX44" s="574">
        <v>0.8</v>
      </c>
      <c r="BY44" s="574">
        <v>0.8</v>
      </c>
      <c r="BZ44" s="574">
        <v>0.8</v>
      </c>
      <c r="CA44" s="850">
        <f>CA43/BU43-1</f>
        <v>0.8</v>
      </c>
      <c r="CB44" s="227"/>
      <c r="CC44" s="1502">
        <v>0.6</v>
      </c>
      <c r="CD44" s="574">
        <v>0.6</v>
      </c>
      <c r="CE44" s="574">
        <v>0.6</v>
      </c>
      <c r="CF44" s="574">
        <v>0.6</v>
      </c>
      <c r="CG44" s="850">
        <f>CG43/CA43-1</f>
        <v>0.59999999999999987</v>
      </c>
      <c r="CH44" s="227"/>
      <c r="CI44" s="1502">
        <v>0.3</v>
      </c>
      <c r="CJ44" s="574">
        <v>0.3</v>
      </c>
      <c r="CK44" s="574">
        <v>0.3</v>
      </c>
      <c r="CL44" s="574">
        <v>0.3</v>
      </c>
      <c r="CM44" s="850">
        <f>CM43/CG43-1</f>
        <v>0.30000000000000027</v>
      </c>
    </row>
    <row r="45" spans="1:132" s="830" customFormat="1">
      <c r="A45" s="2168" t="s">
        <v>529</v>
      </c>
      <c r="B45" s="2169"/>
      <c r="C45" s="2170">
        <f>C9</f>
        <v>299.53800000000001</v>
      </c>
      <c r="D45" s="2171">
        <f>D9</f>
        <v>326.28399999999999</v>
      </c>
      <c r="E45" s="2171">
        <f>E9</f>
        <v>319.34100000000001</v>
      </c>
      <c r="F45" s="2171">
        <f>F9</f>
        <v>379.32100000000003</v>
      </c>
      <c r="G45" s="2172">
        <f>G9</f>
        <v>1324.4839999999999</v>
      </c>
      <c r="H45" s="2169"/>
      <c r="I45" s="2170">
        <f>I9</f>
        <v>180.089</v>
      </c>
      <c r="J45" s="2171">
        <f>J9</f>
        <v>203.91300000000001</v>
      </c>
      <c r="K45" s="2171">
        <f>K9</f>
        <v>196.697</v>
      </c>
      <c r="L45" s="2171">
        <f>L9</f>
        <v>193.90299999999999</v>
      </c>
      <c r="M45" s="2172">
        <f>M9</f>
        <v>774.60200000000009</v>
      </c>
      <c r="N45" s="2169"/>
      <c r="O45" s="2170">
        <f>O9</f>
        <v>176.00102447295606</v>
      </c>
      <c r="P45" s="2171">
        <f>P9</f>
        <v>183.53297552704396</v>
      </c>
      <c r="Q45" s="2171">
        <f>Q9</f>
        <v>179.13200000000001</v>
      </c>
      <c r="R45" s="2171">
        <f>R9</f>
        <v>192.983</v>
      </c>
      <c r="S45" s="2172">
        <f>S9</f>
        <v>731.64900000000011</v>
      </c>
      <c r="T45" s="2169"/>
      <c r="U45" s="2170">
        <f>U9</f>
        <v>188.75400000000002</v>
      </c>
      <c r="V45" s="2171">
        <f>V9</f>
        <v>197.66800000000001</v>
      </c>
      <c r="W45" s="2171">
        <f>W9</f>
        <v>194.69200000000001</v>
      </c>
      <c r="X45" s="2171">
        <f>X9</f>
        <v>215.92999999999998</v>
      </c>
      <c r="Y45" s="2172">
        <f>Y9</f>
        <v>797.04399999999998</v>
      </c>
      <c r="Z45" s="2169"/>
      <c r="AA45" s="2171">
        <f>AA31+AA33+AA37</f>
        <v>121.62663240000001</v>
      </c>
      <c r="AB45" s="2171">
        <f t="shared" ref="AB45:AE45" si="68">AB31+AB33+AB37</f>
        <v>136.21023160000004</v>
      </c>
      <c r="AC45" s="2171">
        <f t="shared" si="68"/>
        <v>126.62722202400005</v>
      </c>
      <c r="AD45" s="2171">
        <f t="shared" si="68"/>
        <v>126.98674499999993</v>
      </c>
      <c r="AE45" s="2171">
        <f t="shared" si="68"/>
        <v>511.45083102400008</v>
      </c>
      <c r="AF45" s="2169"/>
      <c r="AG45" s="2171">
        <f>AG31+AG33+AG37</f>
        <v>136.82851000000008</v>
      </c>
      <c r="AH45" s="2171">
        <f t="shared" ref="AH45:AK45" si="69">AH31+AH33+AH37</f>
        <v>141.51569179999996</v>
      </c>
      <c r="AI45" s="2171">
        <f t="shared" si="69"/>
        <v>134.37726622760005</v>
      </c>
      <c r="AJ45" s="2171">
        <f t="shared" si="69"/>
        <v>137.82829999999998</v>
      </c>
      <c r="AK45" s="2170">
        <f t="shared" si="69"/>
        <v>550.54976802760007</v>
      </c>
      <c r="AL45" s="2194"/>
      <c r="AM45" s="2171">
        <f>AM31+AM33+AM37</f>
        <v>136.04205040000008</v>
      </c>
      <c r="AN45" s="2171">
        <f t="shared" ref="AN45:AQ45" si="70">AN31+AN33+AN37</f>
        <v>143.33087425239995</v>
      </c>
      <c r="AO45" s="2171">
        <f t="shared" si="70"/>
        <v>136.52060875215204</v>
      </c>
      <c r="AP45" s="2171">
        <f t="shared" si="70"/>
        <v>145.81128100000001</v>
      </c>
      <c r="AQ45" s="2170">
        <f t="shared" si="70"/>
        <v>561.70481440455205</v>
      </c>
      <c r="AR45" s="2194"/>
      <c r="AS45" s="2171">
        <f t="shared" ref="AS45:AW45" si="71">AS31+AS33+AS37</f>
        <v>136.21304470240008</v>
      </c>
      <c r="AT45" s="2171">
        <f t="shared" si="71"/>
        <v>144.03063690917634</v>
      </c>
      <c r="AU45" s="2171">
        <f t="shared" si="71"/>
        <v>148.68773742572699</v>
      </c>
      <c r="AV45" s="2171">
        <f t="shared" si="71"/>
        <v>156.99809788959999</v>
      </c>
      <c r="AW45" s="2170">
        <f t="shared" si="71"/>
        <v>585.92951692690337</v>
      </c>
      <c r="AX45" s="2194"/>
      <c r="AY45" s="2170">
        <f>AY31+AY33+AY37</f>
        <v>135.81399999999999</v>
      </c>
      <c r="AZ45" s="2171">
        <f t="shared" ref="AZ45:BC45" si="72">AZ31+AZ33+AZ37</f>
        <v>143.934</v>
      </c>
      <c r="BA45" s="2171">
        <f t="shared" si="72"/>
        <v>145.536</v>
      </c>
      <c r="BB45" s="2171">
        <f t="shared" si="72"/>
        <v>151.88999999999987</v>
      </c>
      <c r="BC45" s="2172">
        <f t="shared" si="72"/>
        <v>577.17399999999986</v>
      </c>
      <c r="BD45" s="2169"/>
      <c r="BE45" s="2170">
        <f>BE31+BE33+BE37</f>
        <v>141.74400000000003</v>
      </c>
      <c r="BF45" s="2171">
        <f>BF31+BF33+BF37</f>
        <v>154.91399999999999</v>
      </c>
      <c r="BG45" s="2171">
        <f>BG31+BG33+BG37</f>
        <v>149.57600000000002</v>
      </c>
      <c r="BH45" s="2171">
        <f>BH31+BH33+BH37</f>
        <v>157.01</v>
      </c>
      <c r="BI45" s="2172">
        <f>BI31+BI33+BI37</f>
        <v>603.24400000000003</v>
      </c>
      <c r="BJ45" s="2169"/>
      <c r="BK45" s="2170">
        <f>BK31+BK33+BK37</f>
        <v>152.54000000000008</v>
      </c>
      <c r="BL45" s="2171">
        <f t="shared" ref="BL45" si="73">BL31+BL33+BL37</f>
        <v>164.02000000000007</v>
      </c>
      <c r="BM45" s="2171">
        <f>BM31+BM33+BM37+BM43</f>
        <v>169.078</v>
      </c>
      <c r="BN45" s="2171">
        <f>BN31+BN33+BN37+BN41+BN43+13</f>
        <v>193.62999999999982</v>
      </c>
      <c r="BO45" s="2172">
        <f>BO31+BO33+BO37+BO43+13</f>
        <v>679.26799999999992</v>
      </c>
      <c r="BP45" s="2169"/>
      <c r="BQ45" s="2170">
        <f>BQ31+BQ33+BQ37+BQ39+BQ41+BQ43</f>
        <v>233.81214734266246</v>
      </c>
      <c r="BR45" s="2171">
        <f t="shared" ref="BR45:BU45" si="74">BR31+BR33+BR37+BR39+BR41+BR43</f>
        <v>274.63204098563881</v>
      </c>
      <c r="BS45" s="2171">
        <f t="shared" si="74"/>
        <v>279.37163169312595</v>
      </c>
      <c r="BT45" s="2171">
        <f t="shared" si="74"/>
        <v>301.42331967164495</v>
      </c>
      <c r="BU45" s="2172">
        <f t="shared" si="74"/>
        <v>1089.2391396930723</v>
      </c>
      <c r="BV45" s="2169"/>
      <c r="BW45" s="2170">
        <f>BW31+BW33+BW37+BW39+BW41+BW43</f>
        <v>256.47520551494404</v>
      </c>
      <c r="BX45" s="2171">
        <f t="shared" ref="BX45:CA45" si="75">BX31+BX33+BX37+BX39+BX41+BX43</f>
        <v>304.91206062875068</v>
      </c>
      <c r="BY45" s="2171">
        <f t="shared" si="75"/>
        <v>314.05292272654668</v>
      </c>
      <c r="BZ45" s="2171">
        <f t="shared" si="75"/>
        <v>340.51442321551372</v>
      </c>
      <c r="CA45" s="2172">
        <f t="shared" si="75"/>
        <v>1215.9546120857551</v>
      </c>
      <c r="CB45" s="2169"/>
      <c r="CC45" s="2170">
        <f>CC31+CC33+CC37+CC39+CC41+CC43</f>
        <v>293.01234387375291</v>
      </c>
      <c r="CD45" s="2171">
        <f t="shared" ref="CD45:CG45" si="76">CD31+CD33+CD37+CD39+CD41+CD43</f>
        <v>347.44292209417841</v>
      </c>
      <c r="CE45" s="2171">
        <f t="shared" si="76"/>
        <v>355.47135982659745</v>
      </c>
      <c r="CF45" s="2171">
        <f t="shared" si="76"/>
        <v>382.43077831310427</v>
      </c>
      <c r="CG45" s="2172">
        <f t="shared" si="76"/>
        <v>1378.3574041076331</v>
      </c>
      <c r="CH45" s="2169"/>
      <c r="CI45" s="2170">
        <f>CI31+CI33+CI37+CI39+CI41+CI43</f>
        <v>319.55432344321804</v>
      </c>
      <c r="CJ45" s="2171">
        <f t="shared" ref="CJ45:CM45" si="77">CJ31+CJ33+CJ37+CJ39+CJ41+CJ43</f>
        <v>377.59336878787127</v>
      </c>
      <c r="CK45" s="2171">
        <f t="shared" si="77"/>
        <v>389.22396041412537</v>
      </c>
      <c r="CL45" s="2171">
        <f t="shared" si="77"/>
        <v>418.95444919743346</v>
      </c>
      <c r="CM45" s="2172">
        <f t="shared" si="77"/>
        <v>1505.3261018426481</v>
      </c>
      <c r="CN45" s="831"/>
      <c r="CO45" s="831"/>
      <c r="CP45" s="831"/>
      <c r="CQ45" s="831"/>
      <c r="CR45" s="831"/>
      <c r="CS45" s="831"/>
      <c r="CT45" s="831"/>
      <c r="CU45" s="831"/>
      <c r="CV45" s="831"/>
      <c r="CW45" s="831"/>
      <c r="CX45" s="831"/>
      <c r="CY45" s="831"/>
      <c r="CZ45" s="831"/>
      <c r="DB45" s="831"/>
      <c r="DC45" s="831"/>
      <c r="DD45" s="831"/>
      <c r="DE45" s="831"/>
      <c r="DF45" s="831"/>
      <c r="DG45" s="831"/>
      <c r="DH45" s="831"/>
      <c r="DI45" s="831"/>
      <c r="DJ45" s="831"/>
      <c r="DK45" s="831"/>
      <c r="DL45" s="831"/>
      <c r="EA45" s="831"/>
      <c r="EB45" s="831"/>
    </row>
    <row r="46" spans="1:132" s="228" customFormat="1" outlineLevel="1">
      <c r="A46" s="939" t="s">
        <v>177</v>
      </c>
      <c r="B46" s="940"/>
      <c r="C46" s="941">
        <f>C9-C45</f>
        <v>0</v>
      </c>
      <c r="D46" s="942">
        <f>D9-D45</f>
        <v>0</v>
      </c>
      <c r="E46" s="942">
        <f>E9-E45</f>
        <v>0</v>
      </c>
      <c r="F46" s="942">
        <f>F9-F45</f>
        <v>0</v>
      </c>
      <c r="G46" s="943">
        <f>G9-G45</f>
        <v>0</v>
      </c>
      <c r="H46" s="940"/>
      <c r="I46" s="941">
        <f>I9-I45</f>
        <v>0</v>
      </c>
      <c r="J46" s="942">
        <f>J9-J45</f>
        <v>0</v>
      </c>
      <c r="K46" s="942">
        <f>K9-K45</f>
        <v>0</v>
      </c>
      <c r="L46" s="942">
        <f>L9-L45</f>
        <v>0</v>
      </c>
      <c r="M46" s="943">
        <f>M9-M45</f>
        <v>0</v>
      </c>
      <c r="N46" s="940"/>
      <c r="O46" s="941">
        <f>O9-O45</f>
        <v>0</v>
      </c>
      <c r="P46" s="942">
        <f>P9-P45</f>
        <v>0</v>
      </c>
      <c r="Q46" s="942">
        <f>Q9-Q45</f>
        <v>0</v>
      </c>
      <c r="R46" s="942">
        <f>R9-R45</f>
        <v>0</v>
      </c>
      <c r="S46" s="943">
        <f>S9-S45</f>
        <v>0</v>
      </c>
      <c r="T46" s="940"/>
      <c r="U46" s="941">
        <f>U9-U45</f>
        <v>0</v>
      </c>
      <c r="V46" s="942">
        <f>V9-V45</f>
        <v>0</v>
      </c>
      <c r="W46" s="942">
        <f>W9-W45</f>
        <v>0</v>
      </c>
      <c r="X46" s="942">
        <f>X9-X45</f>
        <v>0</v>
      </c>
      <c r="Y46" s="943">
        <f>Y9-Y45</f>
        <v>0</v>
      </c>
      <c r="Z46" s="940"/>
      <c r="AA46" s="941">
        <f>AA9-AA45</f>
        <v>0</v>
      </c>
      <c r="AB46" s="942">
        <f>AB9-AB45</f>
        <v>0</v>
      </c>
      <c r="AC46" s="942">
        <f>AC9-AC45</f>
        <v>0</v>
      </c>
      <c r="AD46" s="942">
        <f>AD9-AD45</f>
        <v>0</v>
      </c>
      <c r="AE46" s="943">
        <f>AE9-AE45</f>
        <v>0</v>
      </c>
      <c r="AF46" s="940"/>
      <c r="AG46" s="941">
        <f>AG9-AG45</f>
        <v>0</v>
      </c>
      <c r="AH46" s="942">
        <f>AH9-AH45</f>
        <v>0</v>
      </c>
      <c r="AI46" s="942">
        <f>AI9-AI45</f>
        <v>0</v>
      </c>
      <c r="AJ46" s="942">
        <f>AJ9-AJ45</f>
        <v>0</v>
      </c>
      <c r="AK46" s="943">
        <f>AK9-AK45</f>
        <v>0</v>
      </c>
      <c r="AL46" s="940"/>
      <c r="AM46" s="941">
        <f>AM9-AM45</f>
        <v>0</v>
      </c>
      <c r="AN46" s="942">
        <f>AN9-AN45</f>
        <v>0</v>
      </c>
      <c r="AO46" s="942">
        <f>AO9-AO45</f>
        <v>0</v>
      </c>
      <c r="AP46" s="942">
        <f>AP9-AP45</f>
        <v>0</v>
      </c>
      <c r="AQ46" s="943">
        <f>AQ9-AQ45</f>
        <v>0</v>
      </c>
      <c r="AR46" s="940"/>
      <c r="AS46" s="941">
        <f>AS9-AS45</f>
        <v>0</v>
      </c>
      <c r="AT46" s="942">
        <f>AT9-AT45</f>
        <v>0</v>
      </c>
      <c r="AU46" s="942">
        <f>AU9-AU45</f>
        <v>0</v>
      </c>
      <c r="AV46" s="942">
        <f>AV9-AV45</f>
        <v>0</v>
      </c>
      <c r="AW46" s="943">
        <f>AW9-AW45</f>
        <v>0</v>
      </c>
      <c r="AX46" s="940"/>
      <c r="AY46" s="941">
        <f>AY9-AY45</f>
        <v>0</v>
      </c>
      <c r="AZ46" s="942">
        <f>AZ9-AZ45</f>
        <v>0</v>
      </c>
      <c r="BA46" s="942">
        <f>BA9-BA45</f>
        <v>0</v>
      </c>
      <c r="BB46" s="942">
        <f>BB9-BB45</f>
        <v>0</v>
      </c>
      <c r="BC46" s="943">
        <f>ROUND(BC9-BC45,9)</f>
        <v>0</v>
      </c>
      <c r="BD46" s="940"/>
      <c r="BE46" s="941">
        <f>BE9-BE45</f>
        <v>0</v>
      </c>
      <c r="BF46" s="942">
        <f>BF9-BF45</f>
        <v>0</v>
      </c>
      <c r="BG46" s="942">
        <f>BG9-BG45</f>
        <v>0</v>
      </c>
      <c r="BH46" s="1942">
        <f>BH9-BH45</f>
        <v>0</v>
      </c>
      <c r="BI46" s="943">
        <f>BI9-BI45</f>
        <v>0</v>
      </c>
      <c r="BJ46" s="940"/>
      <c r="BK46" s="941">
        <f>BK9-BK45</f>
        <v>0</v>
      </c>
      <c r="BL46" s="942">
        <f>BL9-BL45</f>
        <v>0</v>
      </c>
      <c r="BM46" s="942">
        <f>BM9-BM45</f>
        <v>0</v>
      </c>
      <c r="BN46" s="942">
        <f>BN9-BN45</f>
        <v>0</v>
      </c>
      <c r="BO46" s="943">
        <f>BO9-BO45</f>
        <v>0</v>
      </c>
      <c r="BP46" s="940"/>
      <c r="BQ46" s="941">
        <f>BQ9-BQ45</f>
        <v>0</v>
      </c>
      <c r="BR46" s="942">
        <f>BR9-BR45</f>
        <v>0</v>
      </c>
      <c r="BS46" s="942">
        <f>BS9-BS45</f>
        <v>0</v>
      </c>
      <c r="BT46" s="942">
        <f>BT9-BT45</f>
        <v>0</v>
      </c>
      <c r="BU46" s="943">
        <f>BU9-BU45</f>
        <v>0</v>
      </c>
      <c r="BV46" s="940"/>
      <c r="BW46" s="941">
        <f>BW9-BW45</f>
        <v>0</v>
      </c>
      <c r="BX46" s="942">
        <f>BX9-BX45</f>
        <v>0</v>
      </c>
      <c r="BY46" s="942">
        <f>BY9-BY45</f>
        <v>0</v>
      </c>
      <c r="BZ46" s="942">
        <f>BZ9-BZ45</f>
        <v>0</v>
      </c>
      <c r="CA46" s="943">
        <f>CA9-CA45</f>
        <v>0</v>
      </c>
      <c r="CB46" s="940"/>
      <c r="CC46" s="941">
        <f>CC9-CC45</f>
        <v>0</v>
      </c>
      <c r="CD46" s="942">
        <f>CD9-CD45</f>
        <v>0</v>
      </c>
      <c r="CE46" s="942">
        <f>CE9-CE45</f>
        <v>0</v>
      </c>
      <c r="CF46" s="942">
        <f>CF9-CF45</f>
        <v>0</v>
      </c>
      <c r="CG46" s="943">
        <f>CG9-CG45</f>
        <v>0</v>
      </c>
      <c r="CH46" s="940"/>
      <c r="CI46" s="941">
        <f>CI9-CI45</f>
        <v>0</v>
      </c>
      <c r="CJ46" s="942">
        <f>CJ9-CJ45</f>
        <v>0</v>
      </c>
      <c r="CK46" s="942">
        <f>CK9-CK45</f>
        <v>0</v>
      </c>
      <c r="CL46" s="942">
        <f>CL9-CL45</f>
        <v>0</v>
      </c>
      <c r="CM46" s="943">
        <f>CM9-CM45</f>
        <v>0</v>
      </c>
      <c r="CN46" s="831"/>
      <c r="CO46" s="831"/>
      <c r="CP46" s="831"/>
      <c r="CQ46" s="831"/>
      <c r="CR46" s="831"/>
      <c r="CS46" s="831"/>
      <c r="CT46" s="831"/>
      <c r="CU46" s="831"/>
      <c r="CV46" s="831"/>
      <c r="CW46" s="831"/>
      <c r="CX46" s="831"/>
      <c r="CY46" s="831"/>
      <c r="CZ46" s="831"/>
      <c r="DB46" s="831"/>
      <c r="DC46" s="831"/>
      <c r="DD46" s="831"/>
      <c r="DE46" s="831"/>
      <c r="DF46" s="831"/>
      <c r="DG46" s="831"/>
      <c r="DH46" s="831"/>
      <c r="DI46" s="831"/>
      <c r="DJ46" s="831"/>
      <c r="DK46" s="831"/>
      <c r="DL46" s="831"/>
      <c r="EA46" s="831"/>
      <c r="EB46" s="831"/>
    </row>
    <row r="47" spans="1:132">
      <c r="A47" s="897" t="s">
        <v>175</v>
      </c>
      <c r="B47" s="227"/>
      <c r="C47" s="463"/>
      <c r="D47" s="227"/>
      <c r="E47" s="227"/>
      <c r="F47" s="227"/>
      <c r="G47" s="891"/>
      <c r="H47" s="227"/>
      <c r="I47" s="848"/>
      <c r="J47" s="849"/>
      <c r="K47" s="849"/>
      <c r="L47" s="849"/>
      <c r="M47" s="891"/>
      <c r="N47" s="227"/>
      <c r="O47" s="848">
        <f>O11/I11-1</f>
        <v>-2.2699751384281819E-2</v>
      </c>
      <c r="P47" s="849">
        <f>P11/J11-1</f>
        <v>-9.9944704226587078E-2</v>
      </c>
      <c r="Q47" s="849">
        <f>Q11/K11-1</f>
        <v>-8.9299785965215484E-2</v>
      </c>
      <c r="R47" s="849">
        <f>R11/L11-1</f>
        <v>-4.7446403614177513E-3</v>
      </c>
      <c r="S47" s="850">
        <f>S11/M11-1</f>
        <v>-5.5451702939057657E-2</v>
      </c>
      <c r="T47" s="227"/>
      <c r="U47" s="848">
        <f>U11/O11-1</f>
        <v>7.1425581553791417E-2</v>
      </c>
      <c r="V47" s="849">
        <f>V11/P11-1</f>
        <v>7.6024618643531161E-2</v>
      </c>
      <c r="W47" s="849">
        <f>W11/Q11-1</f>
        <v>8.584730813031749E-2</v>
      </c>
      <c r="X47" s="849">
        <f>X11/R11-1</f>
        <v>0.11793266764430022</v>
      </c>
      <c r="Y47" s="850">
        <f>Y11/S11-1</f>
        <v>8.8377076986368985E-2</v>
      </c>
      <c r="Z47" s="227"/>
      <c r="AA47" s="848">
        <f>AA11/U11-1</f>
        <v>-0.35602511295420325</v>
      </c>
      <c r="AB47" s="849">
        <f>AB11/V11-1</f>
        <v>-0.34160785270854632</v>
      </c>
      <c r="AC47" s="849">
        <f>AC11/W11-1</f>
        <v>-0.39998857629941886</v>
      </c>
      <c r="AD47" s="849">
        <f>AD11/X11-1</f>
        <v>-0.47873040483540552</v>
      </c>
      <c r="AE47" s="850">
        <f>AE11/Y11-1</f>
        <v>-0.39643250615463821</v>
      </c>
      <c r="AF47" s="227"/>
      <c r="AG47" s="848">
        <f>AG11/AA11-1</f>
        <v>7.345354426630446E-2</v>
      </c>
      <c r="AH47" s="849">
        <f>AH11/AB11-1</f>
        <v>7.9175097198547206E-3</v>
      </c>
      <c r="AI47" s="849">
        <f>AI11/AC11-1</f>
        <v>0.10652243679150097</v>
      </c>
      <c r="AJ47" s="849">
        <f>AJ11/AD11-1</f>
        <v>0.18933490379157525</v>
      </c>
      <c r="AK47" s="850">
        <f>AK11/AE11-1</f>
        <v>9.0868703502362758E-2</v>
      </c>
      <c r="AL47" s="227"/>
      <c r="AM47" s="848">
        <f>AM11/AG11-1</f>
        <v>2.8802314532005768E-2</v>
      </c>
      <c r="AN47" s="849">
        <f>AN11/AH11-1</f>
        <v>6.4700559263140445E-2</v>
      </c>
      <c r="AO47" s="849">
        <f>AO11/AI11-1</f>
        <v>5.0629774241200964E-2</v>
      </c>
      <c r="AP47" s="849">
        <f>AP11/AJ11-1</f>
        <v>8.4633916575640233E-2</v>
      </c>
      <c r="AQ47" s="850">
        <f>AQ11/AK11-1</f>
        <v>5.7394625779697339E-2</v>
      </c>
      <c r="AR47" s="227"/>
      <c r="AS47" s="848">
        <f>AS11/AM11-1</f>
        <v>4.8541798355776766E-3</v>
      </c>
      <c r="AT47" s="849">
        <f>AT11/AN11-1</f>
        <v>2.9188761912630534E-2</v>
      </c>
      <c r="AU47" s="849">
        <f>AU11/AO11-1</f>
        <v>8.9904582496549867E-2</v>
      </c>
      <c r="AV47" s="849">
        <f>AV11/AP11-1</f>
        <v>8.0641296938041451E-2</v>
      </c>
      <c r="AW47" s="850">
        <f>AW11/AQ11-1</f>
        <v>5.1625312916603328E-2</v>
      </c>
      <c r="AX47" s="227"/>
      <c r="AY47" s="848">
        <f>AY11/AS11-1</f>
        <v>6.0177278930331202E-3</v>
      </c>
      <c r="AZ47" s="849">
        <f>AZ11/AT11-1</f>
        <v>9.3564590751094023E-4</v>
      </c>
      <c r="BA47" s="849">
        <f>BA11/AU11-1</f>
        <v>-1.6938008434119078E-2</v>
      </c>
      <c r="BB47" s="849">
        <f>BB11/AV11-1</f>
        <v>-3.2213194635891007E-2</v>
      </c>
      <c r="BC47" s="850">
        <f>BC11/AW11-1</f>
        <v>-1.1336815931374256E-2</v>
      </c>
      <c r="BD47" s="227"/>
      <c r="BE47" s="848">
        <f>BE11/AY11-1</f>
        <v>4.4234797745847043E-2</v>
      </c>
      <c r="BF47" s="849">
        <f>BF11/AZ11-1</f>
        <v>7.6520638101002403E-2</v>
      </c>
      <c r="BG47" s="849">
        <f>BG11/BA11-1</f>
        <v>2.7708224417356764E-2</v>
      </c>
      <c r="BH47" s="849">
        <f>BH11/BB11-1</f>
        <v>3.3647286796158804E-2</v>
      </c>
      <c r="BI47" s="850">
        <f>BI11/BC11-1</f>
        <v>4.5331052525659166E-2</v>
      </c>
      <c r="BJ47" s="227"/>
      <c r="BK47" s="848">
        <f>BK11/BE11-1</f>
        <v>7.6188996178542023E-2</v>
      </c>
      <c r="BL47" s="849">
        <f>BL11/BF11-1</f>
        <v>5.8783233594850604E-2</v>
      </c>
      <c r="BM47" s="849">
        <f>BM11/BG11-1</f>
        <v>0.13047523427041496</v>
      </c>
      <c r="BN47" s="453">
        <f>BN11/BH11-1</f>
        <v>0.23347531659291199</v>
      </c>
      <c r="BO47" s="850">
        <f>BO11/BI11-1</f>
        <v>0.12611757364326937</v>
      </c>
      <c r="BP47" s="227"/>
      <c r="BQ47" s="848">
        <f>BQ11/BK11-1</f>
        <v>0.53465358762536486</v>
      </c>
      <c r="BR47" s="849">
        <f>BR11/BL11-1</f>
        <v>0.67628234057423242</v>
      </c>
      <c r="BS47" s="849">
        <f>BS11/BM11-1</f>
        <v>0.65413386992430689</v>
      </c>
      <c r="BT47" s="849">
        <f>BT11/BN11-1</f>
        <v>0.55821836979567374</v>
      </c>
      <c r="BU47" s="850">
        <f>BU11/BO11-1</f>
        <v>0.60530909002800537</v>
      </c>
      <c r="BV47" s="227"/>
      <c r="BW47" s="848">
        <f>BW11/BQ11-1</f>
        <v>9.692848908772822E-2</v>
      </c>
      <c r="BX47" s="849">
        <f>BX11/BR11-1</f>
        <v>0.11025668940316868</v>
      </c>
      <c r="BY47" s="849">
        <f>BY11/BS11-1</f>
        <v>0.1241403460445698</v>
      </c>
      <c r="BZ47" s="849">
        <f>BZ11/BT11-1</f>
        <v>0.12968838504748947</v>
      </c>
      <c r="CA47" s="850">
        <f>CA11/BU11-1</f>
        <v>0.11633393235243905</v>
      </c>
      <c r="CB47" s="227"/>
      <c r="CC47" s="848">
        <f>CC11/BW11-1</f>
        <v>0.14245875458195112</v>
      </c>
      <c r="CD47" s="849">
        <f>CD11/BX11-1</f>
        <v>0.13948566474453661</v>
      </c>
      <c r="CE47" s="849">
        <f>CE11/BY11-1</f>
        <v>0.13188362248140817</v>
      </c>
      <c r="CF47" s="849">
        <f>CF11/BZ11-1</f>
        <v>0.1230971501934337</v>
      </c>
      <c r="CG47" s="850">
        <f>CG11/CA11-1</f>
        <v>0.13355991285176727</v>
      </c>
      <c r="CH47" s="227"/>
      <c r="CI47" s="848">
        <f>CI11/CC11-1</f>
        <v>9.0583144786900105E-2</v>
      </c>
      <c r="CJ47" s="849">
        <f>CJ11/CD11-1</f>
        <v>8.6778128942630373E-2</v>
      </c>
      <c r="CK47" s="849">
        <f>CK11/CE11-1</f>
        <v>9.495167375507485E-2</v>
      </c>
      <c r="CL47" s="849">
        <f>CL11/CF11-1</f>
        <v>9.5504004791231667E-2</v>
      </c>
      <c r="CM47" s="850">
        <f>CM11/CG11-1</f>
        <v>9.2115947109680407E-2</v>
      </c>
      <c r="CN47" s="831"/>
      <c r="CO47" s="831"/>
      <c r="CP47" s="831"/>
      <c r="CQ47" s="831"/>
      <c r="CR47" s="831"/>
      <c r="CS47" s="831"/>
      <c r="CT47" s="831"/>
      <c r="CU47" s="831"/>
      <c r="CV47" s="831"/>
      <c r="CW47" s="831"/>
      <c r="CX47" s="831"/>
      <c r="CY47" s="831"/>
      <c r="CZ47" s="831"/>
      <c r="DB47" s="831"/>
      <c r="DC47" s="831"/>
      <c r="DD47" s="831"/>
      <c r="DE47" s="831"/>
      <c r="DF47" s="831"/>
      <c r="DG47" s="831"/>
      <c r="DH47" s="831"/>
      <c r="DI47" s="831"/>
      <c r="DJ47" s="831"/>
      <c r="DK47" s="831"/>
      <c r="DL47" s="831"/>
      <c r="EA47" s="831"/>
      <c r="EB47" s="831"/>
    </row>
    <row r="48" spans="1:132" s="228" customFormat="1">
      <c r="A48" s="900" t="s">
        <v>176</v>
      </c>
      <c r="B48" s="353"/>
      <c r="C48" s="418"/>
      <c r="D48" s="353"/>
      <c r="E48" s="353"/>
      <c r="F48" s="353"/>
      <c r="G48" s="865"/>
      <c r="H48" s="353"/>
      <c r="I48" s="418"/>
      <c r="J48" s="353"/>
      <c r="K48" s="353"/>
      <c r="L48" s="353"/>
      <c r="M48" s="865"/>
      <c r="N48" s="353"/>
      <c r="O48" s="901">
        <v>-6.5000000000000002E-2</v>
      </c>
      <c r="P48" s="902">
        <v>-5.5E-2</v>
      </c>
      <c r="Q48" s="902">
        <v>-0.02</v>
      </c>
      <c r="R48" s="902">
        <v>0.04</v>
      </c>
      <c r="S48" s="781">
        <f>SUMPRODUCT(O48:R48,I11:L11)/SUM(I11:L11)</f>
        <v>-2.4656300913243185E-2</v>
      </c>
      <c r="T48" s="353"/>
      <c r="U48" s="901">
        <v>0.03</v>
      </c>
      <c r="V48" s="902">
        <v>-0.02</v>
      </c>
      <c r="W48" s="902">
        <v>0.05</v>
      </c>
      <c r="X48" s="902">
        <v>-0.01</v>
      </c>
      <c r="Y48" s="781">
        <f>SUMPRODUCT(U48:X48,O11:R11)/SUM(O11:R11)</f>
        <v>1.1803667091252502E-2</v>
      </c>
      <c r="Z48" s="353"/>
      <c r="AA48" s="901">
        <v>0.02</v>
      </c>
      <c r="AB48" s="902">
        <v>0.04</v>
      </c>
      <c r="AC48" s="902">
        <v>0.03</v>
      </c>
      <c r="AD48" s="902">
        <v>0.01</v>
      </c>
      <c r="AE48" s="781">
        <f>SUMPRODUCT(AA48:AD48,U11:X11)/SUM(U11:X11)</f>
        <v>2.4693398299657169E-2</v>
      </c>
      <c r="AF48" s="353"/>
      <c r="AG48" s="901">
        <v>-0.01</v>
      </c>
      <c r="AH48" s="902">
        <v>-0.04</v>
      </c>
      <c r="AI48" s="902">
        <v>-0.03</v>
      </c>
      <c r="AJ48" s="902">
        <v>-0.01</v>
      </c>
      <c r="AK48" s="965">
        <v>-0.02</v>
      </c>
      <c r="AL48" s="353"/>
      <c r="AM48" s="901">
        <v>-0.01</v>
      </c>
      <c r="AN48" s="453">
        <f>AN19</f>
        <v>-3.0000000000000001E-3</v>
      </c>
      <c r="AO48" s="453">
        <v>0</v>
      </c>
      <c r="AP48" s="453">
        <f>AP19</f>
        <v>0</v>
      </c>
      <c r="AQ48" s="861">
        <f>SUMPRODUCT(AM48:AP48,AG45:AJ45)/SUM(AG45:AJ45)</f>
        <v>-3.2564397980277102E-3</v>
      </c>
      <c r="AR48" s="353"/>
      <c r="AS48" s="901">
        <v>0</v>
      </c>
      <c r="AT48" s="1376">
        <v>0.01</v>
      </c>
      <c r="AU48" s="453">
        <f>AU19</f>
        <v>-2E-3</v>
      </c>
      <c r="AV48" s="453">
        <f>AV19</f>
        <v>-0.03</v>
      </c>
      <c r="AW48" s="861">
        <f>SUMPRODUCT(AS48:AV48,AM45:AP45)/SUM(AM45:AP45)</f>
        <v>-5.7219928021935386E-3</v>
      </c>
      <c r="AX48" s="353"/>
      <c r="AY48" s="901">
        <v>-0.04</v>
      </c>
      <c r="AZ48" s="1376">
        <v>-0.04</v>
      </c>
      <c r="BA48" s="1376">
        <v>-0.04</v>
      </c>
      <c r="BB48" s="1376">
        <v>-0.04</v>
      </c>
      <c r="BC48" s="861">
        <f>SUMPRODUCT(AY48:BB48,AS45:AV45)/SUM(AS45:AV45)</f>
        <v>-0.04</v>
      </c>
      <c r="BD48" s="353"/>
      <c r="BE48" s="1672">
        <v>-0.02</v>
      </c>
      <c r="BF48" s="1376">
        <v>-0.01</v>
      </c>
      <c r="BG48" s="453">
        <v>-0.01</v>
      </c>
      <c r="BH48" s="453">
        <v>-0.01</v>
      </c>
      <c r="BI48" s="861">
        <f>SUMPRODUCT(BE48:BH48,AY45:BB45)/SUM(AY45:BB45)</f>
        <v>-1.2353085897840167E-2</v>
      </c>
      <c r="BJ48" s="353"/>
      <c r="BK48" s="860">
        <f>BK19</f>
        <v>-1.4050835924374385E-2</v>
      </c>
      <c r="BL48" s="453">
        <f>BL19</f>
        <v>-1.025319806568758E-2</v>
      </c>
      <c r="BM48" s="453">
        <f>BM19</f>
        <v>0.01</v>
      </c>
      <c r="BN48" s="453">
        <f>BN19</f>
        <v>2.8000000000000001E-2</v>
      </c>
      <c r="BO48" s="861">
        <f>SUMPRODUCT(BK48:BN48,BE45:BH45)/SUM(BE45:BH45)</f>
        <v>3.8327018380415736E-3</v>
      </c>
      <c r="BP48" s="353"/>
      <c r="BQ48" s="860">
        <f>BQ19</f>
        <v>3.0537504150991601E-2</v>
      </c>
      <c r="BR48" s="453">
        <f>BR19</f>
        <v>2.0430416472220214E-2</v>
      </c>
      <c r="BS48" s="453">
        <f>BS19</f>
        <v>2.3493953938140688E-3</v>
      </c>
      <c r="BT48" s="453">
        <f>BT19</f>
        <v>1.7938176307268072E-3</v>
      </c>
      <c r="BU48" s="861">
        <f>SUMPRODUCT(BQ48:BT48,BK45:BN45)/SUM(BK45:BN45)</f>
        <v>1.2887042780167397E-2</v>
      </c>
      <c r="BV48" s="353"/>
      <c r="BW48" s="860">
        <f>BW19</f>
        <v>0</v>
      </c>
      <c r="BX48" s="453">
        <f>BX19</f>
        <v>0</v>
      </c>
      <c r="BY48" s="453">
        <f>BY19</f>
        <v>0</v>
      </c>
      <c r="BZ48" s="453">
        <f>BZ19</f>
        <v>0</v>
      </c>
      <c r="CA48" s="861">
        <f>SUMPRODUCT(BW48:BZ48,BW45:BZ45)/SUM(BW45:BZ45)</f>
        <v>0</v>
      </c>
      <c r="CB48" s="353"/>
      <c r="CC48" s="860">
        <f>CC19</f>
        <v>0</v>
      </c>
      <c r="CD48" s="453">
        <f>CD19</f>
        <v>0</v>
      </c>
      <c r="CE48" s="453">
        <f>CE19</f>
        <v>0</v>
      </c>
      <c r="CF48" s="453">
        <f>CF19</f>
        <v>0</v>
      </c>
      <c r="CG48" s="861">
        <f>SUMPRODUCT(CC48:CF48,CC45:CF45)/SUM(CC45:CF45)</f>
        <v>0</v>
      </c>
      <c r="CH48" s="353"/>
      <c r="CI48" s="860">
        <f>CI19</f>
        <v>0</v>
      </c>
      <c r="CJ48" s="453">
        <f>CJ19</f>
        <v>0</v>
      </c>
      <c r="CK48" s="453">
        <f>CK19</f>
        <v>0</v>
      </c>
      <c r="CL48" s="453">
        <f>CL19</f>
        <v>0</v>
      </c>
      <c r="CM48" s="861">
        <f>SUMPRODUCT(CI48:CL48,CI45:CL45)/SUM(CI45:CL45)</f>
        <v>0</v>
      </c>
      <c r="CN48" s="831"/>
      <c r="CO48" s="831"/>
      <c r="CP48" s="831"/>
      <c r="CQ48" s="831"/>
      <c r="CR48" s="831"/>
      <c r="CS48" s="831"/>
      <c r="CT48" s="831"/>
      <c r="CU48" s="831"/>
      <c r="CV48" s="831"/>
      <c r="CW48" s="831"/>
      <c r="CX48" s="831"/>
      <c r="CY48" s="831"/>
      <c r="CZ48" s="831"/>
      <c r="DB48" s="831"/>
      <c r="DC48" s="831"/>
      <c r="DD48" s="831"/>
      <c r="DE48" s="831"/>
      <c r="DF48" s="831"/>
      <c r="DG48" s="831"/>
      <c r="DH48" s="831"/>
      <c r="DI48" s="831"/>
      <c r="DJ48" s="831"/>
      <c r="DK48" s="831"/>
      <c r="DL48" s="831"/>
      <c r="EA48" s="831"/>
      <c r="EB48" s="831"/>
    </row>
    <row r="49" spans="1:132" s="228" customFormat="1">
      <c r="A49" s="900" t="s">
        <v>163</v>
      </c>
      <c r="B49" s="353"/>
      <c r="C49" s="418"/>
      <c r="D49" s="353"/>
      <c r="E49" s="353"/>
      <c r="F49" s="353"/>
      <c r="G49" s="865"/>
      <c r="H49" s="353"/>
      <c r="I49" s="418"/>
      <c r="J49" s="353"/>
      <c r="K49" s="353"/>
      <c r="L49" s="353"/>
      <c r="M49" s="865"/>
      <c r="N49" s="353"/>
      <c r="O49" s="901">
        <v>1.4999999999999999E-2</v>
      </c>
      <c r="P49" s="902">
        <f>0%-(184.85-183.533)/J11</f>
        <v>-6.4586367715643786E-3</v>
      </c>
      <c r="Q49" s="902">
        <f>1%-(180.197-179.132)/K11</f>
        <v>4.5855808680356196E-3</v>
      </c>
      <c r="R49" s="902">
        <f>1%-(194.186-192.983)/L11</f>
        <v>3.7958670056677671E-3</v>
      </c>
      <c r="S49" s="781">
        <f>SUMPRODUCT(O49:R49,I11:L11)/SUM(I11:L11)</f>
        <v>3.901790855174646E-3</v>
      </c>
      <c r="T49" s="353"/>
      <c r="U49" s="901">
        <f>2%-1%</f>
        <v>0.01</v>
      </c>
      <c r="V49" s="902">
        <f>4.3%-1%</f>
        <v>3.2999999999999995E-2</v>
      </c>
      <c r="W49" s="902">
        <v>-0.01</v>
      </c>
      <c r="X49" s="902">
        <v>0.03</v>
      </c>
      <c r="Y49" s="903">
        <v>0.04</v>
      </c>
      <c r="Z49" s="353"/>
      <c r="AA49" s="901">
        <f>(220.995-201.512)/U9</f>
        <v>0.10321900463036546</v>
      </c>
      <c r="AB49" s="902">
        <f>(246.936-219.187)/V9</f>
        <v>0.140381852398972</v>
      </c>
      <c r="AC49" s="902">
        <f>(241.166-206.946)/W9</f>
        <v>0.17576479773180201</v>
      </c>
      <c r="AD49" s="902">
        <f>(299.619-260.066)/X9+AD37/X9</f>
        <v>0.32674014726994888</v>
      </c>
      <c r="AE49" s="903">
        <f>(1008.716-887.711)/Y9</f>
        <v>0.15181721460797648</v>
      </c>
      <c r="AF49" s="353"/>
      <c r="AG49" s="860">
        <f>AG37/AA9</f>
        <v>0.33216409270573538</v>
      </c>
      <c r="AH49" s="453">
        <f>AH37/AB9</f>
        <v>0.29366369567203632</v>
      </c>
      <c r="AI49" s="453">
        <f>AI37/AC9</f>
        <v>0.29417276478623083</v>
      </c>
      <c r="AJ49" s="902">
        <f>0.04*260.066/AD9</f>
        <v>8.1919101084132875E-2</v>
      </c>
      <c r="AK49" s="903">
        <f>(SUM(AG37:AI37)+(AJ37-AD37))/AE9+1.3%</f>
        <v>0.2633719071951045</v>
      </c>
      <c r="AL49" s="353"/>
      <c r="AM49" s="860">
        <f>AM10/AG9</f>
        <v>1.4119864346984402E-2</v>
      </c>
      <c r="AN49" s="453">
        <f>AN10/AH9+1.5%</f>
        <v>4.1845079522128306E-2</v>
      </c>
      <c r="AO49" s="902">
        <v>1.7999999999999999E-2</v>
      </c>
      <c r="AP49" s="902">
        <v>0.01</v>
      </c>
      <c r="AQ49" s="861">
        <f>SUMPRODUCT(AM49:AP49,AG45:AJ45)/SUM(AG45:AJ45)</f>
        <v>2.116213618768199E-2</v>
      </c>
      <c r="AR49" s="353"/>
      <c r="AS49" s="901">
        <v>0</v>
      </c>
      <c r="AT49" s="1376">
        <v>0.01</v>
      </c>
      <c r="AU49" s="902">
        <v>0</v>
      </c>
      <c r="AV49" s="902">
        <f>5/AP45</f>
        <v>3.4290899618390977E-2</v>
      </c>
      <c r="AW49" s="861">
        <f>SUMPRODUCT(AS49:AV49,AM45:AP45)/SUM(AM45:AP45)</f>
        <v>1.1453184266087829E-2</v>
      </c>
      <c r="AX49" s="353"/>
      <c r="AY49" s="901">
        <f>(0.6%)</f>
        <v>6.0000000000000001E-3</v>
      </c>
      <c r="AZ49" s="902">
        <v>0</v>
      </c>
      <c r="BA49" s="902">
        <f>0.51%+0.04</f>
        <v>4.5100000000000001E-2</v>
      </c>
      <c r="BB49" s="902">
        <v>0</v>
      </c>
      <c r="BC49" s="861">
        <f>SUMPRODUCT(AY49:BB49,AS45:AV45)/SUM(AS45:AV45)</f>
        <v>1.2839590784864347E-2</v>
      </c>
      <c r="BD49" s="353"/>
      <c r="BE49" s="901">
        <f>(-5/AY45)</f>
        <v>-3.6815055885254834E-2</v>
      </c>
      <c r="BF49" s="1376">
        <f>-(5/AZ45)</f>
        <v>-3.4738143871496659E-2</v>
      </c>
      <c r="BG49" s="1376">
        <f>(-4.4%)+(-5/BA45)+(0.75/BA45)</f>
        <v>-7.3202396657871593E-2</v>
      </c>
      <c r="BH49" s="902">
        <f>(-5/BB45)+(0.75/BB45)</f>
        <v>-2.798077556126146E-2</v>
      </c>
      <c r="BI49" s="861">
        <f>SUMPRODUCT(BE49:BH49,AY45:BB45)/SUM(AY45:BB45)</f>
        <v>-4.3147446004151276E-2</v>
      </c>
      <c r="BJ49" s="353"/>
      <c r="BK49" s="901">
        <f>(1/BE45)+(6/BE45)+(-6.5/BE45)+0.6%</f>
        <v>9.5274861722542074E-3</v>
      </c>
      <c r="BL49" s="902">
        <f>(0.75/BF45)+(8/BF45)+(-2.5/BF45)-0.6%</f>
        <v>3.4344965593813344E-2</v>
      </c>
      <c r="BM49" s="902">
        <f>(10+2.5)/BG45</f>
        <v>8.3569556613360421E-2</v>
      </c>
      <c r="BN49" s="902">
        <f>(9.5/BH45)+(13/BH45)</f>
        <v>0.14330297433284506</v>
      </c>
      <c r="BO49" s="861">
        <f>SUMPRODUCT(BK49:BN49,BE45:BH45)/SUM(BE45:BH45)</f>
        <v>6.9078150798018711E-2</v>
      </c>
      <c r="BP49" s="353"/>
      <c r="BQ49" s="901">
        <f>(2.5/BK45)+(BQ39/BK45)</f>
        <v>0.47108955028189303</v>
      </c>
      <c r="BR49" s="902">
        <f>(BR39/BL45)</f>
        <v>0.57088159980490161</v>
      </c>
      <c r="BS49" s="902">
        <f t="shared" ref="BS49:BT49" si="78">(BS39/BM45)</f>
        <v>0.56747773217095066</v>
      </c>
      <c r="BT49" s="902">
        <f t="shared" si="78"/>
        <v>0.51343283582089594</v>
      </c>
      <c r="BU49" s="861">
        <f>SUMPRODUCT(BQ49:BT49,BK45:BN45)/SUM(BK45:BN45)</f>
        <v>0.53124834380539043</v>
      </c>
      <c r="BV49" s="353"/>
      <c r="BW49" s="901">
        <v>0</v>
      </c>
      <c r="BX49" s="902">
        <v>0</v>
      </c>
      <c r="BY49" s="902">
        <v>0</v>
      </c>
      <c r="BZ49" s="902">
        <v>0</v>
      </c>
      <c r="CA49" s="861">
        <f>SUMPRODUCT(BW49:BZ49,BQ45:BT45)/SUM(BQ45:BT45)</f>
        <v>0</v>
      </c>
      <c r="CB49" s="353"/>
      <c r="CC49" s="901">
        <v>0</v>
      </c>
      <c r="CD49" s="902">
        <v>0</v>
      </c>
      <c r="CE49" s="902">
        <v>0</v>
      </c>
      <c r="CF49" s="902">
        <v>0</v>
      </c>
      <c r="CG49" s="861">
        <f>SUMPRODUCT(CC49:CF49,BW45:BZ45)/SUM(BW45:BZ45)</f>
        <v>0</v>
      </c>
      <c r="CH49" s="353"/>
      <c r="CI49" s="901">
        <v>0</v>
      </c>
      <c r="CJ49" s="902">
        <v>0</v>
      </c>
      <c r="CK49" s="902">
        <v>0</v>
      </c>
      <c r="CL49" s="902">
        <v>0</v>
      </c>
      <c r="CM49" s="861">
        <f>SUMPRODUCT(CI49:CL49,CC45:CF45)/SUM(CC45:CF45)</f>
        <v>0</v>
      </c>
      <c r="CN49" s="862"/>
      <c r="CO49" s="862"/>
      <c r="CP49" s="862"/>
      <c r="CQ49" s="862"/>
      <c r="CR49" s="862"/>
      <c r="CS49" s="862"/>
      <c r="CT49" s="862"/>
      <c r="CU49" s="862"/>
      <c r="CV49" s="862"/>
      <c r="CW49" s="862"/>
      <c r="CX49" s="862"/>
      <c r="CY49" s="862"/>
      <c r="CZ49" s="862"/>
      <c r="DB49" s="862"/>
      <c r="DC49" s="862"/>
      <c r="DD49" s="862"/>
      <c r="DE49" s="862"/>
      <c r="DF49" s="862"/>
      <c r="DG49" s="862"/>
      <c r="DH49" s="862"/>
      <c r="DI49" s="862"/>
      <c r="DJ49" s="862"/>
      <c r="DK49" s="862"/>
      <c r="DL49" s="862"/>
      <c r="EA49" s="862"/>
      <c r="EB49" s="862"/>
    </row>
    <row r="50" spans="1:132">
      <c r="A50" s="898" t="s">
        <v>44</v>
      </c>
      <c r="B50" s="424"/>
      <c r="C50" s="894"/>
      <c r="D50" s="424"/>
      <c r="E50" s="424"/>
      <c r="F50" s="424"/>
      <c r="G50" s="896"/>
      <c r="H50" s="424"/>
      <c r="I50" s="894"/>
      <c r="J50" s="424"/>
      <c r="K50" s="424"/>
      <c r="L50" s="424"/>
      <c r="M50" s="896"/>
      <c r="N50" s="424"/>
      <c r="O50" s="899">
        <f>O47-O48-O49</f>
        <v>2.7300248615718184E-2</v>
      </c>
      <c r="P50" s="426">
        <f>P47-P48-P49</f>
        <v>-3.8486067455022699E-2</v>
      </c>
      <c r="Q50" s="426">
        <f>Q47-Q48-Q49</f>
        <v>-7.3885366833251101E-2</v>
      </c>
      <c r="R50" s="426">
        <f>R47-R48-R49</f>
        <v>-4.8540507367085518E-2</v>
      </c>
      <c r="S50" s="427">
        <f>S47-S48-S49</f>
        <v>-3.4697192880989117E-2</v>
      </c>
      <c r="T50" s="424"/>
      <c r="U50" s="899">
        <f>U47-U48-U49</f>
        <v>3.1425581553791417E-2</v>
      </c>
      <c r="V50" s="426">
        <f>V47-V48-V49</f>
        <v>6.3024618643531177E-2</v>
      </c>
      <c r="W50" s="426">
        <f>W47-W48-W49</f>
        <v>4.5847308130317489E-2</v>
      </c>
      <c r="X50" s="426">
        <f>X47-X48-X49</f>
        <v>9.7932667644300225E-2</v>
      </c>
      <c r="Y50" s="427">
        <f>Y47-Y48-Y49</f>
        <v>3.6573409895116489E-2</v>
      </c>
      <c r="Z50" s="424"/>
      <c r="AA50" s="899">
        <f>AA47-AA48-AA49</f>
        <v>-0.47924411758456875</v>
      </c>
      <c r="AB50" s="426">
        <f>AB47-AB48-AB49</f>
        <v>-0.5219897051075183</v>
      </c>
      <c r="AC50" s="426">
        <f>AC47-AC48-AC49</f>
        <v>-0.60575337403122087</v>
      </c>
      <c r="AD50" s="426">
        <f>AD47-AD48-AD49</f>
        <v>-0.81547055210535446</v>
      </c>
      <c r="AE50" s="427">
        <f>AE47-AE48-AE49</f>
        <v>-0.5729431190622718</v>
      </c>
      <c r="AF50" s="424"/>
      <c r="AG50" s="899">
        <f>AG47-AG48-AG49</f>
        <v>-0.24871054843943091</v>
      </c>
      <c r="AH50" s="426">
        <f>AH47-AH48-AH49</f>
        <v>-0.24574618595218159</v>
      </c>
      <c r="AI50" s="426">
        <f>AI47-AI48-AI49</f>
        <v>-0.15765032799472986</v>
      </c>
      <c r="AJ50" s="426">
        <f>AJ47-AJ48-AJ49</f>
        <v>0.11741580270744238</v>
      </c>
      <c r="AK50" s="427">
        <f>AK47-AK48-AK49</f>
        <v>-0.15250320369274173</v>
      </c>
      <c r="AL50" s="424"/>
      <c r="AM50" s="899">
        <f>AM47-AM48-AM49</f>
        <v>2.4682450185021368E-2</v>
      </c>
      <c r="AN50" s="426">
        <f>AN47-AN48-AN49</f>
        <v>2.5855479741012141E-2</v>
      </c>
      <c r="AO50" s="426">
        <f>AO47-AO48-AO49</f>
        <v>3.2629774241200962E-2</v>
      </c>
      <c r="AP50" s="426">
        <f>AP47-AP48-AP49</f>
        <v>7.4633916575640238E-2</v>
      </c>
      <c r="AQ50" s="427">
        <f>AQ47-AQ48-AQ49</f>
        <v>3.9488929390043059E-2</v>
      </c>
      <c r="AR50" s="424"/>
      <c r="AS50" s="899">
        <f>AS47-AS48-AS49</f>
        <v>4.8541798355776766E-3</v>
      </c>
      <c r="AT50" s="426">
        <f>AT47-AT48-AT49</f>
        <v>9.1887619126305321E-3</v>
      </c>
      <c r="AU50" s="426">
        <f>AU47-AU48-AU49</f>
        <v>9.1904582496549869E-2</v>
      </c>
      <c r="AV50" s="426">
        <f>AV47-AV48-AV49</f>
        <v>7.6350397319650473E-2</v>
      </c>
      <c r="AW50" s="427">
        <f>AW47-AW48-AW49</f>
        <v>4.5894121452709033E-2</v>
      </c>
      <c r="AX50" s="424"/>
      <c r="AY50" s="899">
        <f>AY47-AY48-AY49</f>
        <v>4.0017727893033123E-2</v>
      </c>
      <c r="AZ50" s="426">
        <f>AZ47-AZ48-AZ49</f>
        <v>4.0935645907510941E-2</v>
      </c>
      <c r="BA50" s="426">
        <f>BA47-BA48-BA49</f>
        <v>-2.2038008434119079E-2</v>
      </c>
      <c r="BB50" s="426">
        <f>BB47-BB48-BB49</f>
        <v>7.7868053641089938E-3</v>
      </c>
      <c r="BC50" s="427">
        <f>BC47-BC48-BC49</f>
        <v>1.58235932837614E-2</v>
      </c>
      <c r="BD50" s="424"/>
      <c r="BE50" s="899">
        <f>BE47-BE48-BE49</f>
        <v>0.10104985363110189</v>
      </c>
      <c r="BF50" s="426">
        <f>BF47-BF48-BF49</f>
        <v>0.12125878197249906</v>
      </c>
      <c r="BG50" s="426">
        <f>BG47-BG48-BG49</f>
        <v>0.11091062107522837</v>
      </c>
      <c r="BH50" s="426">
        <f>BH47-BH48-BH49</f>
        <v>7.1628062357420266E-2</v>
      </c>
      <c r="BI50" s="427">
        <f>BI47-BI48-BI49</f>
        <v>0.10083158442765061</v>
      </c>
      <c r="BJ50" s="424"/>
      <c r="BK50" s="899">
        <f>BK47-BK48-BK49</f>
        <v>8.0712345930662191E-2</v>
      </c>
      <c r="BL50" s="426">
        <f>BL47-BL48-BL49</f>
        <v>3.4691466066724845E-2</v>
      </c>
      <c r="BM50" s="426">
        <f>BM47-BM48-BM49</f>
        <v>3.6905677657054548E-2</v>
      </c>
      <c r="BN50" s="852">
        <f>BN47-BN48-BN49</f>
        <v>6.2172342260066932E-2</v>
      </c>
      <c r="BO50" s="427">
        <f>BO47-BO48-BO49</f>
        <v>5.3206721007209079E-2</v>
      </c>
      <c r="BP50" s="424"/>
      <c r="BQ50" s="899">
        <f>BQ47-BQ48-BQ49</f>
        <v>3.3026533192480168E-2</v>
      </c>
      <c r="BR50" s="426">
        <f>BR47-BR48-BR49</f>
        <v>8.49703242971106E-2</v>
      </c>
      <c r="BS50" s="426">
        <f>BS47-BS48-BS49</f>
        <v>8.4306742359542164E-2</v>
      </c>
      <c r="BT50" s="426">
        <f>BT47-BT48-BT49</f>
        <v>4.2991716344050968E-2</v>
      </c>
      <c r="BU50" s="427">
        <f>BU47-BU48-BU49</f>
        <v>6.1173703442447547E-2</v>
      </c>
      <c r="BV50" s="424"/>
      <c r="BW50" s="899">
        <f>BW47-BW48-BW49</f>
        <v>9.692848908772822E-2</v>
      </c>
      <c r="BX50" s="426">
        <f>BX47-BX48-BX49</f>
        <v>0.11025668940316868</v>
      </c>
      <c r="BY50" s="426">
        <f>BY47-BY48-BY49</f>
        <v>0.1241403460445698</v>
      </c>
      <c r="BZ50" s="426">
        <f>BZ47-BZ48-BZ49</f>
        <v>0.12968838504748947</v>
      </c>
      <c r="CA50" s="427">
        <f>CA47-CA48-CA49</f>
        <v>0.11633393235243905</v>
      </c>
      <c r="CB50" s="424"/>
      <c r="CC50" s="899">
        <f>CC47-CC48-CC49</f>
        <v>0.14245875458195112</v>
      </c>
      <c r="CD50" s="426">
        <f>CD47-CD48-CD49</f>
        <v>0.13948566474453661</v>
      </c>
      <c r="CE50" s="426">
        <f>CE47-CE48-CE49</f>
        <v>0.13188362248140817</v>
      </c>
      <c r="CF50" s="426">
        <f>CF47-CF48-CF49</f>
        <v>0.1230971501934337</v>
      </c>
      <c r="CG50" s="427">
        <f>CG47-CG48-CG49</f>
        <v>0.13355991285176727</v>
      </c>
      <c r="CH50" s="424"/>
      <c r="CI50" s="899">
        <f>CI47-CI48-CI49</f>
        <v>9.0583144786900105E-2</v>
      </c>
      <c r="CJ50" s="426">
        <f>CJ47-CJ48-CJ49</f>
        <v>8.6778128942630373E-2</v>
      </c>
      <c r="CK50" s="426">
        <f>CK47-CK48-CK49</f>
        <v>9.495167375507485E-2</v>
      </c>
      <c r="CL50" s="426">
        <f>CL47-CL48-CL49</f>
        <v>9.5504004791231667E-2</v>
      </c>
      <c r="CM50" s="427">
        <f>CM47-CM48-CM49</f>
        <v>9.2115947109680407E-2</v>
      </c>
      <c r="CN50" s="831"/>
      <c r="CO50" s="831"/>
      <c r="CP50" s="831"/>
      <c r="CQ50" s="831"/>
      <c r="CR50" s="831"/>
      <c r="CS50" s="831"/>
      <c r="CT50" s="831"/>
      <c r="CU50" s="831"/>
      <c r="CV50" s="831"/>
      <c r="CW50" s="831"/>
      <c r="CX50" s="831"/>
      <c r="CY50" s="831"/>
      <c r="CZ50" s="831"/>
      <c r="DB50" s="831"/>
      <c r="DC50" s="831"/>
      <c r="DD50" s="831"/>
      <c r="DE50" s="831"/>
      <c r="DF50" s="831"/>
      <c r="DG50" s="831"/>
      <c r="DH50" s="831"/>
      <c r="DI50" s="831"/>
      <c r="DJ50" s="831"/>
      <c r="DK50" s="831"/>
      <c r="DL50" s="831"/>
      <c r="EA50" s="831"/>
      <c r="EB50" s="831"/>
    </row>
    <row r="51" spans="1:132" outlineLevel="1">
      <c r="A51" s="1839"/>
      <c r="B51" s="227"/>
      <c r="C51" s="227"/>
      <c r="D51" s="227"/>
      <c r="E51" s="227"/>
      <c r="F51" s="227"/>
      <c r="G51" s="227"/>
      <c r="H51" s="227"/>
      <c r="I51" s="227"/>
      <c r="J51" s="227"/>
      <c r="K51" s="227"/>
      <c r="L51" s="227"/>
      <c r="M51" s="227"/>
      <c r="N51" s="227"/>
      <c r="O51" s="849"/>
      <c r="P51" s="849"/>
      <c r="Q51" s="849"/>
      <c r="R51" s="849"/>
      <c r="S51" s="849"/>
      <c r="T51" s="227"/>
      <c r="U51" s="849"/>
      <c r="V51" s="849"/>
      <c r="W51" s="849"/>
      <c r="X51" s="849"/>
      <c r="Y51" s="849"/>
      <c r="Z51" s="227"/>
      <c r="AA51" s="849"/>
      <c r="AB51" s="849"/>
      <c r="AC51" s="849"/>
      <c r="AD51" s="849"/>
      <c r="AE51" s="849"/>
      <c r="AF51" s="227"/>
      <c r="AG51" s="849"/>
      <c r="AH51" s="849"/>
      <c r="AI51" s="849"/>
      <c r="AJ51" s="849"/>
      <c r="AK51" s="849"/>
      <c r="AL51" s="227"/>
      <c r="AM51" s="849"/>
      <c r="AN51" s="849"/>
      <c r="AO51" s="849"/>
      <c r="AP51" s="849"/>
      <c r="AQ51" s="849"/>
      <c r="AR51" s="227"/>
      <c r="AS51" s="849"/>
      <c r="AT51" s="849"/>
      <c r="AU51" s="849"/>
      <c r="AV51" s="849"/>
      <c r="AW51" s="849"/>
      <c r="AX51" s="227"/>
      <c r="AY51" s="849"/>
      <c r="AZ51" s="849"/>
      <c r="BA51" s="849"/>
      <c r="BB51" s="849"/>
      <c r="BC51" s="849"/>
      <c r="BD51" s="227"/>
      <c r="BE51" s="849"/>
      <c r="BF51" s="849"/>
      <c r="BG51" s="849"/>
      <c r="BH51" s="849"/>
      <c r="BI51" s="849"/>
      <c r="BJ51" s="227"/>
      <c r="BK51" s="849"/>
      <c r="BL51" s="849"/>
      <c r="BM51" s="849"/>
      <c r="BN51" s="849"/>
      <c r="BO51" s="849"/>
      <c r="BP51" s="227"/>
      <c r="BQ51" s="849"/>
      <c r="BR51" s="849"/>
      <c r="BS51" s="849"/>
      <c r="BT51" s="849"/>
      <c r="BU51" s="849"/>
      <c r="BV51" s="227"/>
      <c r="BW51" s="849"/>
      <c r="BX51" s="849"/>
      <c r="BY51" s="849"/>
      <c r="BZ51" s="849"/>
      <c r="CA51" s="849"/>
      <c r="CB51" s="227"/>
      <c r="CC51" s="849"/>
      <c r="CD51" s="849"/>
      <c r="CE51" s="849"/>
      <c r="CF51" s="849"/>
      <c r="CG51" s="849"/>
      <c r="CH51" s="227"/>
      <c r="CI51" s="849"/>
      <c r="CJ51" s="849"/>
      <c r="CK51" s="849"/>
      <c r="CL51" s="849"/>
      <c r="CM51" s="849"/>
      <c r="CN51" s="831"/>
      <c r="CO51" s="831"/>
      <c r="CP51" s="831"/>
      <c r="CQ51" s="831"/>
      <c r="CR51" s="831"/>
      <c r="CS51" s="831"/>
      <c r="CT51" s="831"/>
      <c r="CU51" s="831"/>
      <c r="CV51" s="831"/>
      <c r="CW51" s="831"/>
      <c r="CX51" s="831"/>
      <c r="CY51" s="831"/>
      <c r="CZ51" s="831"/>
      <c r="DB51" s="831"/>
      <c r="DC51" s="831"/>
      <c r="DD51" s="831"/>
      <c r="DE51" s="831"/>
      <c r="DF51" s="831"/>
      <c r="DG51" s="831"/>
      <c r="DH51" s="831"/>
      <c r="DI51" s="831"/>
      <c r="DJ51" s="831"/>
      <c r="DK51" s="831"/>
      <c r="DL51" s="831"/>
      <c r="EA51" s="831"/>
      <c r="EB51" s="831"/>
    </row>
    <row r="52" spans="1:132" outlineLevel="1">
      <c r="A52" s="1874" t="s">
        <v>542</v>
      </c>
      <c r="B52" s="1875"/>
      <c r="C52" s="1875"/>
      <c r="D52" s="1875"/>
      <c r="E52" s="1876"/>
      <c r="F52" s="1876"/>
      <c r="G52" s="1876"/>
      <c r="H52" s="1876"/>
      <c r="I52" s="1876"/>
      <c r="J52" s="1876"/>
      <c r="K52" s="1876"/>
      <c r="L52" s="1876"/>
      <c r="M52" s="1876"/>
      <c r="N52" s="1876"/>
      <c r="O52" s="1876"/>
      <c r="P52" s="1876"/>
      <c r="Q52" s="1876"/>
      <c r="R52" s="1876"/>
      <c r="S52" s="1876"/>
      <c r="T52" s="1876"/>
      <c r="U52" s="1876"/>
      <c r="V52" s="1876"/>
      <c r="W52" s="1876"/>
      <c r="X52" s="1876"/>
      <c r="Y52" s="1876"/>
      <c r="Z52" s="1876"/>
      <c r="AA52" s="1876"/>
      <c r="AB52" s="1876"/>
      <c r="AC52" s="1876"/>
      <c r="AD52" s="1876"/>
      <c r="AE52" s="1876"/>
      <c r="AF52" s="1876"/>
      <c r="AG52" s="1876"/>
      <c r="AH52" s="1876"/>
      <c r="AI52" s="1876"/>
      <c r="AJ52" s="1876"/>
      <c r="AK52" s="1876"/>
      <c r="AL52" s="1876"/>
      <c r="AM52" s="1876"/>
      <c r="AN52" s="1876"/>
      <c r="AO52" s="1876"/>
      <c r="AP52" s="1876"/>
      <c r="AQ52" s="1876"/>
      <c r="AR52" s="1876"/>
      <c r="AS52" s="1877"/>
      <c r="AT52" s="1877"/>
      <c r="AU52" s="1877"/>
      <c r="AV52" s="1877"/>
      <c r="AW52" s="1877"/>
      <c r="AX52" s="1877"/>
      <c r="AY52" s="1877"/>
      <c r="AZ52" s="1877"/>
      <c r="BA52" s="1877"/>
      <c r="BB52" s="1876"/>
      <c r="BC52" s="1876"/>
      <c r="BD52" s="1876"/>
      <c r="BE52" s="1876"/>
      <c r="BF52" s="1876"/>
      <c r="BG52" s="1876"/>
      <c r="BH52" s="1876"/>
      <c r="BI52" s="1876"/>
      <c r="BJ52" s="1876"/>
      <c r="BK52" s="1876"/>
      <c r="BL52" s="1876"/>
      <c r="BM52" s="1876"/>
      <c r="BN52" s="1876"/>
      <c r="BO52" s="1876"/>
      <c r="BP52" s="1876"/>
      <c r="BQ52" s="1876"/>
      <c r="BR52" s="1876"/>
      <c r="BS52" s="1876"/>
      <c r="BT52" s="1876"/>
      <c r="BU52" s="1876"/>
      <c r="BV52" s="1876"/>
      <c r="BW52" s="1876"/>
      <c r="BX52" s="1876"/>
      <c r="BY52" s="1876"/>
      <c r="BZ52" s="1876"/>
      <c r="CA52" s="1876"/>
      <c r="CB52" s="1876"/>
      <c r="CC52" s="1876"/>
      <c r="CD52" s="1876"/>
      <c r="CE52" s="1876"/>
      <c r="CF52" s="1876"/>
      <c r="CG52" s="1876"/>
      <c r="CH52" s="1876"/>
      <c r="CI52" s="1876"/>
      <c r="CJ52" s="1876"/>
      <c r="CK52" s="1876"/>
      <c r="CL52" s="1876"/>
      <c r="CM52" s="1876"/>
      <c r="CN52" s="831"/>
      <c r="CO52" s="831"/>
      <c r="CP52" s="831"/>
      <c r="CQ52" s="831"/>
      <c r="CR52" s="831"/>
      <c r="CS52" s="831"/>
      <c r="CT52" s="831"/>
      <c r="CU52" s="831"/>
      <c r="CV52" s="831"/>
      <c r="CW52" s="831"/>
      <c r="CX52" s="831"/>
      <c r="CY52" s="831"/>
      <c r="CZ52" s="831"/>
      <c r="DB52" s="831"/>
      <c r="DC52" s="831"/>
      <c r="DD52" s="831"/>
      <c r="DE52" s="831"/>
      <c r="DF52" s="831"/>
      <c r="DG52" s="831"/>
      <c r="DH52" s="831"/>
      <c r="DI52" s="831"/>
      <c r="DJ52" s="831"/>
      <c r="DK52" s="831"/>
      <c r="DL52" s="831"/>
      <c r="EA52" s="831"/>
      <c r="EB52" s="831"/>
    </row>
    <row r="53" spans="1:132" outlineLevel="1">
      <c r="A53" s="1843" t="s">
        <v>537</v>
      </c>
      <c r="B53" s="864"/>
      <c r="C53" s="1844"/>
      <c r="D53" s="864"/>
      <c r="E53" s="864"/>
      <c r="F53" s="864"/>
      <c r="G53" s="1845"/>
      <c r="H53" s="864"/>
      <c r="I53" s="1844"/>
      <c r="J53" s="864"/>
      <c r="K53" s="864"/>
      <c r="L53" s="864"/>
      <c r="M53" s="1845"/>
      <c r="N53" s="864"/>
      <c r="O53" s="1844"/>
      <c r="P53" s="864"/>
      <c r="Q53" s="864"/>
      <c r="R53" s="864"/>
      <c r="S53" s="1845"/>
      <c r="T53" s="864"/>
      <c r="U53" s="1844"/>
      <c r="V53" s="864"/>
      <c r="W53" s="864"/>
      <c r="X53" s="864"/>
      <c r="Y53" s="1845"/>
      <c r="Z53" s="864"/>
      <c r="AA53" s="1846"/>
      <c r="AB53" s="1847"/>
      <c r="AC53" s="1847"/>
      <c r="AD53" s="1847"/>
      <c r="AE53" s="1848"/>
      <c r="AF53" s="864"/>
      <c r="AG53" s="1846"/>
      <c r="AH53" s="1847"/>
      <c r="AI53" s="1847"/>
      <c r="AJ53" s="1847"/>
      <c r="AK53" s="1849"/>
      <c r="AL53" s="1850"/>
      <c r="AM53" s="1851"/>
      <c r="AN53" s="1850"/>
      <c r="AO53" s="1850"/>
      <c r="AP53" s="1850"/>
      <c r="AQ53" s="1849"/>
      <c r="AR53" s="1850"/>
      <c r="AS53" s="1851"/>
      <c r="AT53" s="1850"/>
      <c r="AU53" s="1850"/>
      <c r="AV53" s="1850"/>
      <c r="AW53" s="1849"/>
      <c r="AX53" s="1850"/>
      <c r="AY53" s="1853">
        <v>-0.01</v>
      </c>
      <c r="AZ53" s="1854">
        <v>0.01</v>
      </c>
      <c r="BA53" s="44">
        <v>-0.03</v>
      </c>
      <c r="BB53" s="44">
        <v>-0.04</v>
      </c>
      <c r="BC53" s="1837">
        <v>-0.02</v>
      </c>
      <c r="BD53" s="1854">
        <v>0</v>
      </c>
      <c r="BE53" s="1853">
        <v>0.04</v>
      </c>
      <c r="BF53" s="44">
        <v>0.08</v>
      </c>
      <c r="BG53" s="44">
        <v>0.03</v>
      </c>
      <c r="BH53" s="44">
        <v>0.03</v>
      </c>
      <c r="BI53" s="1881">
        <v>0.05</v>
      </c>
      <c r="BJ53" s="1850"/>
      <c r="BK53" s="1851"/>
      <c r="BL53" s="215"/>
      <c r="BM53" s="215"/>
      <c r="BN53" s="215"/>
      <c r="BO53" s="1849"/>
      <c r="BP53" s="1850"/>
      <c r="BQ53" s="1851"/>
      <c r="BR53" s="215"/>
      <c r="BS53" s="215"/>
      <c r="BT53" s="215"/>
      <c r="BU53" s="1849"/>
      <c r="BV53" s="1850"/>
      <c r="BW53" s="1851"/>
      <c r="BX53" s="215"/>
      <c r="BY53" s="215"/>
      <c r="BZ53" s="215"/>
      <c r="CA53" s="1849"/>
      <c r="CB53" s="1850"/>
      <c r="CC53" s="1851"/>
      <c r="CD53" s="215"/>
      <c r="CE53" s="215"/>
      <c r="CF53" s="215"/>
      <c r="CG53" s="1849"/>
      <c r="CH53" s="1850"/>
      <c r="CI53" s="1851"/>
      <c r="CJ53" s="215"/>
      <c r="CK53" s="215"/>
      <c r="CL53" s="215"/>
      <c r="CM53" s="1849"/>
      <c r="CN53" s="831"/>
      <c r="CO53" s="831"/>
      <c r="CP53" s="831"/>
      <c r="CQ53" s="831"/>
      <c r="CR53" s="831"/>
      <c r="CS53" s="831"/>
      <c r="CT53" s="831"/>
      <c r="CU53" s="831"/>
      <c r="CV53" s="831"/>
      <c r="CW53" s="831"/>
      <c r="CX53" s="831"/>
      <c r="CY53" s="831"/>
      <c r="CZ53" s="831"/>
      <c r="DB53" s="831"/>
      <c r="DC53" s="831"/>
      <c r="DD53" s="831"/>
      <c r="DE53" s="831"/>
      <c r="DF53" s="831"/>
      <c r="DG53" s="831"/>
      <c r="DH53" s="831"/>
      <c r="DI53" s="831"/>
      <c r="DJ53" s="831"/>
      <c r="DK53" s="831"/>
      <c r="DL53" s="831"/>
      <c r="EA53" s="831"/>
      <c r="EB53" s="831"/>
    </row>
    <row r="54" spans="1:132" outlineLevel="1">
      <c r="A54" s="1840" t="s">
        <v>506</v>
      </c>
      <c r="B54" s="864"/>
      <c r="C54" s="1844"/>
      <c r="D54" s="864"/>
      <c r="E54" s="864"/>
      <c r="F54" s="864"/>
      <c r="G54" s="1845"/>
      <c r="H54" s="864"/>
      <c r="I54" s="1844"/>
      <c r="J54" s="864"/>
      <c r="K54" s="864"/>
      <c r="L54" s="864"/>
      <c r="M54" s="1845"/>
      <c r="N54" s="864"/>
      <c r="O54" s="1844"/>
      <c r="P54" s="864"/>
      <c r="Q54" s="864"/>
      <c r="R54" s="864"/>
      <c r="S54" s="1845"/>
      <c r="T54" s="864"/>
      <c r="U54" s="1844"/>
      <c r="V54" s="864"/>
      <c r="W54" s="864"/>
      <c r="X54" s="864"/>
      <c r="Y54" s="1845"/>
      <c r="Z54" s="864"/>
      <c r="AA54" s="1844"/>
      <c r="AB54" s="864"/>
      <c r="AC54" s="864"/>
      <c r="AD54" s="864"/>
      <c r="AE54" s="1845"/>
      <c r="AF54" s="864"/>
      <c r="AG54" s="1853"/>
      <c r="AH54" s="1854"/>
      <c r="AI54" s="1854"/>
      <c r="AJ54" s="1854"/>
      <c r="AK54" s="1849"/>
      <c r="AL54" s="1850"/>
      <c r="AM54" s="1851"/>
      <c r="AN54" s="1850"/>
      <c r="AO54" s="1850"/>
      <c r="AP54" s="1850"/>
      <c r="AQ54" s="1849"/>
      <c r="AR54" s="1850"/>
      <c r="AS54" s="1855"/>
      <c r="AT54" s="215"/>
      <c r="AU54" s="1850"/>
      <c r="AV54" s="1850"/>
      <c r="AW54" s="1849"/>
      <c r="AX54" s="1850"/>
      <c r="AY54" s="1836">
        <v>-0.04</v>
      </c>
      <c r="AZ54" s="44">
        <v>-0.04</v>
      </c>
      <c r="BA54" s="44">
        <v>-0.04</v>
      </c>
      <c r="BB54" s="44">
        <v>-0.04</v>
      </c>
      <c r="BC54" s="1837">
        <v>-0.04</v>
      </c>
      <c r="BD54" s="1854">
        <v>0</v>
      </c>
      <c r="BE54" s="1853">
        <v>-0.02</v>
      </c>
      <c r="BF54" s="44">
        <v>-0.01</v>
      </c>
      <c r="BG54" s="44">
        <v>-0.01</v>
      </c>
      <c r="BH54" s="44">
        <v>-0.01</v>
      </c>
      <c r="BI54" s="1881">
        <v>-0.01</v>
      </c>
      <c r="BJ54" s="1850"/>
      <c r="BK54" s="1851"/>
      <c r="BL54" s="1850"/>
      <c r="BM54" s="1850"/>
      <c r="BN54" s="1850"/>
      <c r="BO54" s="1849"/>
      <c r="BP54" s="1850"/>
      <c r="BQ54" s="1851"/>
      <c r="BR54" s="1850"/>
      <c r="BS54" s="1850"/>
      <c r="BT54" s="1850"/>
      <c r="BU54" s="1849"/>
      <c r="BV54" s="1850"/>
      <c r="BW54" s="1851"/>
      <c r="BX54" s="1850"/>
      <c r="BY54" s="1850"/>
      <c r="BZ54" s="1850"/>
      <c r="CA54" s="1849"/>
      <c r="CB54" s="1850"/>
      <c r="CC54" s="1851"/>
      <c r="CD54" s="1850"/>
      <c r="CE54" s="1850"/>
      <c r="CF54" s="1850"/>
      <c r="CG54" s="1849"/>
      <c r="CH54" s="1850"/>
      <c r="CI54" s="1851"/>
      <c r="CJ54" s="1850"/>
      <c r="CK54" s="1850"/>
      <c r="CL54" s="1850"/>
      <c r="CM54" s="1849"/>
      <c r="CN54" s="831"/>
      <c r="CO54" s="831"/>
      <c r="CP54" s="831"/>
      <c r="CQ54" s="831"/>
      <c r="CR54" s="831"/>
      <c r="CS54" s="831"/>
      <c r="CT54" s="831"/>
      <c r="CU54" s="831"/>
      <c r="CV54" s="831"/>
      <c r="CW54" s="831"/>
      <c r="CX54" s="831"/>
      <c r="CY54" s="831"/>
      <c r="CZ54" s="831"/>
      <c r="DB54" s="831"/>
      <c r="DC54" s="831"/>
      <c r="DD54" s="831"/>
      <c r="DE54" s="831"/>
      <c r="DF54" s="831"/>
      <c r="DG54" s="831"/>
      <c r="DH54" s="831"/>
      <c r="DI54" s="831"/>
      <c r="DJ54" s="831"/>
      <c r="DK54" s="831"/>
      <c r="DL54" s="831"/>
      <c r="EA54" s="831"/>
      <c r="EB54" s="831"/>
    </row>
    <row r="55" spans="1:132" outlineLevel="1">
      <c r="A55" s="1840" t="s">
        <v>536</v>
      </c>
      <c r="B55" s="864"/>
      <c r="C55" s="1844"/>
      <c r="D55" s="864"/>
      <c r="E55" s="864"/>
      <c r="F55" s="864"/>
      <c r="G55" s="1845"/>
      <c r="H55" s="864"/>
      <c r="I55" s="1844"/>
      <c r="J55" s="864"/>
      <c r="K55" s="864"/>
      <c r="L55" s="864"/>
      <c r="M55" s="1845"/>
      <c r="N55" s="864"/>
      <c r="O55" s="1856"/>
      <c r="P55" s="1857"/>
      <c r="Q55" s="1857"/>
      <c r="R55" s="1857"/>
      <c r="S55" s="1845"/>
      <c r="T55" s="864"/>
      <c r="U55" s="1844"/>
      <c r="V55" s="864"/>
      <c r="W55" s="864"/>
      <c r="X55" s="864"/>
      <c r="Y55" s="1845"/>
      <c r="Z55" s="864"/>
      <c r="AA55" s="1858"/>
      <c r="AB55" s="1859"/>
      <c r="AC55" s="1859"/>
      <c r="AD55" s="1859"/>
      <c r="AE55" s="1848"/>
      <c r="AF55" s="864"/>
      <c r="AG55" s="1846"/>
      <c r="AH55" s="1847"/>
      <c r="AI55" s="1847"/>
      <c r="AJ55" s="1847"/>
      <c r="AK55" s="1849"/>
      <c r="AL55" s="1850"/>
      <c r="AM55" s="1851"/>
      <c r="AN55" s="1850"/>
      <c r="AO55" s="1850"/>
      <c r="AP55" s="1850"/>
      <c r="AQ55" s="1849"/>
      <c r="AR55" s="1850"/>
      <c r="AS55" s="1855"/>
      <c r="AT55" s="215"/>
      <c r="AU55" s="1850"/>
      <c r="AV55" s="1850"/>
      <c r="AW55" s="1849"/>
      <c r="AX55" s="1850"/>
      <c r="AY55" s="1836">
        <v>0</v>
      </c>
      <c r="AZ55" s="44">
        <v>0</v>
      </c>
      <c r="BA55" s="44">
        <v>0</v>
      </c>
      <c r="BB55" s="44">
        <v>0</v>
      </c>
      <c r="BC55" s="1837">
        <v>0</v>
      </c>
      <c r="BD55" s="1854">
        <v>0</v>
      </c>
      <c r="BE55" s="1853">
        <v>0</v>
      </c>
      <c r="BF55" s="44">
        <v>-0.04</v>
      </c>
      <c r="BG55" s="44">
        <v>-0.03</v>
      </c>
      <c r="BH55" s="44">
        <v>-0.03</v>
      </c>
      <c r="BI55" s="1881">
        <v>-0.02</v>
      </c>
      <c r="BJ55" s="1850"/>
      <c r="BK55" s="1851"/>
      <c r="BL55" s="215"/>
      <c r="BM55" s="215"/>
      <c r="BN55" s="215"/>
      <c r="BO55" s="1849"/>
      <c r="BP55" s="1850"/>
      <c r="BQ55" s="1851"/>
      <c r="BR55" s="215"/>
      <c r="BS55" s="215"/>
      <c r="BT55" s="215"/>
      <c r="BU55" s="1849"/>
      <c r="BV55" s="1850"/>
      <c r="BW55" s="1851"/>
      <c r="BX55" s="215"/>
      <c r="BY55" s="215"/>
      <c r="BZ55" s="215"/>
      <c r="CA55" s="1849"/>
      <c r="CB55" s="1850"/>
      <c r="CC55" s="1851"/>
      <c r="CD55" s="215"/>
      <c r="CE55" s="215"/>
      <c r="CF55" s="215"/>
      <c r="CG55" s="1849"/>
      <c r="CH55" s="1850"/>
      <c r="CI55" s="1851"/>
      <c r="CJ55" s="215"/>
      <c r="CK55" s="215"/>
      <c r="CL55" s="215"/>
      <c r="CM55" s="1849"/>
      <c r="CN55" s="831"/>
      <c r="CO55" s="831"/>
      <c r="CP55" s="831"/>
      <c r="CQ55" s="831"/>
      <c r="CR55" s="831"/>
      <c r="CS55" s="831"/>
      <c r="CT55" s="831"/>
      <c r="CU55" s="831"/>
      <c r="CV55" s="831"/>
      <c r="CW55" s="831"/>
      <c r="CX55" s="831"/>
      <c r="CY55" s="831"/>
      <c r="CZ55" s="831"/>
      <c r="DB55" s="831"/>
      <c r="DC55" s="831"/>
      <c r="DD55" s="831"/>
      <c r="DE55" s="831"/>
      <c r="DF55" s="831"/>
      <c r="DG55" s="831"/>
      <c r="DH55" s="831"/>
      <c r="DI55" s="831"/>
      <c r="DJ55" s="831"/>
      <c r="DK55" s="831"/>
      <c r="DL55" s="831"/>
      <c r="EA55" s="831"/>
      <c r="EB55" s="831"/>
    </row>
    <row r="56" spans="1:132" outlineLevel="1">
      <c r="A56" s="1860" t="s">
        <v>538</v>
      </c>
      <c r="B56" s="1861"/>
      <c r="C56" s="1862"/>
      <c r="D56" s="1861"/>
      <c r="E56" s="1861"/>
      <c r="F56" s="1861"/>
      <c r="G56" s="1863"/>
      <c r="H56" s="1861"/>
      <c r="I56" s="1862"/>
      <c r="J56" s="1861"/>
      <c r="K56" s="1861"/>
      <c r="L56" s="1861"/>
      <c r="M56" s="1863"/>
      <c r="N56" s="1861"/>
      <c r="O56" s="1841"/>
      <c r="P56" s="1842"/>
      <c r="Q56" s="1842"/>
      <c r="R56" s="1842"/>
      <c r="S56" s="1863"/>
      <c r="T56" s="1861"/>
      <c r="U56" s="1862"/>
      <c r="V56" s="1861"/>
      <c r="W56" s="1861"/>
      <c r="X56" s="1861"/>
      <c r="Y56" s="1863"/>
      <c r="Z56" s="1861"/>
      <c r="AA56" s="1864"/>
      <c r="AB56" s="1865"/>
      <c r="AC56" s="1865"/>
      <c r="AD56" s="1865"/>
      <c r="AE56" s="1866"/>
      <c r="AF56" s="1861"/>
      <c r="AG56" s="1867"/>
      <c r="AH56" s="1868"/>
      <c r="AI56" s="1868"/>
      <c r="AJ56" s="1868"/>
      <c r="AK56" s="1869"/>
      <c r="AL56" s="1870"/>
      <c r="AM56" s="1871"/>
      <c r="AN56" s="1870"/>
      <c r="AO56" s="1870"/>
      <c r="AP56" s="1870"/>
      <c r="AQ56" s="1869"/>
      <c r="AR56" s="1870"/>
      <c r="AS56" s="1872"/>
      <c r="AT56" s="1873"/>
      <c r="AU56" s="1870"/>
      <c r="AV56" s="1870"/>
      <c r="AW56" s="1869"/>
      <c r="AX56" s="1870"/>
      <c r="AY56" s="1882">
        <v>0.03</v>
      </c>
      <c r="AZ56" s="1883">
        <v>0.05</v>
      </c>
      <c r="BA56" s="1883">
        <v>1.0000000000000002E-2</v>
      </c>
      <c r="BB56" s="1883">
        <v>0</v>
      </c>
      <c r="BC56" s="1884">
        <v>0.02</v>
      </c>
      <c r="BD56" s="1868">
        <v>0</v>
      </c>
      <c r="BE56" s="1867">
        <v>0.06</v>
      </c>
      <c r="BF56" s="1883">
        <v>0.13</v>
      </c>
      <c r="BG56" s="1883">
        <v>7.0000000000000007E-2</v>
      </c>
      <c r="BH56" s="1883">
        <v>7.0000000000000007E-2</v>
      </c>
      <c r="BI56" s="1885">
        <v>0.08</v>
      </c>
      <c r="BJ56" s="1870"/>
      <c r="BK56" s="1871"/>
      <c r="BL56" s="1870"/>
      <c r="BM56" s="1870"/>
      <c r="BN56" s="1870"/>
      <c r="BO56" s="1869"/>
      <c r="BP56" s="1870"/>
      <c r="BQ56" s="1871"/>
      <c r="BR56" s="1870"/>
      <c r="BS56" s="1870"/>
      <c r="BT56" s="1870"/>
      <c r="BU56" s="1869"/>
      <c r="BV56" s="1870"/>
      <c r="BW56" s="1871"/>
      <c r="BX56" s="1870"/>
      <c r="BY56" s="1870"/>
      <c r="BZ56" s="1870"/>
      <c r="CA56" s="1869"/>
      <c r="CB56" s="1870"/>
      <c r="CC56" s="1871"/>
      <c r="CD56" s="1870"/>
      <c r="CE56" s="1870"/>
      <c r="CF56" s="1870"/>
      <c r="CG56" s="1869"/>
      <c r="CH56" s="1870"/>
      <c r="CI56" s="1871"/>
      <c r="CJ56" s="1870"/>
      <c r="CK56" s="1870"/>
      <c r="CL56" s="1870"/>
      <c r="CM56" s="1869"/>
      <c r="CN56" s="831"/>
      <c r="CO56" s="831"/>
      <c r="CP56" s="831"/>
      <c r="CQ56" s="831"/>
      <c r="CR56" s="831"/>
      <c r="CS56" s="831"/>
      <c r="CT56" s="831"/>
      <c r="CU56" s="831"/>
      <c r="CV56" s="831"/>
      <c r="CW56" s="831"/>
      <c r="CX56" s="831"/>
      <c r="CY56" s="831"/>
      <c r="CZ56" s="831"/>
      <c r="DB56" s="831"/>
      <c r="DC56" s="831"/>
      <c r="DD56" s="831"/>
      <c r="DE56" s="831"/>
      <c r="DF56" s="831"/>
      <c r="DG56" s="831"/>
      <c r="DH56" s="831"/>
      <c r="DI56" s="831"/>
      <c r="DJ56" s="831"/>
      <c r="DK56" s="831"/>
      <c r="DL56" s="831"/>
      <c r="EA56" s="831"/>
      <c r="EB56" s="831"/>
    </row>
    <row r="57" spans="1:132">
      <c r="A57" s="227"/>
      <c r="B57" s="227"/>
      <c r="C57" s="227"/>
      <c r="D57" s="227"/>
      <c r="AG57" s="869"/>
      <c r="BA57" s="831"/>
      <c r="BB57" s="831"/>
      <c r="BC57" s="869"/>
      <c r="CN57" s="831"/>
      <c r="CO57" s="831"/>
      <c r="CP57" s="831"/>
      <c r="CQ57" s="831"/>
      <c r="CR57" s="831"/>
      <c r="CS57" s="831"/>
      <c r="CT57" s="831"/>
      <c r="CU57" s="831"/>
      <c r="CV57" s="831"/>
      <c r="CW57" s="831"/>
      <c r="CX57" s="831"/>
      <c r="CY57" s="831"/>
      <c r="CZ57" s="831"/>
      <c r="DA57" s="831"/>
      <c r="DB57" s="831"/>
      <c r="DC57" s="831"/>
      <c r="DD57" s="831"/>
      <c r="DE57" s="831"/>
      <c r="DF57" s="831"/>
      <c r="DG57" s="831"/>
      <c r="DH57" s="831"/>
      <c r="DI57" s="831"/>
      <c r="DJ57" s="831"/>
      <c r="DK57" s="831"/>
      <c r="DL57" s="831"/>
      <c r="EA57" s="831"/>
      <c r="EB57" s="831"/>
    </row>
    <row r="58" spans="1:132">
      <c r="A58" s="1796" t="s">
        <v>527</v>
      </c>
      <c r="B58" s="938"/>
      <c r="C58" s="938"/>
      <c r="D58" s="938"/>
      <c r="E58" s="938"/>
      <c r="F58" s="938"/>
      <c r="G58" s="938"/>
      <c r="H58" s="938"/>
      <c r="I58" s="938"/>
      <c r="J58" s="938"/>
      <c r="K58" s="938"/>
      <c r="L58" s="938"/>
      <c r="M58" s="938"/>
      <c r="N58" s="938"/>
      <c r="O58" s="938"/>
      <c r="P58" s="938"/>
      <c r="Q58" s="938"/>
      <c r="R58" s="938"/>
      <c r="S58" s="938"/>
      <c r="T58" s="938"/>
      <c r="U58" s="938"/>
      <c r="V58" s="938"/>
      <c r="W58" s="938"/>
      <c r="X58" s="938"/>
      <c r="Y58" s="938"/>
      <c r="Z58" s="938"/>
      <c r="AA58" s="938"/>
      <c r="AB58" s="938"/>
      <c r="AC58" s="938"/>
      <c r="AD58" s="938"/>
      <c r="AE58" s="938"/>
      <c r="AF58" s="938"/>
      <c r="AG58" s="938"/>
      <c r="AH58" s="938"/>
      <c r="AI58" s="938"/>
      <c r="AJ58" s="938"/>
      <c r="AK58" s="938"/>
      <c r="AL58" s="938"/>
      <c r="AM58" s="938"/>
      <c r="AN58" s="938"/>
      <c r="AO58" s="938"/>
      <c r="AP58" s="938"/>
      <c r="AQ58" s="938"/>
      <c r="AR58" s="938"/>
      <c r="AS58" s="1667"/>
      <c r="AT58" s="1655"/>
      <c r="AU58" s="1655"/>
      <c r="AV58" s="1655"/>
      <c r="AW58" s="938"/>
      <c r="AX58" s="938"/>
      <c r="AY58" s="938"/>
      <c r="AZ58" s="938"/>
      <c r="BA58" s="938"/>
      <c r="BB58" s="938"/>
      <c r="BC58" s="938"/>
      <c r="BD58" s="938"/>
      <c r="BE58" s="938"/>
      <c r="BF58" s="938"/>
      <c r="BG58" s="938"/>
      <c r="BH58" s="938"/>
      <c r="BI58" s="938"/>
      <c r="BJ58" s="938"/>
      <c r="BK58" s="938"/>
      <c r="BL58" s="938"/>
      <c r="BM58" s="938"/>
      <c r="BN58" s="938"/>
      <c r="BO58" s="938"/>
      <c r="BP58" s="938"/>
      <c r="BQ58" s="938"/>
      <c r="BR58" s="938"/>
      <c r="BS58" s="938"/>
      <c r="BT58" s="938"/>
      <c r="BU58" s="938"/>
      <c r="BV58" s="938"/>
      <c r="BW58" s="938"/>
      <c r="BX58" s="938"/>
      <c r="BY58" s="938"/>
      <c r="BZ58" s="938"/>
      <c r="CA58" s="938"/>
      <c r="CB58" s="938"/>
      <c r="CC58" s="938"/>
      <c r="CD58" s="938"/>
      <c r="CE58" s="938"/>
      <c r="CF58" s="938"/>
      <c r="CG58" s="938"/>
      <c r="CH58" s="938"/>
      <c r="CI58" s="938"/>
      <c r="CJ58" s="938"/>
      <c r="CK58" s="938"/>
      <c r="CL58" s="938"/>
      <c r="CM58" s="938"/>
    </row>
    <row r="59" spans="1:132" s="228" customFormat="1">
      <c r="A59" s="416" t="s">
        <v>26</v>
      </c>
      <c r="B59" s="417"/>
      <c r="C59" s="416"/>
      <c r="D59" s="417"/>
      <c r="E59" s="417"/>
      <c r="F59" s="417"/>
      <c r="G59" s="1650"/>
      <c r="H59" s="417"/>
      <c r="I59" s="416"/>
      <c r="J59" s="417"/>
      <c r="K59" s="417"/>
      <c r="L59" s="417"/>
      <c r="M59" s="1650"/>
      <c r="N59" s="417"/>
      <c r="O59" s="416"/>
      <c r="P59" s="417"/>
      <c r="Q59" s="417"/>
      <c r="R59" s="417"/>
      <c r="S59" s="1650"/>
      <c r="T59" s="417"/>
      <c r="U59" s="416"/>
      <c r="V59" s="417"/>
      <c r="W59" s="417"/>
      <c r="X59" s="417"/>
      <c r="Y59" s="1650"/>
      <c r="Z59" s="417"/>
      <c r="AA59" s="1651">
        <v>87.689610000000002</v>
      </c>
      <c r="AB59" s="1652">
        <v>94.681408000000005</v>
      </c>
      <c r="AC59" s="1652">
        <v>85.516353199999969</v>
      </c>
      <c r="AD59" s="1652">
        <v>94.727183999999994</v>
      </c>
      <c r="AE59" s="1653">
        <f>SUM(AA59:AD59)</f>
        <v>362.61455519999993</v>
      </c>
      <c r="AF59" s="417"/>
      <c r="AG59" s="1651">
        <f>AA59*(1+AG60)</f>
        <v>91.197194400000001</v>
      </c>
      <c r="AH59" s="1652">
        <f>AB59*(1+AH60)</f>
        <v>102.06655782400001</v>
      </c>
      <c r="AI59" s="1652">
        <f>AC59*(1+AI60)</f>
        <v>89.79217085999997</v>
      </c>
      <c r="AJ59" s="1654">
        <f>AD59*(1+AJ60)</f>
        <v>104.1999024</v>
      </c>
      <c r="AK59" s="1653">
        <f>SUM(AG59:AJ59)</f>
        <v>387.25582548400001</v>
      </c>
      <c r="AL59" s="417"/>
      <c r="AM59" s="1651">
        <f>AG59*(1+AM60)</f>
        <v>94.662687787199999</v>
      </c>
      <c r="AN59" s="1652">
        <f>AH59*(1+AN60)</f>
        <v>110.43601556556803</v>
      </c>
      <c r="AO59" s="1652">
        <f>AI59*(1+AO60)</f>
        <v>95.179701111599968</v>
      </c>
      <c r="AP59" s="1654">
        <f>AJ59*(1+AP60)</f>
        <v>107.325899472</v>
      </c>
      <c r="AQ59" s="1653">
        <f>SUM(AM59:AP59)</f>
        <v>407.60430393636801</v>
      </c>
      <c r="AR59" s="1380"/>
      <c r="AS59" s="1651">
        <f>AM59*(1+AS60)</f>
        <v>105.7382222583024</v>
      </c>
      <c r="AT59" s="1652">
        <f>AN59*(1+AT60)</f>
        <v>117.28304853063325</v>
      </c>
      <c r="AU59" s="1652">
        <f>AO59*(1+AU60)</f>
        <v>103.93623361386717</v>
      </c>
      <c r="AV59" s="1654">
        <f>AP59*(1+AV60)</f>
        <v>120.312333308112</v>
      </c>
      <c r="AW59" s="1653">
        <f>SUM(AS59:AV59)</f>
        <v>447.26983771091483</v>
      </c>
      <c r="AX59" s="417"/>
      <c r="AY59" s="1651">
        <f>AS59*(1+AY60)</f>
        <v>104.89624085732071</v>
      </c>
      <c r="AZ59" s="1652">
        <f>AT59*(1+AZ60)</f>
        <v>125.41024627541498</v>
      </c>
      <c r="BA59" s="1652">
        <f>AU59*(1+BA60)</f>
        <v>116.76224807072079</v>
      </c>
      <c r="BB59" s="1652">
        <f>AV59*(1+BB60)</f>
        <v>107.23399123358355</v>
      </c>
      <c r="BC59" s="1653">
        <f>SUM(AY59:BB59)</f>
        <v>454.30272643704001</v>
      </c>
      <c r="BD59" s="417"/>
      <c r="BE59" s="1651">
        <f>AY59*(1+BE60)</f>
        <v>105.02225516158823</v>
      </c>
      <c r="BF59" s="1652">
        <f>AZ59*(1+BF60)</f>
        <v>129.7996048950545</v>
      </c>
      <c r="BG59" s="1652">
        <f>BA59*(1+BG60)</f>
        <v>118.19410091249449</v>
      </c>
      <c r="BH59" s="1654">
        <f>BB59*(1+BH60)</f>
        <v>108.28254851002437</v>
      </c>
      <c r="BI59" s="1653">
        <f>SUM(BE59:BH59)</f>
        <v>461.29850947916157</v>
      </c>
      <c r="BJ59" s="417"/>
      <c r="BK59" s="1651">
        <f>BE59*(1+BK60)</f>
        <v>107.10200684208262</v>
      </c>
      <c r="BL59" s="1652">
        <f>BF59*(1+BL60)</f>
        <v>130.21341345062854</v>
      </c>
      <c r="BM59" s="1652">
        <f>BG59*(1+BM60)</f>
        <v>126.46768797636911</v>
      </c>
      <c r="BN59" s="1654">
        <f>BH59*(1+BN60)</f>
        <v>116.94515239082632</v>
      </c>
      <c r="BO59" s="1653">
        <f>SUM(BK59:BN59)</f>
        <v>480.7282606599066</v>
      </c>
      <c r="BP59" s="417"/>
      <c r="BQ59" s="1651">
        <f>BK59*(1+BQ60)</f>
        <v>111.92159714997632</v>
      </c>
      <c r="BR59" s="1652">
        <f>BL59*(1+BR60)</f>
        <v>136.72408412315997</v>
      </c>
      <c r="BS59" s="1652">
        <f>BM59*(1+BS60)</f>
        <v>132.15873393530572</v>
      </c>
      <c r="BT59" s="1654">
        <f>BN59*(1+BT60)</f>
        <v>121.03823272450524</v>
      </c>
      <c r="BU59" s="1653">
        <f>SUM(BQ59:BT59)</f>
        <v>501.84264793294727</v>
      </c>
      <c r="BV59" s="417"/>
      <c r="BW59" s="1651">
        <f>BQ59*(1+BW60)</f>
        <v>116.39846103597537</v>
      </c>
      <c r="BX59" s="1652">
        <f>BR59*(1+BX60)</f>
        <v>142.19304748808636</v>
      </c>
      <c r="BY59" s="1652">
        <f>BS59*(1+BY60)</f>
        <v>137.44508329271795</v>
      </c>
      <c r="BZ59" s="1654">
        <f>BT59*(1+BZ60)</f>
        <v>125.87976203348545</v>
      </c>
      <c r="CA59" s="1653">
        <f>SUM(BW59:BZ59)</f>
        <v>521.91635385026518</v>
      </c>
      <c r="CB59" s="417"/>
      <c r="CC59" s="1651">
        <f>BW59*(1+CC60)</f>
        <v>119.89041486705463</v>
      </c>
      <c r="CD59" s="1652">
        <f>BX59*(1+CD60)</f>
        <v>146.45883891272896</v>
      </c>
      <c r="CE59" s="1652">
        <f>BY59*(1+CE60)</f>
        <v>141.5684357914995</v>
      </c>
      <c r="CF59" s="1654">
        <f>BZ59*(1+CF60)</f>
        <v>129.65615489449002</v>
      </c>
      <c r="CG59" s="1653">
        <f>SUM(CC59:CF59)</f>
        <v>537.57384446577305</v>
      </c>
      <c r="CH59" s="417"/>
      <c r="CI59" s="1651">
        <f>CC59*(1+CI60)</f>
        <v>123.48712731306627</v>
      </c>
      <c r="CJ59" s="1652">
        <f>CD59*(1+CJ60)</f>
        <v>150.85260408011084</v>
      </c>
      <c r="CK59" s="1652">
        <f>CE59*(1+CK60)</f>
        <v>145.81548886524448</v>
      </c>
      <c r="CL59" s="1654">
        <f>CF59*(1+CL60)</f>
        <v>133.54583954132471</v>
      </c>
      <c r="CM59" s="1653">
        <f>SUM(CI59:CL59)</f>
        <v>553.70105979974619</v>
      </c>
      <c r="CN59" s="862"/>
      <c r="CO59" s="862"/>
      <c r="CP59" s="862"/>
      <c r="CQ59" s="862"/>
      <c r="CR59" s="862"/>
      <c r="CS59" s="862"/>
      <c r="CT59" s="862"/>
      <c r="CU59" s="862"/>
      <c r="CV59" s="862"/>
      <c r="CW59" s="862"/>
      <c r="CX59" s="862"/>
      <c r="CY59" s="862"/>
      <c r="CZ59" s="862"/>
      <c r="DB59" s="862"/>
      <c r="DC59" s="862"/>
      <c r="DD59" s="862"/>
      <c r="DE59" s="862"/>
      <c r="DF59" s="862"/>
      <c r="DG59" s="862"/>
      <c r="DH59" s="862"/>
      <c r="DI59" s="862"/>
      <c r="DJ59" s="862"/>
      <c r="DK59" s="862"/>
      <c r="DL59" s="862"/>
      <c r="EA59" s="862"/>
      <c r="EB59" s="862"/>
    </row>
    <row r="60" spans="1:132">
      <c r="A60" s="1840" t="s">
        <v>579</v>
      </c>
      <c r="B60" s="227"/>
      <c r="C60" s="463"/>
      <c r="D60" s="227"/>
      <c r="E60" s="227"/>
      <c r="F60" s="227"/>
      <c r="G60" s="891"/>
      <c r="H60" s="227"/>
      <c r="I60" s="463"/>
      <c r="J60" s="227"/>
      <c r="K60" s="227"/>
      <c r="L60" s="227"/>
      <c r="M60" s="891"/>
      <c r="N60" s="227"/>
      <c r="O60" s="463"/>
      <c r="P60" s="227"/>
      <c r="Q60" s="227"/>
      <c r="R60" s="227"/>
      <c r="S60" s="891"/>
      <c r="T60" s="227"/>
      <c r="U60" s="463"/>
      <c r="V60" s="227"/>
      <c r="W60" s="227"/>
      <c r="X60" s="227"/>
      <c r="Y60" s="891"/>
      <c r="Z60" s="227"/>
      <c r="AA60" s="463"/>
      <c r="AB60" s="227"/>
      <c r="AC60" s="227"/>
      <c r="AD60" s="227"/>
      <c r="AE60" s="891"/>
      <c r="AF60" s="227"/>
      <c r="AG60" s="904">
        <v>0.04</v>
      </c>
      <c r="AH60" s="905">
        <v>7.8E-2</v>
      </c>
      <c r="AI60" s="905">
        <v>0.05</v>
      </c>
      <c r="AJ60" s="991">
        <v>0.1</v>
      </c>
      <c r="AK60" s="850">
        <f>AK59/AE59-1</f>
        <v>6.7954443445904067E-2</v>
      </c>
      <c r="AL60" s="227"/>
      <c r="AM60" s="904">
        <v>3.7999999999999999E-2</v>
      </c>
      <c r="AN60" s="905">
        <v>8.2000000000000003E-2</v>
      </c>
      <c r="AO60" s="905">
        <v>0.06</v>
      </c>
      <c r="AP60" s="991">
        <v>0.03</v>
      </c>
      <c r="AQ60" s="850">
        <f>AQ59/AK59-1</f>
        <v>5.254531271914642E-2</v>
      </c>
      <c r="AR60" s="1380"/>
      <c r="AS60" s="904">
        <v>0.11700000000000001</v>
      </c>
      <c r="AT60" s="905">
        <v>6.2E-2</v>
      </c>
      <c r="AU60" s="905">
        <v>9.1999999999999998E-2</v>
      </c>
      <c r="AV60" s="1669">
        <v>0.121</v>
      </c>
      <c r="AW60" s="850">
        <f>AW59/AQ59-1</f>
        <v>9.7313824686058981E-2</v>
      </c>
      <c r="AX60" s="227"/>
      <c r="AY60" s="1674">
        <v>-7.9628859176851009E-3</v>
      </c>
      <c r="AZ60" s="1649">
        <v>6.9295587440830864E-2</v>
      </c>
      <c r="BA60" s="1649">
        <v>0.12340272502564834</v>
      </c>
      <c r="BB60" s="1649">
        <v>-0.10870325356450096</v>
      </c>
      <c r="BC60" s="861">
        <f>BC59/AW59-1</f>
        <v>1.5724039792441191E-2</v>
      </c>
      <c r="BD60" s="227"/>
      <c r="BE60" s="904">
        <v>1.2013233576112555E-3</v>
      </c>
      <c r="BF60" s="902">
        <v>3.5000000000000003E-2</v>
      </c>
      <c r="BG60" s="902">
        <v>1.2262977678422564E-2</v>
      </c>
      <c r="BH60" s="1669">
        <v>9.7782173765852652E-3</v>
      </c>
      <c r="BI60" s="850">
        <f>BI59/BC59-1</f>
        <v>1.539894575801326E-2</v>
      </c>
      <c r="BJ60" s="227"/>
      <c r="BK60" s="904">
        <v>1.9802961546526037E-2</v>
      </c>
      <c r="BL60" s="905">
        <v>3.1880571278211575E-3</v>
      </c>
      <c r="BM60" s="905">
        <v>7.0000000000000007E-2</v>
      </c>
      <c r="BN60" s="991">
        <v>0.08</v>
      </c>
      <c r="BO60" s="850">
        <f>BO59/BI59-1</f>
        <v>4.2119692089797933E-2</v>
      </c>
      <c r="BP60" s="227"/>
      <c r="BQ60" s="904">
        <v>4.4999999999999998E-2</v>
      </c>
      <c r="BR60" s="905">
        <v>0.05</v>
      </c>
      <c r="BS60" s="905">
        <v>4.4999999999999998E-2</v>
      </c>
      <c r="BT60" s="991">
        <v>3.5000000000000003E-2</v>
      </c>
      <c r="BU60" s="850">
        <f t="shared" ref="BU60" si="79">BU59/BO59-1</f>
        <v>4.3921668437084449E-2</v>
      </c>
      <c r="BV60" s="227"/>
      <c r="BW60" s="904">
        <v>0.04</v>
      </c>
      <c r="BX60" s="905">
        <v>0.04</v>
      </c>
      <c r="BY60" s="905">
        <v>0.04</v>
      </c>
      <c r="BZ60" s="991">
        <v>0.04</v>
      </c>
      <c r="CA60" s="850">
        <f t="shared" ref="CA60" si="80">CA59/BU59-1</f>
        <v>4.0000000000000036E-2</v>
      </c>
      <c r="CB60" s="227"/>
      <c r="CC60" s="904">
        <v>0.03</v>
      </c>
      <c r="CD60" s="905">
        <v>0.03</v>
      </c>
      <c r="CE60" s="905">
        <v>0.03</v>
      </c>
      <c r="CF60" s="991">
        <v>0.03</v>
      </c>
      <c r="CG60" s="850">
        <f t="shared" ref="CG60" si="81">CG59/CA59-1</f>
        <v>2.9999999999999805E-2</v>
      </c>
      <c r="CH60" s="227"/>
      <c r="CI60" s="904">
        <v>0.03</v>
      </c>
      <c r="CJ60" s="905">
        <v>0.03</v>
      </c>
      <c r="CK60" s="905">
        <v>0.03</v>
      </c>
      <c r="CL60" s="991">
        <v>0.03</v>
      </c>
      <c r="CM60" s="850">
        <f t="shared" ref="CM60" si="82">CM59/CG59-1</f>
        <v>2.9999999999999805E-2</v>
      </c>
      <c r="CN60" s="831"/>
      <c r="CO60" s="831"/>
      <c r="CP60" s="831"/>
      <c r="CQ60" s="831"/>
      <c r="CR60" s="831"/>
      <c r="CS60" s="831"/>
      <c r="CT60" s="831"/>
      <c r="CU60" s="831"/>
      <c r="CV60" s="831"/>
      <c r="CW60" s="831"/>
      <c r="CX60" s="831"/>
      <c r="CY60" s="831"/>
      <c r="CZ60" s="831"/>
      <c r="DB60" s="831"/>
      <c r="DC60" s="831"/>
      <c r="DD60" s="831"/>
      <c r="DE60" s="831"/>
      <c r="DF60" s="831"/>
      <c r="DG60" s="831"/>
      <c r="DH60" s="831"/>
      <c r="DI60" s="831"/>
      <c r="DJ60" s="831"/>
      <c r="DK60" s="831"/>
      <c r="DL60" s="831"/>
      <c r="EA60" s="831"/>
      <c r="EB60" s="831"/>
    </row>
    <row r="61" spans="1:132">
      <c r="A61" s="463" t="s">
        <v>215</v>
      </c>
      <c r="B61" s="227"/>
      <c r="C61" s="463"/>
      <c r="D61" s="227"/>
      <c r="E61" s="227"/>
      <c r="F61" s="227"/>
      <c r="G61" s="891"/>
      <c r="H61" s="227"/>
      <c r="I61" s="463"/>
      <c r="J61" s="227"/>
      <c r="K61" s="227"/>
      <c r="L61" s="227"/>
      <c r="M61" s="891"/>
      <c r="N61" s="227"/>
      <c r="O61" s="463"/>
      <c r="P61" s="227"/>
      <c r="Q61" s="227"/>
      <c r="R61" s="227"/>
      <c r="S61" s="891"/>
      <c r="T61" s="227"/>
      <c r="U61" s="463"/>
      <c r="V61" s="227"/>
      <c r="W61" s="227"/>
      <c r="X61" s="227"/>
      <c r="Y61" s="891"/>
      <c r="Z61" s="227"/>
      <c r="AA61" s="602">
        <v>93.947490000000002</v>
      </c>
      <c r="AB61" s="621">
        <v>98.506156000000004</v>
      </c>
      <c r="AC61" s="621">
        <v>94.51478680000001</v>
      </c>
      <c r="AD61" s="621">
        <v>107.448258</v>
      </c>
      <c r="AE61" s="419">
        <f>SUM(AA61:AD61)</f>
        <v>394.41669080000003</v>
      </c>
      <c r="AF61" s="227"/>
      <c r="AG61" s="420">
        <f>AA61*(1+AG62)</f>
        <v>97.705389600000004</v>
      </c>
      <c r="AH61" s="421">
        <f>AB61*(1+AH62)</f>
        <v>100.279266808</v>
      </c>
      <c r="AI61" s="421">
        <f>AC61*(1+AI62)</f>
        <v>94.51478680000001</v>
      </c>
      <c r="AJ61" s="992">
        <f>AD61*(1+AJ62)</f>
        <v>106.91101671</v>
      </c>
      <c r="AK61" s="419">
        <f>SUM(AG61:AJ61)</f>
        <v>399.41045991800002</v>
      </c>
      <c r="AL61" s="227"/>
      <c r="AM61" s="420">
        <f>AG61*(1+AM62)</f>
        <v>94.578817132799998</v>
      </c>
      <c r="AN61" s="421">
        <f>AH61*(1+AN62)</f>
        <v>98.474240005455997</v>
      </c>
      <c r="AO61" s="421">
        <f>AI61*(1+AO62)</f>
        <v>97.350230404000015</v>
      </c>
      <c r="AP61" s="992">
        <f>AJ61*(1+AP62)</f>
        <v>103.81469953050009</v>
      </c>
      <c r="AQ61" s="419">
        <f>SUM(AM61:AP61)</f>
        <v>394.2179870727561</v>
      </c>
      <c r="AR61" s="1380"/>
      <c r="AS61" s="420">
        <f>AM61*(1+AS62)</f>
        <v>95.7137629383936</v>
      </c>
      <c r="AT61" s="421">
        <f>AN61*(1+AT62)</f>
        <v>98.671188485466914</v>
      </c>
      <c r="AU61" s="421">
        <f>AO61*(1+AU62)</f>
        <v>100.46543777692801</v>
      </c>
      <c r="AV61" s="992">
        <f>AP61*(1+AV62)</f>
        <v>111.70461669481811</v>
      </c>
      <c r="AW61" s="419">
        <f>SUM(AS61:AV61)</f>
        <v>406.55500589560666</v>
      </c>
      <c r="AX61" s="227"/>
      <c r="AY61" s="870">
        <f>AS61*(1+AY62)</f>
        <v>97.628038197161473</v>
      </c>
      <c r="AZ61" s="1058">
        <f>AT61*(1+AZ62)</f>
        <v>101.63132414003093</v>
      </c>
      <c r="BA61" s="1058">
        <f>AU61*(1+BA62)</f>
        <v>105.48870966577442</v>
      </c>
      <c r="BB61" s="1668">
        <f>AV61*(1+BB62)</f>
        <v>116.73132444608493</v>
      </c>
      <c r="BC61" s="419">
        <f>SUM(AY61:BB61)</f>
        <v>421.47939644905171</v>
      </c>
      <c r="BD61" s="227"/>
      <c r="BE61" s="420">
        <f>AY61*(1+BE62)</f>
        <v>102.50944010701956</v>
      </c>
      <c r="BF61" s="1058">
        <f>AZ61*(1+BF62)</f>
        <v>103.1277669228915</v>
      </c>
      <c r="BG61" s="1058">
        <f>BA61*(1+BG62)</f>
        <v>92.30262095755262</v>
      </c>
      <c r="BH61" s="1668">
        <f>BB61*(1+BH62)</f>
        <v>105.05819200147644</v>
      </c>
      <c r="BI61" s="419">
        <f>SUM(BE61:BH61)</f>
        <v>402.99801998894009</v>
      </c>
      <c r="BJ61" s="227"/>
      <c r="BK61" s="420">
        <f>BE61*(1+BK62)</f>
        <v>106.60981771130034</v>
      </c>
      <c r="BL61" s="421">
        <f>BF61*(1+BL62)</f>
        <v>103.64340575750595</v>
      </c>
      <c r="BM61" s="421">
        <f>BG61*(1+BM62)</f>
        <v>96.456238900642475</v>
      </c>
      <c r="BN61" s="992">
        <f>BH61*(1+BN62)</f>
        <v>120.8169208016979</v>
      </c>
      <c r="BO61" s="419">
        <f>SUM(BK61:BN61)</f>
        <v>427.52638317114668</v>
      </c>
      <c r="BP61" s="227"/>
      <c r="BQ61" s="420">
        <f>BK61*(1+BQ62)</f>
        <v>116.20470130531737</v>
      </c>
      <c r="BR61" s="421">
        <f>BL61*(1+BR62)</f>
        <v>112.97131227568148</v>
      </c>
      <c r="BS61" s="421">
        <f>BM61*(1+BS62)</f>
        <v>102.24361323468104</v>
      </c>
      <c r="BT61" s="992">
        <f>BN61*(1+BT62)</f>
        <v>125.64959763376582</v>
      </c>
      <c r="BU61" s="419">
        <f>SUM(BQ61:BT61)</f>
        <v>457.06922444944576</v>
      </c>
      <c r="BV61" s="227"/>
      <c r="BW61" s="420">
        <f>BQ61*(1+BW62)</f>
        <v>123.17698338363643</v>
      </c>
      <c r="BX61" s="421">
        <f>BR61*(1+BX62)</f>
        <v>119.74959101222238</v>
      </c>
      <c r="BY61" s="421">
        <f>BS61*(1+BY62)</f>
        <v>108.37823002876191</v>
      </c>
      <c r="BZ61" s="992">
        <f>BT61*(1+BZ62)</f>
        <v>133.18857349179177</v>
      </c>
      <c r="CA61" s="419">
        <f>SUM(BW61:BZ61)</f>
        <v>484.4933779164125</v>
      </c>
      <c r="CB61" s="227"/>
      <c r="CC61" s="420">
        <f>BW61*(1+CC62)</f>
        <v>126.87229288514553</v>
      </c>
      <c r="CD61" s="421">
        <f>BX61*(1+CD62)</f>
        <v>123.34207874258905</v>
      </c>
      <c r="CE61" s="421">
        <f>BY61*(1+CE62)</f>
        <v>111.62957692962476</v>
      </c>
      <c r="CF61" s="992">
        <f>BZ61*(1+CF62)</f>
        <v>137.18423069654554</v>
      </c>
      <c r="CG61" s="419">
        <f>SUM(CC61:CF61)</f>
        <v>499.02817925390491</v>
      </c>
      <c r="CH61" s="227"/>
      <c r="CI61" s="420">
        <f>CC61*(1+CI62)</f>
        <v>130.67846167169989</v>
      </c>
      <c r="CJ61" s="421">
        <f>CD61*(1+CJ62)</f>
        <v>127.04234110486672</v>
      </c>
      <c r="CK61" s="421">
        <f>CE61*(1+CK62)</f>
        <v>114.97846423751351</v>
      </c>
      <c r="CL61" s="992">
        <f>CF61*(1+CL62)</f>
        <v>141.29975761744191</v>
      </c>
      <c r="CM61" s="419">
        <f>SUM(CI61:CL61)</f>
        <v>513.99902463152205</v>
      </c>
      <c r="CN61" s="831"/>
      <c r="CO61" s="831"/>
      <c r="CP61" s="831"/>
      <c r="CQ61" s="831"/>
      <c r="CR61" s="831"/>
      <c r="CS61" s="831"/>
      <c r="CT61" s="831"/>
      <c r="CU61" s="831"/>
      <c r="CV61" s="831"/>
      <c r="CW61" s="831"/>
      <c r="CX61" s="831"/>
      <c r="CY61" s="831"/>
      <c r="CZ61" s="831"/>
      <c r="DB61" s="831"/>
      <c r="DC61" s="831"/>
      <c r="DD61" s="831"/>
      <c r="DE61" s="831"/>
      <c r="DF61" s="831"/>
      <c r="DG61" s="831"/>
      <c r="DH61" s="831"/>
      <c r="DI61" s="831"/>
      <c r="DJ61" s="831"/>
      <c r="DK61" s="831"/>
      <c r="DL61" s="831"/>
      <c r="EA61" s="831"/>
      <c r="EB61" s="831"/>
    </row>
    <row r="62" spans="1:132">
      <c r="A62" s="1840" t="s">
        <v>579</v>
      </c>
      <c r="B62" s="227"/>
      <c r="C62" s="463"/>
      <c r="D62" s="227"/>
      <c r="E62" s="227"/>
      <c r="F62" s="227"/>
      <c r="G62" s="891"/>
      <c r="H62" s="227"/>
      <c r="I62" s="463"/>
      <c r="J62" s="227"/>
      <c r="K62" s="227"/>
      <c r="L62" s="227"/>
      <c r="M62" s="891"/>
      <c r="N62" s="227"/>
      <c r="O62" s="463"/>
      <c r="P62" s="227"/>
      <c r="Q62" s="227"/>
      <c r="R62" s="227"/>
      <c r="S62" s="891"/>
      <c r="T62" s="227"/>
      <c r="U62" s="463"/>
      <c r="V62" s="227"/>
      <c r="W62" s="227"/>
      <c r="X62" s="227"/>
      <c r="Y62" s="891"/>
      <c r="Z62" s="227"/>
      <c r="AA62" s="463"/>
      <c r="AB62" s="227"/>
      <c r="AC62" s="227"/>
      <c r="AD62" s="227"/>
      <c r="AE62" s="891"/>
      <c r="AF62" s="227"/>
      <c r="AG62" s="904">
        <v>0.04</v>
      </c>
      <c r="AH62" s="905">
        <v>1.7999999999999999E-2</v>
      </c>
      <c r="AI62" s="905">
        <v>0</v>
      </c>
      <c r="AJ62" s="991">
        <v>-5.0000000000000001E-3</v>
      </c>
      <c r="AK62" s="850">
        <f>AK61/AE61-1</f>
        <v>1.2661150591449566E-2</v>
      </c>
      <c r="AL62" s="227"/>
      <c r="AM62" s="904">
        <v>-3.2000000000000001E-2</v>
      </c>
      <c r="AN62" s="905">
        <v>-1.7999999999999999E-2</v>
      </c>
      <c r="AO62" s="905">
        <v>0.03</v>
      </c>
      <c r="AP62" s="991">
        <v>-2.8961628789844655E-2</v>
      </c>
      <c r="AQ62" s="850">
        <f>AQ61/AK61-1</f>
        <v>-1.3000342670820286E-2</v>
      </c>
      <c r="AR62" s="1380"/>
      <c r="AS62" s="904">
        <v>1.2E-2</v>
      </c>
      <c r="AT62" s="905">
        <v>2E-3</v>
      </c>
      <c r="AU62" s="905">
        <v>3.2000000000000001E-2</v>
      </c>
      <c r="AV62" s="991">
        <v>7.5999999999999998E-2</v>
      </c>
      <c r="AW62" s="850">
        <f>AW61/AQ61-1</f>
        <v>3.1294916080462087E-2</v>
      </c>
      <c r="AX62" s="227"/>
      <c r="AY62" s="901">
        <v>0.02</v>
      </c>
      <c r="AZ62" s="902">
        <v>0.03</v>
      </c>
      <c r="BA62" s="902">
        <v>0.05</v>
      </c>
      <c r="BB62" s="1669">
        <v>4.4999999999999998E-2</v>
      </c>
      <c r="BC62" s="850">
        <f>BC61/AW61-1</f>
        <v>3.6709400541183435E-2</v>
      </c>
      <c r="BD62" s="227"/>
      <c r="BE62" s="904">
        <v>0.05</v>
      </c>
      <c r="BF62" s="902">
        <v>1.4724227943726471E-2</v>
      </c>
      <c r="BG62" s="1649">
        <v>-0.125</v>
      </c>
      <c r="BH62" s="1649">
        <v>-0.1</v>
      </c>
      <c r="BI62" s="850">
        <f>BI61/BC61-1</f>
        <v>-4.3848825389370183E-2</v>
      </c>
      <c r="BJ62" s="227"/>
      <c r="BK62" s="904">
        <v>0.04</v>
      </c>
      <c r="BL62" s="905">
        <v>5.0000000000000001E-3</v>
      </c>
      <c r="BM62" s="905">
        <v>4.4999999999999998E-2</v>
      </c>
      <c r="BN62" s="991">
        <v>0.15</v>
      </c>
      <c r="BO62" s="850">
        <f>BO61/BI61-1</f>
        <v>6.0864723809014531E-2</v>
      </c>
      <c r="BP62" s="227"/>
      <c r="BQ62" s="904">
        <v>0.09</v>
      </c>
      <c r="BR62" s="905">
        <v>0.09</v>
      </c>
      <c r="BS62" s="905">
        <v>0.06</v>
      </c>
      <c r="BT62" s="991">
        <v>0.04</v>
      </c>
      <c r="BU62" s="850">
        <f>BU61/BO61-1</f>
        <v>6.9101796850915109E-2</v>
      </c>
      <c r="BV62" s="227"/>
      <c r="BW62" s="904">
        <v>0.06</v>
      </c>
      <c r="BX62" s="905">
        <v>0.06</v>
      </c>
      <c r="BY62" s="905">
        <v>0.06</v>
      </c>
      <c r="BZ62" s="991">
        <v>0.06</v>
      </c>
      <c r="CA62" s="850">
        <f t="shared" ref="CA62" si="83">CA61/BU61-1</f>
        <v>6.0000000000000053E-2</v>
      </c>
      <c r="CB62" s="227"/>
      <c r="CC62" s="904">
        <v>0.03</v>
      </c>
      <c r="CD62" s="905">
        <v>0.03</v>
      </c>
      <c r="CE62" s="905">
        <v>0.03</v>
      </c>
      <c r="CF62" s="991">
        <v>0.03</v>
      </c>
      <c r="CG62" s="850">
        <f t="shared" ref="CG62" si="84">CG61/CA61-1</f>
        <v>3.0000000000000027E-2</v>
      </c>
      <c r="CH62" s="227"/>
      <c r="CI62" s="904">
        <v>0.03</v>
      </c>
      <c r="CJ62" s="905">
        <v>0.03</v>
      </c>
      <c r="CK62" s="905">
        <v>0.03</v>
      </c>
      <c r="CL62" s="991">
        <v>0.03</v>
      </c>
      <c r="CM62" s="850">
        <f t="shared" ref="CM62" si="85">CM61/CG61-1</f>
        <v>3.0000000000000027E-2</v>
      </c>
      <c r="CN62" s="831"/>
      <c r="CO62" s="831"/>
      <c r="CP62" s="831"/>
      <c r="CQ62" s="831"/>
      <c r="CR62" s="831"/>
      <c r="CS62" s="831"/>
      <c r="CT62" s="831"/>
      <c r="CU62" s="831"/>
      <c r="CV62" s="831"/>
      <c r="CW62" s="831"/>
      <c r="CX62" s="831"/>
      <c r="CY62" s="831"/>
      <c r="CZ62" s="831"/>
      <c r="DA62" s="831"/>
      <c r="DB62" s="831"/>
      <c r="DC62" s="831"/>
      <c r="DD62" s="831"/>
      <c r="DE62" s="831"/>
      <c r="DF62" s="831"/>
      <c r="DG62" s="831"/>
      <c r="DH62" s="831"/>
      <c r="DI62" s="831"/>
      <c r="DJ62" s="831"/>
      <c r="DK62" s="831"/>
      <c r="DL62" s="831"/>
      <c r="EA62" s="831"/>
      <c r="EB62" s="831"/>
    </row>
    <row r="63" spans="1:132">
      <c r="A63" s="463" t="s">
        <v>216</v>
      </c>
      <c r="B63" s="227"/>
      <c r="C63" s="463"/>
      <c r="D63" s="227"/>
      <c r="E63" s="227"/>
      <c r="F63" s="227"/>
      <c r="G63" s="891"/>
      <c r="H63" s="227"/>
      <c r="I63" s="463"/>
      <c r="J63" s="227"/>
      <c r="K63" s="227"/>
      <c r="L63" s="227"/>
      <c r="M63" s="891"/>
      <c r="N63" s="227"/>
      <c r="O63" s="463"/>
      <c r="P63" s="227"/>
      <c r="Q63" s="227"/>
      <c r="R63" s="227"/>
      <c r="S63" s="891"/>
      <c r="T63" s="227"/>
      <c r="U63" s="463"/>
      <c r="V63" s="227"/>
      <c r="W63" s="227"/>
      <c r="X63" s="227"/>
      <c r="Y63" s="891"/>
      <c r="Z63" s="227"/>
      <c r="AA63" s="602">
        <v>44.736900000000006</v>
      </c>
      <c r="AB63" s="621">
        <v>45.128436000000001</v>
      </c>
      <c r="AC63" s="621">
        <v>41.656860000000002</v>
      </c>
      <c r="AD63" s="954">
        <v>52.062557999999996</v>
      </c>
      <c r="AE63" s="419">
        <f>SUM(AA63:AD63)</f>
        <v>183.584754</v>
      </c>
      <c r="AF63" s="227"/>
      <c r="AG63" s="420">
        <f>AA63*(1+AG64)</f>
        <v>46.526376000000006</v>
      </c>
      <c r="AH63" s="421">
        <f>AB63*(1+AH64)</f>
        <v>44.180738843999997</v>
      </c>
      <c r="AI63" s="421">
        <f>AC63*(1+AI64)</f>
        <v>38.116026900000001</v>
      </c>
      <c r="AJ63" s="992">
        <f>AD63*(1+AJ64)</f>
        <v>46.335676619999994</v>
      </c>
      <c r="AK63" s="419">
        <f>SUM(AG63:AJ63)</f>
        <v>175.15881836399998</v>
      </c>
      <c r="AL63" s="227"/>
      <c r="AM63" s="420">
        <f>AG63*(1+AM64)</f>
        <v>38.85132523848808</v>
      </c>
      <c r="AN63" s="421">
        <f>AH63*(1+AN64)</f>
        <v>46.478137263888001</v>
      </c>
      <c r="AO63" s="421">
        <f>AI63*(1+AO64)</f>
        <v>39.259507707000004</v>
      </c>
      <c r="AP63" s="992">
        <f>AJ63*(1+AP64)</f>
        <v>48.189103684799996</v>
      </c>
      <c r="AQ63" s="419">
        <f>SUM(AM63:AP63)</f>
        <v>172.77807389417609</v>
      </c>
      <c r="AR63" s="1380"/>
      <c r="AS63" s="420">
        <f>AM63*(1+AS64)</f>
        <v>39.317541141349935</v>
      </c>
      <c r="AT63" s="421">
        <f>AN63*(1+AT64)</f>
        <v>46.571093538415781</v>
      </c>
      <c r="AU63" s="421">
        <f>AO63*(1+AU64)</f>
        <v>40.515811953624002</v>
      </c>
      <c r="AV63" s="992">
        <f>AP63*(1+AV64)</f>
        <v>49.682965899028794</v>
      </c>
      <c r="AW63" s="419">
        <f>SUM(AS63:AV63)</f>
        <v>176.08741253241851</v>
      </c>
      <c r="AX63" s="227"/>
      <c r="AY63" s="870">
        <f>AS63*(1+AY64)</f>
        <v>42.462944432657935</v>
      </c>
      <c r="AZ63" s="1058">
        <f>AT63*(1+AZ64)</f>
        <v>48.899648215336569</v>
      </c>
      <c r="BA63" s="1058">
        <f>AU63*(1+BA64)</f>
        <v>42.541602551305203</v>
      </c>
      <c r="BB63" s="1668">
        <f>AV63*(1+BB64)</f>
        <v>51.670284534989946</v>
      </c>
      <c r="BC63" s="419">
        <f>SUM(AY63:BB63)</f>
        <v>185.57447973428964</v>
      </c>
      <c r="BD63" s="227"/>
      <c r="BE63" s="420">
        <f>AY63*(1+BE64)</f>
        <v>41.189056099678197</v>
      </c>
      <c r="BF63" s="1058">
        <f>AZ63*(1+BF64)</f>
        <v>44.376430755417935</v>
      </c>
      <c r="BG63" s="1058">
        <f>BA63*(1+BG64)</f>
        <v>42.754310564061726</v>
      </c>
      <c r="BH63" s="1668">
        <f>BB63*(1+BH64)</f>
        <v>48.570067462890549</v>
      </c>
      <c r="BI63" s="419">
        <f>SUM(BE63:BH63)</f>
        <v>176.88986488204841</v>
      </c>
      <c r="BJ63" s="227"/>
      <c r="BK63" s="420">
        <f>BE63*(1+BK64)</f>
        <v>40.983110819179807</v>
      </c>
      <c r="BL63" s="1058">
        <f>BF63*(1+BL64)</f>
        <v>45.485841524303382</v>
      </c>
      <c r="BM63" s="1058">
        <f>BG63*(1+BM64)</f>
        <v>44.678254539444502</v>
      </c>
      <c r="BN63" s="1668">
        <f>BH63*(1+BN64)</f>
        <v>53.912774883808517</v>
      </c>
      <c r="BO63" s="419">
        <f>SUM(BK63:BN63)</f>
        <v>185.0599817667362</v>
      </c>
      <c r="BP63" s="227"/>
      <c r="BQ63" s="420">
        <f>BK63*(1+BQ64)</f>
        <v>45.081421901097791</v>
      </c>
      <c r="BR63" s="1058">
        <f>BL63*(1+BR64)</f>
        <v>49.124708846247657</v>
      </c>
      <c r="BS63" s="1058">
        <f>BM63*(1+BS64)</f>
        <v>46.018602175627841</v>
      </c>
      <c r="BT63" s="1668">
        <f>BN63*(1+BT64)</f>
        <v>53.373647134970433</v>
      </c>
      <c r="BU63" s="419">
        <f>SUM(BQ63:BT63)</f>
        <v>193.59838005794373</v>
      </c>
      <c r="BV63" s="227"/>
      <c r="BW63" s="420">
        <f>BQ63*(1+BW64)</f>
        <v>47.335492996152681</v>
      </c>
      <c r="BX63" s="1058">
        <f>BR63*(1+BX64)</f>
        <v>51.58094428856004</v>
      </c>
      <c r="BY63" s="1058">
        <f>BS63*(1+BY64)</f>
        <v>48.319532284409235</v>
      </c>
      <c r="BZ63" s="1668">
        <f>BT63*(1+BZ64)</f>
        <v>56.042329491718959</v>
      </c>
      <c r="CA63" s="419">
        <f>SUM(BW63:BZ63)</f>
        <v>203.27829906084091</v>
      </c>
      <c r="CB63" s="227"/>
      <c r="CC63" s="420">
        <f>BW63*(1+CC64)</f>
        <v>48.755557786037265</v>
      </c>
      <c r="CD63" s="1058">
        <f>BX63*(1+CD64)</f>
        <v>53.12837261721684</v>
      </c>
      <c r="CE63" s="1058">
        <f>BY63*(1+CE64)</f>
        <v>49.76911825294151</v>
      </c>
      <c r="CF63" s="1668">
        <f>BZ63*(1+CF64)</f>
        <v>57.723599376470531</v>
      </c>
      <c r="CG63" s="419">
        <f>SUM(CC63:CF63)</f>
        <v>209.37664803266614</v>
      </c>
      <c r="CH63" s="227"/>
      <c r="CI63" s="420">
        <f>CC63*(1+CI64)</f>
        <v>50.218224519618381</v>
      </c>
      <c r="CJ63" s="1058">
        <f>CD63*(1+CJ64)</f>
        <v>54.722223795733349</v>
      </c>
      <c r="CK63" s="1058">
        <f>CE63*(1+CK64)</f>
        <v>51.262191800529756</v>
      </c>
      <c r="CL63" s="1668">
        <f>CF63*(1+CL64)</f>
        <v>59.455307357764646</v>
      </c>
      <c r="CM63" s="419">
        <f>SUM(CI63:CL63)</f>
        <v>215.65794747364612</v>
      </c>
    </row>
    <row r="64" spans="1:132">
      <c r="A64" s="1840" t="s">
        <v>579</v>
      </c>
      <c r="B64" s="227"/>
      <c r="C64" s="463"/>
      <c r="D64" s="227"/>
      <c r="E64" s="227"/>
      <c r="F64" s="227"/>
      <c r="G64" s="891"/>
      <c r="H64" s="227"/>
      <c r="I64" s="463"/>
      <c r="J64" s="227"/>
      <c r="K64" s="227"/>
      <c r="L64" s="227"/>
      <c r="M64" s="891"/>
      <c r="N64" s="227"/>
      <c r="O64" s="463"/>
      <c r="P64" s="227"/>
      <c r="Q64" s="227"/>
      <c r="R64" s="227"/>
      <c r="S64" s="891"/>
      <c r="T64" s="227"/>
      <c r="U64" s="463"/>
      <c r="V64" s="227"/>
      <c r="W64" s="227"/>
      <c r="X64" s="227"/>
      <c r="Y64" s="891"/>
      <c r="Z64" s="227"/>
      <c r="AA64" s="463"/>
      <c r="AB64" s="227"/>
      <c r="AC64" s="227"/>
      <c r="AD64" s="227"/>
      <c r="AE64" s="891"/>
      <c r="AF64" s="227"/>
      <c r="AG64" s="904">
        <v>0.04</v>
      </c>
      <c r="AH64" s="905">
        <v>-2.1000000000000001E-2</v>
      </c>
      <c r="AI64" s="905">
        <v>-8.5000000000000006E-2</v>
      </c>
      <c r="AJ64" s="991">
        <v>-0.11</v>
      </c>
      <c r="AK64" s="850">
        <f>AK63/AE63-1</f>
        <v>-4.5896706847454283E-2</v>
      </c>
      <c r="AL64" s="227"/>
      <c r="AM64" s="904">
        <v>-0.16496128478848054</v>
      </c>
      <c r="AN64" s="905">
        <v>5.1999999999999998E-2</v>
      </c>
      <c r="AO64" s="905">
        <v>0.03</v>
      </c>
      <c r="AP64" s="991">
        <v>0.04</v>
      </c>
      <c r="AQ64" s="850">
        <f>AQ63/AK63-1</f>
        <v>-1.3591918991348928E-2</v>
      </c>
      <c r="AR64" s="1380"/>
      <c r="AS64" s="904">
        <v>1.2E-2</v>
      </c>
      <c r="AT64" s="905">
        <v>2E-3</v>
      </c>
      <c r="AU64" s="905">
        <v>3.2000000000000001E-2</v>
      </c>
      <c r="AV64" s="991">
        <v>3.1E-2</v>
      </c>
      <c r="AW64" s="850">
        <f>AW63/AQ63-1</f>
        <v>1.915369562615532E-2</v>
      </c>
      <c r="AX64" s="227"/>
      <c r="AY64" s="901">
        <v>0.08</v>
      </c>
      <c r="AZ64" s="902">
        <v>0.05</v>
      </c>
      <c r="BA64" s="902">
        <v>0.05</v>
      </c>
      <c r="BB64" s="1669">
        <v>0.04</v>
      </c>
      <c r="BC64" s="850">
        <f>BC63/AW63-1</f>
        <v>5.3877032238885958E-2</v>
      </c>
      <c r="BD64" s="227"/>
      <c r="BE64" s="904">
        <v>-0.03</v>
      </c>
      <c r="BF64" s="902">
        <v>-9.2499999999999999E-2</v>
      </c>
      <c r="BG64" s="902">
        <v>5.0000000000000001E-3</v>
      </c>
      <c r="BH64" s="902">
        <v>-0.06</v>
      </c>
      <c r="BI64" s="850">
        <f>BI63/BC63-1</f>
        <v>-4.6798540751271878E-2</v>
      </c>
      <c r="BJ64" s="227"/>
      <c r="BK64" s="904">
        <v>-5.0000000000000001E-3</v>
      </c>
      <c r="BL64" s="905">
        <v>2.5000000000000001E-2</v>
      </c>
      <c r="BM64" s="905">
        <v>4.4999999999999998E-2</v>
      </c>
      <c r="BN64" s="991">
        <v>0.11</v>
      </c>
      <c r="BO64" s="850">
        <f>BO63/BI63-1</f>
        <v>4.6187591867604683E-2</v>
      </c>
      <c r="BP64" s="227"/>
      <c r="BQ64" s="904">
        <v>0.1</v>
      </c>
      <c r="BR64" s="905">
        <v>0.08</v>
      </c>
      <c r="BS64" s="905">
        <v>0.03</v>
      </c>
      <c r="BT64" s="991">
        <v>-0.01</v>
      </c>
      <c r="BU64" s="850">
        <f>BU63/BO63-1</f>
        <v>4.6138544971705331E-2</v>
      </c>
      <c r="BV64" s="227"/>
      <c r="BW64" s="904">
        <v>0.05</v>
      </c>
      <c r="BX64" s="905">
        <v>0.05</v>
      </c>
      <c r="BY64" s="905">
        <v>0.05</v>
      </c>
      <c r="BZ64" s="991">
        <v>0.05</v>
      </c>
      <c r="CA64" s="850">
        <f>CA63/BU63-1</f>
        <v>5.0000000000000044E-2</v>
      </c>
      <c r="CB64" s="227"/>
      <c r="CC64" s="904">
        <v>0.03</v>
      </c>
      <c r="CD64" s="905">
        <v>0.03</v>
      </c>
      <c r="CE64" s="905">
        <v>0.03</v>
      </c>
      <c r="CF64" s="991">
        <v>0.03</v>
      </c>
      <c r="CG64" s="850">
        <f>CG63/CA63-1</f>
        <v>3.0000000000000027E-2</v>
      </c>
      <c r="CH64" s="227"/>
      <c r="CI64" s="904">
        <v>0.03</v>
      </c>
      <c r="CJ64" s="905">
        <v>0.03</v>
      </c>
      <c r="CK64" s="905">
        <v>0.03</v>
      </c>
      <c r="CL64" s="991">
        <v>0.03</v>
      </c>
      <c r="CM64" s="850">
        <f>CM63/CG63-1</f>
        <v>3.0000000000000027E-2</v>
      </c>
    </row>
    <row r="65" spans="1:132" s="228" customFormat="1">
      <c r="A65" s="1798" t="s">
        <v>213</v>
      </c>
      <c r="B65" s="353"/>
      <c r="C65" s="418"/>
      <c r="D65" s="353"/>
      <c r="E65" s="353"/>
      <c r="F65" s="353"/>
      <c r="G65" s="865"/>
      <c r="H65" s="353"/>
      <c r="I65" s="418"/>
      <c r="J65" s="353"/>
      <c r="K65" s="353"/>
      <c r="L65" s="353"/>
      <c r="M65" s="865"/>
      <c r="N65" s="353"/>
      <c r="O65" s="418"/>
      <c r="P65" s="353"/>
      <c r="Q65" s="353"/>
      <c r="R65" s="353"/>
      <c r="S65" s="865"/>
      <c r="T65" s="353"/>
      <c r="U65" s="418"/>
      <c r="V65" s="353"/>
      <c r="W65" s="353"/>
      <c r="X65" s="353"/>
      <c r="Y65" s="865"/>
      <c r="Z65" s="353"/>
      <c r="AA65" s="1020">
        <v>40</v>
      </c>
      <c r="AB65" s="1021">
        <v>36.6</v>
      </c>
      <c r="AC65" s="1021">
        <v>29.41</v>
      </c>
      <c r="AD65" s="1021">
        <v>45</v>
      </c>
      <c r="AE65" s="868">
        <f>SUM(AA65:AD65)</f>
        <v>151.01</v>
      </c>
      <c r="AF65" s="353"/>
      <c r="AG65" s="870">
        <f>AA65*(1+AG66)</f>
        <v>41.6</v>
      </c>
      <c r="AH65" s="1058">
        <f>AB65*(1+AH66)</f>
        <v>33.635400000000004</v>
      </c>
      <c r="AI65" s="1058">
        <f>AC65*(1+AI66)</f>
        <v>29.829591040000036</v>
      </c>
      <c r="AJ65" s="1058">
        <f>AD65*(1+AJ66)</f>
        <v>47.25</v>
      </c>
      <c r="AK65" s="868">
        <f>SUM(AG65:AJ65)</f>
        <v>152.31499104000005</v>
      </c>
      <c r="AL65" s="353"/>
      <c r="AM65" s="870">
        <f>AG65*(1+AM66)</f>
        <v>37.856000000000002</v>
      </c>
      <c r="AN65" s="1058">
        <f>AH65*(1+AN66)</f>
        <v>36.393502800000007</v>
      </c>
      <c r="AO65" s="1058">
        <f>AI65*(1+AO66)</f>
        <v>32.514254233600042</v>
      </c>
      <c r="AP65" s="1058">
        <f>AJ65*(1+AP66)</f>
        <v>47.722500000000004</v>
      </c>
      <c r="AQ65" s="868">
        <f>SUM(AM65:AP65)</f>
        <v>154.48625703360005</v>
      </c>
      <c r="AR65" s="353"/>
      <c r="AS65" s="870">
        <f>AM65*(1+AS66)</f>
        <v>40.203072000000006</v>
      </c>
      <c r="AT65" s="1058">
        <f>AN65*(1+AT66)</f>
        <v>36.830224833600006</v>
      </c>
      <c r="AU65" s="1058">
        <f>AO65*(1+AU66)</f>
        <v>33.554710369075245</v>
      </c>
      <c r="AV65" s="1058">
        <f>AP65*(1+AV66)</f>
        <v>50.6335725</v>
      </c>
      <c r="AW65" s="868">
        <f>SUM(AS65:AV65)</f>
        <v>161.22157970267529</v>
      </c>
      <c r="AX65" s="353"/>
      <c r="AY65" s="870">
        <f>AS65*(1+AY66)</f>
        <v>42.615256320000007</v>
      </c>
      <c r="AZ65" s="1058">
        <f>AT65*(1+AZ66)</f>
        <v>40.513247316960012</v>
      </c>
      <c r="BA65" s="1058">
        <f>AU65*(1+BA66)</f>
        <v>36.910181405982776</v>
      </c>
      <c r="BB65" s="1058">
        <f>AV65*(1+BB66)</f>
        <v>54.684258300000003</v>
      </c>
      <c r="BC65" s="868">
        <f>SUM(AY65:BB65)</f>
        <v>174.72294334294281</v>
      </c>
      <c r="BD65" s="353"/>
      <c r="BE65" s="870">
        <f>AY65*(1+BE66)</f>
        <v>45.598324262400013</v>
      </c>
      <c r="BF65" s="1058">
        <f>AZ65*(1+BF66)</f>
        <v>41.728644736468816</v>
      </c>
      <c r="BG65" s="1058">
        <f>BA65*(1+BG66)</f>
        <v>36.541079591922951</v>
      </c>
      <c r="BH65" s="1058">
        <f>BB65*(1+BH66)</f>
        <v>55.777943466000004</v>
      </c>
      <c r="BI65" s="868">
        <f>SUM(BE65:BH65)</f>
        <v>179.64599205679178</v>
      </c>
      <c r="BJ65" s="353"/>
      <c r="BK65" s="870">
        <f>BE65*(1+BK66)</f>
        <v>47.422257232896015</v>
      </c>
      <c r="BL65" s="1058">
        <f>BF65*(1+BL66)</f>
        <v>42.563217631198192</v>
      </c>
      <c r="BM65" s="1058">
        <f>BG65*(1+BM66)</f>
        <v>39.098955163357559</v>
      </c>
      <c r="BN65" s="1058">
        <f>BH65*(1+BN66)</f>
        <v>64.144634985899998</v>
      </c>
      <c r="BO65" s="868">
        <f>SUM(BK65:BN65)</f>
        <v>193.22906501335177</v>
      </c>
      <c r="BP65" s="353"/>
      <c r="BQ65" s="870">
        <f>BK65*(1+BQ66)</f>
        <v>51.927371670021138</v>
      </c>
      <c r="BR65" s="1058">
        <f>BL65*(1+BR66)</f>
        <v>46.606723306162017</v>
      </c>
      <c r="BS65" s="1058">
        <f>BM65*(1+BS66)</f>
        <v>41.640387248975799</v>
      </c>
      <c r="BT65" s="1058">
        <f>BN65*(1+BT66)</f>
        <v>67.031143560265491</v>
      </c>
      <c r="BU65" s="868">
        <f>SUM(BQ65:BT65)</f>
        <v>207.20562578542444</v>
      </c>
      <c r="BV65" s="353"/>
      <c r="BW65" s="870">
        <f>BQ65*(1+BW66)</f>
        <v>54.004466536821987</v>
      </c>
      <c r="BX65" s="1058">
        <f>BR65*(1+BX66)</f>
        <v>48.470992238408499</v>
      </c>
      <c r="BY65" s="1058">
        <f>BS65*(1+BY66)</f>
        <v>43.306002738934829</v>
      </c>
      <c r="BZ65" s="1058">
        <f>BT65*(1+BZ66)</f>
        <v>69.712389302676115</v>
      </c>
      <c r="CA65" s="868">
        <f>SUM(BW65:BZ65)</f>
        <v>215.49385081684144</v>
      </c>
      <c r="CB65" s="353"/>
      <c r="CC65" s="870">
        <f>BW65*(1+CC66)</f>
        <v>56.029634031952817</v>
      </c>
      <c r="CD65" s="1058">
        <f>BX65*(1+CD66)</f>
        <v>50.288654447348819</v>
      </c>
      <c r="CE65" s="1058">
        <f>BY65*(1+CE66)</f>
        <v>44.929977841644892</v>
      </c>
      <c r="CF65" s="1058">
        <f>BZ65*(1+CF66)</f>
        <v>72.326603901526482</v>
      </c>
      <c r="CG65" s="868">
        <f>SUM(CC65:CF65)</f>
        <v>223.57487022247301</v>
      </c>
      <c r="CH65" s="353"/>
      <c r="CI65" s="870">
        <f>CC65*(1+CI66)</f>
        <v>58.130745308151056</v>
      </c>
      <c r="CJ65" s="1058">
        <f>CD65*(1+CJ66)</f>
        <v>52.174478989124403</v>
      </c>
      <c r="CK65" s="1058">
        <f>CE65*(1+CK66)</f>
        <v>46.614852010706578</v>
      </c>
      <c r="CL65" s="1058">
        <f>CF65*(1+CL66)</f>
        <v>75.03885154783373</v>
      </c>
      <c r="CM65" s="868">
        <f>SUM(CI65:CL65)</f>
        <v>231.95892785581577</v>
      </c>
    </row>
    <row r="66" spans="1:132">
      <c r="A66" s="1840" t="s">
        <v>579</v>
      </c>
      <c r="B66" s="227"/>
      <c r="C66" s="463"/>
      <c r="D66" s="227"/>
      <c r="E66" s="227"/>
      <c r="F66" s="227"/>
      <c r="G66" s="891"/>
      <c r="H66" s="227"/>
      <c r="I66" s="463"/>
      <c r="J66" s="227"/>
      <c r="K66" s="227"/>
      <c r="L66" s="227"/>
      <c r="M66" s="891"/>
      <c r="N66" s="227"/>
      <c r="O66" s="463"/>
      <c r="P66" s="227"/>
      <c r="Q66" s="227"/>
      <c r="R66" s="227"/>
      <c r="S66" s="891"/>
      <c r="T66" s="227"/>
      <c r="U66" s="463"/>
      <c r="V66" s="227"/>
      <c r="W66" s="227"/>
      <c r="X66" s="227"/>
      <c r="Y66" s="891"/>
      <c r="Z66" s="227"/>
      <c r="AA66" s="463"/>
      <c r="AB66" s="227"/>
      <c r="AC66" s="227"/>
      <c r="AD66" s="227"/>
      <c r="AE66" s="891"/>
      <c r="AF66" s="227"/>
      <c r="AG66" s="1937">
        <v>0.04</v>
      </c>
      <c r="AH66" s="1936">
        <v>-8.1000000000000003E-2</v>
      </c>
      <c r="AI66" s="1936">
        <v>1.4266951377083864E-2</v>
      </c>
      <c r="AJ66" s="1936">
        <v>0.05</v>
      </c>
      <c r="AK66" s="850">
        <f>AK65/AE65-1</f>
        <v>8.6417524667243839E-3</v>
      </c>
      <c r="AL66" s="227"/>
      <c r="AM66" s="1937">
        <v>-0.09</v>
      </c>
      <c r="AN66" s="1936">
        <v>8.2000000000000003E-2</v>
      </c>
      <c r="AO66" s="1936">
        <v>0.09</v>
      </c>
      <c r="AP66" s="1936">
        <v>0.01</v>
      </c>
      <c r="AQ66" s="850">
        <f>AQ65/AK65-1</f>
        <v>1.4255103708273875E-2</v>
      </c>
      <c r="AR66" s="227"/>
      <c r="AS66" s="1937">
        <v>6.2E-2</v>
      </c>
      <c r="AT66" s="1936">
        <v>1.2E-2</v>
      </c>
      <c r="AU66" s="1936">
        <v>3.2000000000000001E-2</v>
      </c>
      <c r="AV66" s="1936">
        <v>6.0999999999999999E-2</v>
      </c>
      <c r="AW66" s="850">
        <f>(AW65/AQ65-1)</f>
        <v>4.3598199596552645E-2</v>
      </c>
      <c r="AX66" s="227"/>
      <c r="AY66" s="1674">
        <v>0.06</v>
      </c>
      <c r="AZ66" s="574">
        <v>0.1</v>
      </c>
      <c r="BA66" s="574">
        <v>0.1</v>
      </c>
      <c r="BB66" s="1649">
        <v>0.08</v>
      </c>
      <c r="BC66" s="861">
        <f>BC65/AW65-1</f>
        <v>8.3744146814382692E-2</v>
      </c>
      <c r="BD66" s="227"/>
      <c r="BE66" s="1502">
        <v>7.0000000000000007E-2</v>
      </c>
      <c r="BF66" s="574">
        <v>0.03</v>
      </c>
      <c r="BG66" s="574">
        <v>-0.01</v>
      </c>
      <c r="BH66" s="574">
        <v>0.02</v>
      </c>
      <c r="BI66" s="850">
        <f>BI65/BC65-1</f>
        <v>2.8176315140170827E-2</v>
      </c>
      <c r="BJ66" s="227"/>
      <c r="BK66" s="1502">
        <v>0.04</v>
      </c>
      <c r="BL66" s="574">
        <v>0.02</v>
      </c>
      <c r="BM66" s="574">
        <v>7.0000000000000007E-2</v>
      </c>
      <c r="BN66" s="1938">
        <v>0.15</v>
      </c>
      <c r="BO66" s="850">
        <f>BO65/BI65-1</f>
        <v>7.561021986099159E-2</v>
      </c>
      <c r="BP66" s="227"/>
      <c r="BQ66" s="1502">
        <v>9.5000000000000001E-2</v>
      </c>
      <c r="BR66" s="574">
        <v>9.5000000000000001E-2</v>
      </c>
      <c r="BS66" s="574">
        <v>6.5000000000000002E-2</v>
      </c>
      <c r="BT66" s="1938">
        <v>4.4999999999999998E-2</v>
      </c>
      <c r="BU66" s="850">
        <f>BU65/BO65-1</f>
        <v>7.2331565497700367E-2</v>
      </c>
      <c r="BV66" s="227"/>
      <c r="BW66" s="1502">
        <v>0.04</v>
      </c>
      <c r="BX66" s="574">
        <v>0.04</v>
      </c>
      <c r="BY66" s="574">
        <v>0.04</v>
      </c>
      <c r="BZ66" s="1938">
        <v>0.04</v>
      </c>
      <c r="CA66" s="850">
        <f>CA65/BU65-1</f>
        <v>4.0000000000000036E-2</v>
      </c>
      <c r="CB66" s="227"/>
      <c r="CC66" s="1502">
        <v>3.7499999999999999E-2</v>
      </c>
      <c r="CD66" s="574">
        <v>3.7499999999999999E-2</v>
      </c>
      <c r="CE66" s="574">
        <v>3.7499999999999999E-2</v>
      </c>
      <c r="CF66" s="1938">
        <v>3.7499999999999999E-2</v>
      </c>
      <c r="CG66" s="850">
        <f>CG65/CA65-1</f>
        <v>3.7500000000000089E-2</v>
      </c>
      <c r="CH66" s="227"/>
      <c r="CI66" s="1502">
        <v>3.7499999999999999E-2</v>
      </c>
      <c r="CJ66" s="574">
        <v>3.7499999999999999E-2</v>
      </c>
      <c r="CK66" s="574">
        <v>3.7499999999999999E-2</v>
      </c>
      <c r="CL66" s="1938">
        <v>3.7499999999999999E-2</v>
      </c>
      <c r="CM66" s="850">
        <f>CM65/CG65-1</f>
        <v>3.7500000000000089E-2</v>
      </c>
      <c r="CN66" s="1455"/>
      <c r="CO66" s="1455"/>
      <c r="CP66" s="1455"/>
      <c r="CQ66" s="1455"/>
      <c r="CR66" s="1455"/>
      <c r="CS66" s="1455"/>
      <c r="CT66" s="1455"/>
      <c r="CU66" s="1455"/>
      <c r="CV66" s="1455"/>
      <c r="CW66" s="1455"/>
      <c r="CX66" s="1455"/>
      <c r="CY66" s="1455"/>
      <c r="CZ66" s="1455"/>
      <c r="DA66" s="1455"/>
      <c r="DB66" s="1455"/>
      <c r="DC66" s="1455"/>
      <c r="DD66" s="1455"/>
      <c r="DE66" s="1455"/>
      <c r="DF66" s="1455"/>
      <c r="DG66" s="1455"/>
      <c r="DH66" s="1455"/>
      <c r="DI66" s="1455"/>
      <c r="DJ66" s="1455"/>
      <c r="DK66" s="1455"/>
      <c r="DL66" s="1455"/>
      <c r="EA66" s="1455"/>
      <c r="EB66" s="1455"/>
    </row>
    <row r="67" spans="1:132" s="228" customFormat="1">
      <c r="A67" s="1798" t="s">
        <v>214</v>
      </c>
      <c r="B67" s="353"/>
      <c r="C67" s="418"/>
      <c r="D67" s="353"/>
      <c r="E67" s="353"/>
      <c r="F67" s="353"/>
      <c r="G67" s="865"/>
      <c r="H67" s="353"/>
      <c r="I67" s="418"/>
      <c r="J67" s="353"/>
      <c r="K67" s="353"/>
      <c r="L67" s="353"/>
      <c r="M67" s="865"/>
      <c r="N67" s="353"/>
      <c r="O67" s="418"/>
      <c r="P67" s="353"/>
      <c r="Q67" s="353"/>
      <c r="R67" s="353"/>
      <c r="S67" s="865"/>
      <c r="T67" s="353"/>
      <c r="U67" s="418"/>
      <c r="V67" s="353"/>
      <c r="W67" s="353"/>
      <c r="X67" s="353"/>
      <c r="Y67" s="865"/>
      <c r="Z67" s="353"/>
      <c r="AA67" s="870">
        <v>60.188367600000007</v>
      </c>
      <c r="AB67" s="1058">
        <v>74.466768399999978</v>
      </c>
      <c r="AC67" s="1058">
        <v>81.180910000000011</v>
      </c>
      <c r="AD67" s="1058">
        <v>82.632255000000043</v>
      </c>
      <c r="AE67" s="868">
        <f>SUM(AA67:AD67)</f>
        <v>298.468301</v>
      </c>
      <c r="AF67" s="353"/>
      <c r="AG67" s="870">
        <f>AA67*(1+AG68)</f>
        <v>62.555529999999933</v>
      </c>
      <c r="AH67" s="1058">
        <f>AB67*(1+AH68)</f>
        <v>68.39534472399977</v>
      </c>
      <c r="AI67" s="1058">
        <f>AC67*(1+AI68)</f>
        <v>81.180910000000011</v>
      </c>
      <c r="AJ67" s="1058">
        <f>AD67*(1+AJ68)</f>
        <v>82.722104270000045</v>
      </c>
      <c r="AK67" s="868">
        <f>SUM(AG67:AJ67)</f>
        <v>294.85388899399976</v>
      </c>
      <c r="AL67" s="353"/>
      <c r="AM67" s="870">
        <f>AG67*(1+AM68)</f>
        <v>58.802198199999935</v>
      </c>
      <c r="AN67" s="1058">
        <f>AH67*(1+AN68)</f>
        <v>66.432412565087944</v>
      </c>
      <c r="AO67" s="1058">
        <f>AI67*(1+AO68)</f>
        <v>77.51646337980003</v>
      </c>
      <c r="AP67" s="1058">
        <f>AJ67*(1+AP68)</f>
        <v>83.549325312700049</v>
      </c>
      <c r="AQ67" s="868">
        <f>SUM(AM67:AP67)</f>
        <v>286.30039945758796</v>
      </c>
      <c r="AR67" s="353"/>
      <c r="AS67" s="870">
        <f>AM67*(1+AS68)</f>
        <v>59.507824578399934</v>
      </c>
      <c r="AT67" s="1058">
        <f>AN67*(1+AT68)</f>
        <v>60.254198196534766</v>
      </c>
      <c r="AU67" s="1058">
        <f>AO67*(1+AU68)</f>
        <v>76.896331672761633</v>
      </c>
      <c r="AV67" s="1058">
        <f>AP67*(1+AV68)</f>
        <v>86.139354397393745</v>
      </c>
      <c r="AW67" s="868">
        <f>SUM(AS67:AV67)</f>
        <v>282.79770884509009</v>
      </c>
      <c r="AX67" s="353"/>
      <c r="AY67" s="870">
        <f>AS67*(1+AY68)</f>
        <v>60.995520192859928</v>
      </c>
      <c r="AZ67" s="1058">
        <f t="shared" ref="AZ67:BB67" si="86">AT67*(1+AZ68)</f>
        <v>65.074534052257548</v>
      </c>
      <c r="BA67" s="1058">
        <f t="shared" si="86"/>
        <v>78.434258306216861</v>
      </c>
      <c r="BB67" s="1058">
        <f t="shared" si="86"/>
        <v>87.862141485341624</v>
      </c>
      <c r="BC67" s="868">
        <f>SUM(AY67:BB67)</f>
        <v>292.36645403667598</v>
      </c>
      <c r="BD67" s="353"/>
      <c r="BE67" s="870">
        <f>AY67*(1+BE68)</f>
        <v>62.127924369313682</v>
      </c>
      <c r="BF67" s="1058">
        <f t="shared" ref="BF67:BH67" si="87">AZ67*(1+BF68)</f>
        <v>62.471552690167243</v>
      </c>
      <c r="BG67" s="1058">
        <f t="shared" si="87"/>
        <v>75.296887973968182</v>
      </c>
      <c r="BH67" s="1058">
        <f t="shared" si="87"/>
        <v>92.255248559608702</v>
      </c>
      <c r="BI67" s="868">
        <f>SUM(BE67:BH67)</f>
        <v>292.15161359305785</v>
      </c>
      <c r="BJ67" s="353"/>
      <c r="BK67" s="870">
        <f>BE67*(1+BK68)</f>
        <v>59.64280739454113</v>
      </c>
      <c r="BL67" s="1058">
        <f t="shared" ref="BL67:BN67" si="88">BF67*(1+BL68)</f>
        <v>61.222121636363894</v>
      </c>
      <c r="BM67" s="1058">
        <f t="shared" si="88"/>
        <v>78.680863420186355</v>
      </c>
      <c r="BN67" s="1058">
        <f t="shared" si="88"/>
        <v>92.369516937767273</v>
      </c>
      <c r="BO67" s="868">
        <f>SUM(BK67:BN67)</f>
        <v>291.91530938885865</v>
      </c>
      <c r="BP67" s="353"/>
      <c r="BQ67" s="870">
        <f>BK67*(1+BQ68)</f>
        <v>64.712446023077121</v>
      </c>
      <c r="BR67" s="1058">
        <f t="shared" ref="BR67:BT67" si="89">BL67*(1+BR68)</f>
        <v>65.813780759091188</v>
      </c>
      <c r="BS67" s="1058">
        <f t="shared" si="89"/>
        <v>81.43469363989287</v>
      </c>
      <c r="BT67" s="1058">
        <f t="shared" si="89"/>
        <v>97.486788176119575</v>
      </c>
      <c r="BU67" s="868">
        <f>SUM(BQ67:BT67)</f>
        <v>309.44770859818072</v>
      </c>
      <c r="BV67" s="353"/>
      <c r="BW67" s="870">
        <f>BQ67*(1+BW68)</f>
        <v>66.006694943538662</v>
      </c>
      <c r="BX67" s="1058">
        <f t="shared" ref="BX67:BZ67" si="90">BR67*(1+BX68)</f>
        <v>67.130056374273011</v>
      </c>
      <c r="BY67" s="1058">
        <f t="shared" si="90"/>
        <v>83.063387512690724</v>
      </c>
      <c r="BZ67" s="1058">
        <f t="shared" si="90"/>
        <v>99.436523939641972</v>
      </c>
      <c r="CA67" s="868">
        <f>SUM(BW67:BZ67)</f>
        <v>315.63666277014437</v>
      </c>
      <c r="CB67" s="353"/>
      <c r="CC67" s="870">
        <f>BW67*(1+CC68)</f>
        <v>66.666761892974051</v>
      </c>
      <c r="CD67" s="1058">
        <f t="shared" ref="CD67" si="91">BX67*(1+CD68)</f>
        <v>67.801356938015743</v>
      </c>
      <c r="CE67" s="1058">
        <f t="shared" ref="CE67" si="92">BY67*(1+CE68)</f>
        <v>83.894021387817631</v>
      </c>
      <c r="CF67" s="1058">
        <f t="shared" ref="CF67" si="93">BZ67*(1+CF68)</f>
        <v>100.43088917903839</v>
      </c>
      <c r="CG67" s="868">
        <f>SUM(CC67:CF67)</f>
        <v>318.79302939784583</v>
      </c>
      <c r="CH67" s="353"/>
      <c r="CI67" s="870">
        <f>CC67*(1+CI68)</f>
        <v>67.333429511903788</v>
      </c>
      <c r="CJ67" s="1058">
        <f t="shared" ref="CJ67" si="94">CD67*(1+CJ68)</f>
        <v>68.479370507395899</v>
      </c>
      <c r="CK67" s="1058">
        <f t="shared" ref="CK67" si="95">CE67*(1+CK68)</f>
        <v>84.732961601695806</v>
      </c>
      <c r="CL67" s="1058">
        <f t="shared" ref="CL67" si="96">CF67*(1+CL68)</f>
        <v>101.43519807082878</v>
      </c>
      <c r="CM67" s="868">
        <f>SUM(CI67:CL67)</f>
        <v>321.9809596918243</v>
      </c>
      <c r="CN67" s="862"/>
      <c r="CO67" s="862"/>
      <c r="CP67" s="862"/>
      <c r="CQ67" s="862"/>
      <c r="CR67" s="862"/>
      <c r="CS67" s="862"/>
      <c r="CT67" s="862"/>
      <c r="CU67" s="862"/>
      <c r="CV67" s="862"/>
      <c r="CW67" s="862"/>
      <c r="CX67" s="862"/>
      <c r="CY67" s="862"/>
      <c r="CZ67" s="862"/>
      <c r="DB67" s="862"/>
      <c r="DC67" s="862"/>
      <c r="DD67" s="862"/>
      <c r="DE67" s="862"/>
      <c r="DF67" s="862"/>
      <c r="DG67" s="862"/>
      <c r="DH67" s="862"/>
      <c r="DI67" s="862"/>
      <c r="DJ67" s="862"/>
      <c r="DK67" s="862"/>
      <c r="DL67" s="862"/>
      <c r="EA67" s="862"/>
      <c r="EB67" s="862"/>
    </row>
    <row r="68" spans="1:132" s="228" customFormat="1">
      <c r="A68" s="1840" t="s">
        <v>579</v>
      </c>
      <c r="B68" s="353"/>
      <c r="C68" s="418"/>
      <c r="D68" s="353"/>
      <c r="E68" s="353"/>
      <c r="F68" s="353"/>
      <c r="G68" s="865"/>
      <c r="H68" s="353"/>
      <c r="I68" s="418"/>
      <c r="J68" s="353"/>
      <c r="K68" s="353"/>
      <c r="L68" s="353"/>
      <c r="M68" s="865"/>
      <c r="N68" s="353"/>
      <c r="O68" s="418"/>
      <c r="P68" s="353"/>
      <c r="Q68" s="353"/>
      <c r="R68" s="353"/>
      <c r="S68" s="865"/>
      <c r="T68" s="353"/>
      <c r="U68" s="418"/>
      <c r="V68" s="353"/>
      <c r="W68" s="353"/>
      <c r="X68" s="353"/>
      <c r="Y68" s="865"/>
      <c r="Z68" s="353"/>
      <c r="AA68" s="418"/>
      <c r="AB68" s="353"/>
      <c r="AC68" s="353"/>
      <c r="AD68" s="353"/>
      <c r="AE68" s="865"/>
      <c r="AF68" s="353"/>
      <c r="AG68" s="904">
        <v>3.9329234109348583E-2</v>
      </c>
      <c r="AH68" s="905">
        <v>-8.1531988112971715E-2</v>
      </c>
      <c r="AI68" s="905">
        <v>0</v>
      </c>
      <c r="AJ68" s="905">
        <v>1.0873389574083819E-3</v>
      </c>
      <c r="AK68" s="850">
        <f>AK67/AE67-1</f>
        <v>-1.2109868933787515E-2</v>
      </c>
      <c r="AL68" s="353"/>
      <c r="AM68" s="904">
        <v>-0.06</v>
      </c>
      <c r="AN68" s="905">
        <v>-2.8699791876668934E-2</v>
      </c>
      <c r="AO68" s="905">
        <v>-4.513926513265229E-2</v>
      </c>
      <c r="AP68" s="905">
        <v>0.01</v>
      </c>
      <c r="AQ68" s="850">
        <f>AQ67/AK67-1</f>
        <v>-2.9009247819640871E-2</v>
      </c>
      <c r="AR68" s="353"/>
      <c r="AS68" s="904">
        <v>1.2E-2</v>
      </c>
      <c r="AT68" s="905">
        <v>-9.2999999999999999E-2</v>
      </c>
      <c r="AU68" s="905">
        <v>-8.0000000000000002E-3</v>
      </c>
      <c r="AV68" s="905">
        <v>3.1E-2</v>
      </c>
      <c r="AW68" s="850">
        <f>AW67/AQ67-1</f>
        <v>-1.2234319683569805E-2</v>
      </c>
      <c r="AX68" s="353"/>
      <c r="AY68" s="901">
        <v>2.5000000000000001E-2</v>
      </c>
      <c r="AZ68" s="902">
        <v>0.08</v>
      </c>
      <c r="BA68" s="902">
        <v>0.02</v>
      </c>
      <c r="BB68" s="902">
        <v>0.02</v>
      </c>
      <c r="BC68" s="861">
        <f>BC67/AW67-1</f>
        <v>3.3836006771990501E-2</v>
      </c>
      <c r="BD68" s="353"/>
      <c r="BE68" s="904">
        <v>1.8565366323186373E-2</v>
      </c>
      <c r="BF68" s="902">
        <v>-0.04</v>
      </c>
      <c r="BG68" s="902">
        <v>-0.04</v>
      </c>
      <c r="BH68" s="902">
        <v>0.05</v>
      </c>
      <c r="BI68" s="850">
        <f>BI67/BC67-1</f>
        <v>-7.3483274381125341E-4</v>
      </c>
      <c r="BJ68" s="353"/>
      <c r="BK68" s="904">
        <v>-0.04</v>
      </c>
      <c r="BL68" s="905">
        <v>-0.02</v>
      </c>
      <c r="BM68" s="905">
        <v>4.4941770334360878E-2</v>
      </c>
      <c r="BN68" s="905">
        <v>1.2386111353299267E-3</v>
      </c>
      <c r="BO68" s="850">
        <f>BO67/BI67-1</f>
        <v>-8.0884100311129359E-4</v>
      </c>
      <c r="BP68" s="353"/>
      <c r="BQ68" s="904">
        <v>8.5000000000000006E-2</v>
      </c>
      <c r="BR68" s="905">
        <v>7.4999999999999997E-2</v>
      </c>
      <c r="BS68" s="905">
        <v>3.5000000000000003E-2</v>
      </c>
      <c r="BT68" s="905">
        <v>5.5399999999999998E-2</v>
      </c>
      <c r="BU68" s="850">
        <f>BU67/BO67-1</f>
        <v>6.0059882594123426E-2</v>
      </c>
      <c r="BV68" s="353"/>
      <c r="BW68" s="904">
        <v>0.02</v>
      </c>
      <c r="BX68" s="905">
        <v>0.02</v>
      </c>
      <c r="BY68" s="905">
        <v>0.02</v>
      </c>
      <c r="BZ68" s="905">
        <v>0.02</v>
      </c>
      <c r="CA68" s="850">
        <f>CA67/BU67-1</f>
        <v>2.0000000000000018E-2</v>
      </c>
      <c r="CB68" s="353"/>
      <c r="CC68" s="904">
        <v>0.01</v>
      </c>
      <c r="CD68" s="905">
        <v>0.01</v>
      </c>
      <c r="CE68" s="905">
        <v>0.01</v>
      </c>
      <c r="CF68" s="905">
        <v>0.01</v>
      </c>
      <c r="CG68" s="850">
        <f>CG67/CA67-1</f>
        <v>1.0000000000000009E-2</v>
      </c>
      <c r="CH68" s="353"/>
      <c r="CI68" s="904">
        <v>0.01</v>
      </c>
      <c r="CJ68" s="905">
        <v>0.01</v>
      </c>
      <c r="CK68" s="905">
        <v>0.01</v>
      </c>
      <c r="CL68" s="905">
        <v>0.01</v>
      </c>
      <c r="CM68" s="850">
        <f>CM67/CG67-1</f>
        <v>1.0000000000000009E-2</v>
      </c>
      <c r="CN68" s="831"/>
      <c r="CO68" s="831"/>
      <c r="CP68" s="831"/>
      <c r="CQ68" s="831"/>
      <c r="CR68" s="831"/>
      <c r="CS68" s="831"/>
      <c r="CT68" s="831"/>
      <c r="CU68" s="831"/>
      <c r="CV68" s="831"/>
      <c r="CW68" s="831"/>
      <c r="CX68" s="831"/>
      <c r="CY68" s="831"/>
      <c r="CZ68" s="831"/>
      <c r="DB68" s="831"/>
      <c r="DC68" s="831"/>
      <c r="DD68" s="831"/>
      <c r="DE68" s="831"/>
      <c r="DF68" s="831"/>
      <c r="DG68" s="831"/>
      <c r="DH68" s="831"/>
      <c r="DI68" s="831"/>
      <c r="DJ68" s="831"/>
      <c r="DK68" s="831"/>
      <c r="DL68" s="831"/>
      <c r="EA68" s="831"/>
      <c r="EB68" s="831"/>
    </row>
    <row r="69" spans="1:132" s="833" customFormat="1">
      <c r="A69" s="2168" t="s">
        <v>528</v>
      </c>
      <c r="B69" s="2173"/>
      <c r="C69" s="2174">
        <f>C12</f>
        <v>103.36199999999999</v>
      </c>
      <c r="D69" s="2175">
        <f>D12</f>
        <v>111.006</v>
      </c>
      <c r="E69" s="2175">
        <f>E12</f>
        <v>116.327</v>
      </c>
      <c r="F69" s="2175">
        <f>F12</f>
        <v>101.374</v>
      </c>
      <c r="G69" s="2176">
        <f>G12</f>
        <v>432.06899999999996</v>
      </c>
      <c r="H69" s="2173"/>
      <c r="I69" s="2174">
        <f>I12</f>
        <v>278.63099999999997</v>
      </c>
      <c r="J69" s="2175">
        <f>J12</f>
        <v>301.05200000000002</v>
      </c>
      <c r="K69" s="2175">
        <f>K12</f>
        <v>282.05</v>
      </c>
      <c r="L69" s="2175">
        <f>L12</f>
        <v>305.96699999999998</v>
      </c>
      <c r="M69" s="2176">
        <f>M12</f>
        <v>1167.6999999999998</v>
      </c>
      <c r="N69" s="2173"/>
      <c r="O69" s="2174">
        <f>O12</f>
        <v>194.54715205754596</v>
      </c>
      <c r="P69" s="2175">
        <f>P12</f>
        <v>191.17284794245404</v>
      </c>
      <c r="Q69" s="2175">
        <f>Q12</f>
        <v>197.904</v>
      </c>
      <c r="R69" s="2175">
        <f>R12</f>
        <v>235.49299999999999</v>
      </c>
      <c r="S69" s="2176">
        <f>S12</f>
        <v>819.11699999999996</v>
      </c>
      <c r="T69" s="2173"/>
      <c r="U69" s="2174">
        <f>U12</f>
        <v>205.048</v>
      </c>
      <c r="V69" s="2175">
        <f>V12</f>
        <v>224.12700000000001</v>
      </c>
      <c r="W69" s="2175">
        <f>W12</f>
        <v>224.63300000000001</v>
      </c>
      <c r="X69" s="2175">
        <f>X12</f>
        <v>254.22800000000001</v>
      </c>
      <c r="Y69" s="2176">
        <f>Y12</f>
        <v>908.03600000000006</v>
      </c>
      <c r="Z69" s="2173"/>
      <c r="AA69" s="2174">
        <f>AA59+AA61+AA63+AA65+AA67</f>
        <v>326.56236760000002</v>
      </c>
      <c r="AB69" s="2175">
        <f>AB59+AB61+AB63+AB65+AB67</f>
        <v>349.38276839999997</v>
      </c>
      <c r="AC69" s="2175">
        <f>AC59+AC61+AC63+AC65+AC67</f>
        <v>332.27891</v>
      </c>
      <c r="AD69" s="2175">
        <f>AD59+AD61+AD63+AD65+AD67</f>
        <v>381.87025499999999</v>
      </c>
      <c r="AE69" s="2176">
        <f>AE59+AE61+AE63+AE65+AE67</f>
        <v>1390.0943010000001</v>
      </c>
      <c r="AF69" s="2173"/>
      <c r="AG69" s="2174">
        <f>AG59+AG61+AG63+AG65+AG67</f>
        <v>339.5844899999999</v>
      </c>
      <c r="AH69" s="2175">
        <f>AH59+AH61+AH63+AH65+AH67</f>
        <v>348.55730819999974</v>
      </c>
      <c r="AI69" s="2175">
        <f>AI59+AI61+AI63+AI65+AI67</f>
        <v>333.43348560000004</v>
      </c>
      <c r="AJ69" s="2175">
        <f>AJ59+AJ61+AJ63+AJ65+AJ67</f>
        <v>387.41870000000006</v>
      </c>
      <c r="AK69" s="2176">
        <f>AK59+AK61+AK63+AK65+AK67</f>
        <v>1408.9939838</v>
      </c>
      <c r="AL69" s="2173"/>
      <c r="AM69" s="2174">
        <f>AM59+AM61+AM63+AM65+AM67</f>
        <v>324.75102835848804</v>
      </c>
      <c r="AN69" s="2175">
        <f>AN59+AN61+AN63+AN65+AN67</f>
        <v>358.2143082</v>
      </c>
      <c r="AO69" s="2175">
        <f>AO59+AO61+AO63+AO65+AO67</f>
        <v>341.82015683600002</v>
      </c>
      <c r="AP69" s="2175">
        <f>AP59+AP61+AP63+AP65+AP67</f>
        <v>390.60152800000014</v>
      </c>
      <c r="AQ69" s="2176">
        <f>AQ59+AQ61+AQ63+AQ65+AQ67</f>
        <v>1415.3870213944883</v>
      </c>
      <c r="AR69" s="2175"/>
      <c r="AS69" s="2174">
        <f>AS59+AS61+AS63+AS65+AS67</f>
        <v>340.48042291644589</v>
      </c>
      <c r="AT69" s="2175">
        <f>AT59+AT61+AT63+AT65+AT67</f>
        <v>359.60975358465078</v>
      </c>
      <c r="AU69" s="2175">
        <f>AU59+AU61+AU63+AU65+AU67</f>
        <v>355.36852538625601</v>
      </c>
      <c r="AV69" s="2175">
        <f>AV59+AV61+AV63+AV65+AV67</f>
        <v>418.47284279935263</v>
      </c>
      <c r="AW69" s="2176">
        <f>AW59+AW61+AW63+AW65+AW67</f>
        <v>1473.9315446867051</v>
      </c>
      <c r="AX69" s="2175"/>
      <c r="AY69" s="2174">
        <f>AY59+AY61+AY63+AY65+AY67</f>
        <v>348.59800000000007</v>
      </c>
      <c r="AZ69" s="2175">
        <f>AZ59+AZ61+AZ63+AZ65+AZ67</f>
        <v>381.52900000000005</v>
      </c>
      <c r="BA69" s="2175">
        <f>BA59+BA61+BA63+BA65+BA67</f>
        <v>380.137</v>
      </c>
      <c r="BB69" s="2175">
        <f>BB59+BB61+BB63+BB65+BB67</f>
        <v>418.18200000000007</v>
      </c>
      <c r="BC69" s="2176">
        <f>BC59+BC61+BC63+BC65+BC67</f>
        <v>1528.4460000000001</v>
      </c>
      <c r="BD69" s="2175"/>
      <c r="BE69" s="2174">
        <f>BE59+BE61+BE63+BE65+BE67</f>
        <v>356.44699999999972</v>
      </c>
      <c r="BF69" s="2175">
        <f>BF59+BF61+BF63+BF65+BF67</f>
        <v>381.50399999999996</v>
      </c>
      <c r="BG69" s="2175">
        <f>BG59+BG61+BG63+BG65+BG67</f>
        <v>365.08899999999994</v>
      </c>
      <c r="BH69" s="2175">
        <f>BH59+BH61+BH63+BH65+BH67</f>
        <v>409.94400000000007</v>
      </c>
      <c r="BI69" s="2176">
        <f>BI59+BI61+BI63+BI65+BI67</f>
        <v>1512.9839999999997</v>
      </c>
      <c r="BJ69" s="2175"/>
      <c r="BK69" s="2174">
        <f>BK59+BK61+BK63+BK65+BK67</f>
        <v>361.75999999999988</v>
      </c>
      <c r="BL69" s="2175">
        <f>BL59+BL61+BL63+BL65+BL67</f>
        <v>383.12799999999999</v>
      </c>
      <c r="BM69" s="2175">
        <f>BM59+BM61+BM63+BM65+BM67</f>
        <v>385.38200000000001</v>
      </c>
      <c r="BN69" s="2175">
        <f>BN59+BN61+BN63+BN65+BN67</f>
        <v>448.18900000000002</v>
      </c>
      <c r="BO69" s="2176">
        <f>BO59+BO61+BO63+BO65+BO67</f>
        <v>1578.4589999999998</v>
      </c>
      <c r="BP69" s="2175"/>
      <c r="BQ69" s="2174">
        <f>BQ59+BQ61+BQ63+BQ65+BQ67</f>
        <v>389.84753804948974</v>
      </c>
      <c r="BR69" s="2175">
        <f>BR59+BR61+BR63+BR65+BR67</f>
        <v>411.24060931034228</v>
      </c>
      <c r="BS69" s="2175">
        <f>BS59+BS61+BS63+BS65+BS67</f>
        <v>403.49603023448327</v>
      </c>
      <c r="BT69" s="2175">
        <f>BT59+BT61+BT63+BT65+BT67</f>
        <v>464.57940922962655</v>
      </c>
      <c r="BU69" s="2176">
        <f>BU59+BU61+BU63+BU65+BU67</f>
        <v>1669.1635868239421</v>
      </c>
      <c r="BV69" s="2175"/>
      <c r="BW69" s="2174">
        <f>BW59+BW61+BW63+BW65+BW67</f>
        <v>406.92209889612514</v>
      </c>
      <c r="BX69" s="2175">
        <f>BX59+BX61+BX63+BX65+BX67</f>
        <v>429.12463140155029</v>
      </c>
      <c r="BY69" s="2175">
        <f>BY59+BY61+BY63+BY65+BY67</f>
        <v>420.51223585751461</v>
      </c>
      <c r="BZ69" s="2175">
        <f>BZ59+BZ61+BZ63+BZ65+BZ67</f>
        <v>484.25957825931431</v>
      </c>
      <c r="CA69" s="2176">
        <f>CA59+CA61+CA63+CA65+CA67</f>
        <v>1740.8185444145042</v>
      </c>
      <c r="CB69" s="2175"/>
      <c r="CC69" s="2174">
        <f>CC59+CC61+CC63+CC65+CC67</f>
        <v>418.21466146316425</v>
      </c>
      <c r="CD69" s="2175">
        <f>CD59+CD61+CD63+CD65+CD67</f>
        <v>441.0193016578994</v>
      </c>
      <c r="CE69" s="2175">
        <f>CE59+CE61+CE63+CE65+CE67</f>
        <v>431.79113020352827</v>
      </c>
      <c r="CF69" s="2175">
        <f>CF59+CF61+CF63+CF65+CF67</f>
        <v>497.32147804807096</v>
      </c>
      <c r="CG69" s="2176">
        <f>CG59+CG61+CG63+CG65+CG67</f>
        <v>1788.3465713726632</v>
      </c>
      <c r="CH69" s="2175"/>
      <c r="CI69" s="2174">
        <f>CI59+CI61+CI63+CI65+CI67</f>
        <v>429.84798832443937</v>
      </c>
      <c r="CJ69" s="2175">
        <f>CJ59+CJ61+CJ63+CJ65+CJ67</f>
        <v>453.27101847723122</v>
      </c>
      <c r="CK69" s="2175">
        <f>CK59+CK61+CK63+CK65+CK67</f>
        <v>443.40395851569014</v>
      </c>
      <c r="CL69" s="2175">
        <f>CL59+CL61+CL63+CL65+CL67</f>
        <v>510.77495413519381</v>
      </c>
      <c r="CM69" s="2176">
        <f>CM59+CM61+CM63+CM65+CM67</f>
        <v>1837.2979194525547</v>
      </c>
    </row>
    <row r="70" spans="1:132" s="228" customFormat="1" outlineLevel="1">
      <c r="A70" s="939" t="s">
        <v>177</v>
      </c>
      <c r="B70" s="940"/>
      <c r="C70" s="941">
        <f>C12-C69</f>
        <v>0</v>
      </c>
      <c r="D70" s="942">
        <f>D12-D69</f>
        <v>0</v>
      </c>
      <c r="E70" s="942">
        <f>E12-E69</f>
        <v>0</v>
      </c>
      <c r="F70" s="942">
        <f>F12-F69</f>
        <v>0</v>
      </c>
      <c r="G70" s="943">
        <f>G12-G69</f>
        <v>0</v>
      </c>
      <c r="H70" s="940"/>
      <c r="I70" s="941">
        <f>I12-I69</f>
        <v>0</v>
      </c>
      <c r="J70" s="942">
        <f>J12-J69</f>
        <v>0</v>
      </c>
      <c r="K70" s="942">
        <f>K12-K69</f>
        <v>0</v>
      </c>
      <c r="L70" s="942">
        <f>L12-L69</f>
        <v>0</v>
      </c>
      <c r="M70" s="943">
        <f>M12-M69</f>
        <v>0</v>
      </c>
      <c r="N70" s="940"/>
      <c r="O70" s="941">
        <f>O12-O69</f>
        <v>0</v>
      </c>
      <c r="P70" s="942">
        <f>P12-P69</f>
        <v>0</v>
      </c>
      <c r="Q70" s="942">
        <f>Q12-Q69</f>
        <v>0</v>
      </c>
      <c r="R70" s="942">
        <f>R12-R69</f>
        <v>0</v>
      </c>
      <c r="S70" s="943">
        <f>S12-S69</f>
        <v>0</v>
      </c>
      <c r="T70" s="940"/>
      <c r="U70" s="941">
        <f>U12-U69</f>
        <v>0</v>
      </c>
      <c r="V70" s="942">
        <f>V12-V69</f>
        <v>0</v>
      </c>
      <c r="W70" s="942">
        <f>W12-W69</f>
        <v>0</v>
      </c>
      <c r="X70" s="942">
        <f>X12-X69</f>
        <v>0</v>
      </c>
      <c r="Y70" s="943">
        <f>Y12-Y69</f>
        <v>0</v>
      </c>
      <c r="Z70" s="940"/>
      <c r="AA70" s="941">
        <f>AA12-AA69</f>
        <v>0</v>
      </c>
      <c r="AB70" s="942">
        <f>AB12-AB69</f>
        <v>0</v>
      </c>
      <c r="AC70" s="942">
        <f>AC12-AC69</f>
        <v>0</v>
      </c>
      <c r="AD70" s="942">
        <f>AD12-AD69</f>
        <v>0</v>
      </c>
      <c r="AE70" s="943">
        <f>AE12-AE69</f>
        <v>0</v>
      </c>
      <c r="AF70" s="940"/>
      <c r="AG70" s="941">
        <f>AG12-AG69</f>
        <v>0</v>
      </c>
      <c r="AH70" s="942">
        <f>AH12-AH69</f>
        <v>0</v>
      </c>
      <c r="AI70" s="942">
        <f>AI12-AI69</f>
        <v>0</v>
      </c>
      <c r="AJ70" s="942">
        <f>AJ12-AJ69</f>
        <v>0</v>
      </c>
      <c r="AK70" s="943">
        <f>AK12-AK69</f>
        <v>0</v>
      </c>
      <c r="AL70" s="940"/>
      <c r="AM70" s="941">
        <f>AM12-AM69</f>
        <v>0</v>
      </c>
      <c r="AN70" s="942">
        <f>AN12-AN69</f>
        <v>0</v>
      </c>
      <c r="AO70" s="942">
        <f>AO12-AO69</f>
        <v>0</v>
      </c>
      <c r="AP70" s="942">
        <f>AP12-AP69</f>
        <v>0</v>
      </c>
      <c r="AQ70" s="943">
        <f>AQ12-AQ69</f>
        <v>0</v>
      </c>
      <c r="AR70" s="940"/>
      <c r="AS70" s="941">
        <f>AS12-AS69</f>
        <v>0</v>
      </c>
      <c r="AT70" s="942">
        <f>AT12-AT69</f>
        <v>0</v>
      </c>
      <c r="AU70" s="942">
        <f>AU12-AU69</f>
        <v>0</v>
      </c>
      <c r="AV70" s="942">
        <f>AV12-AV69</f>
        <v>0</v>
      </c>
      <c r="AW70" s="943">
        <f>AW12-AW69</f>
        <v>0</v>
      </c>
      <c r="AX70" s="940"/>
      <c r="AY70" s="941">
        <f>AY12-AY69</f>
        <v>0</v>
      </c>
      <c r="AZ70" s="942">
        <f>AZ12-AZ69</f>
        <v>0</v>
      </c>
      <c r="BA70" s="942">
        <f>BA12-BA69</f>
        <v>0</v>
      </c>
      <c r="BB70" s="942">
        <f>BB12-BB69</f>
        <v>0</v>
      </c>
      <c r="BC70" s="943">
        <f>BC12-BC69</f>
        <v>0</v>
      </c>
      <c r="BD70" s="940"/>
      <c r="BE70" s="941">
        <f>BE12-BE69</f>
        <v>0</v>
      </c>
      <c r="BF70" s="942">
        <f>BF12-BF69</f>
        <v>0</v>
      </c>
      <c r="BG70" s="942">
        <f>BG12-BG69</f>
        <v>0</v>
      </c>
      <c r="BH70" s="942">
        <f>BH12-BH69</f>
        <v>0</v>
      </c>
      <c r="BI70" s="943">
        <f>BI12-BI69</f>
        <v>0</v>
      </c>
      <c r="BJ70" s="940"/>
      <c r="BK70" s="941">
        <f>BK12-BK69</f>
        <v>0</v>
      </c>
      <c r="BL70" s="942">
        <f>BL12-BL69</f>
        <v>0</v>
      </c>
      <c r="BM70" s="942">
        <f>BM12-BM69</f>
        <v>0</v>
      </c>
      <c r="BN70" s="942">
        <f>BN12-BN69</f>
        <v>0</v>
      </c>
      <c r="BO70" s="943">
        <f>BO12-BO69</f>
        <v>0</v>
      </c>
      <c r="BP70" s="940"/>
      <c r="BQ70" s="941">
        <f>BQ12-BQ69</f>
        <v>0</v>
      </c>
      <c r="BR70" s="942">
        <f>BR12-BR69</f>
        <v>0</v>
      </c>
      <c r="BS70" s="942">
        <f>BS12-BS69</f>
        <v>0</v>
      </c>
      <c r="BT70" s="942">
        <f>BT12-BT69</f>
        <v>0</v>
      </c>
      <c r="BU70" s="943">
        <f>BU12-BU69</f>
        <v>0</v>
      </c>
      <c r="BV70" s="940"/>
      <c r="BW70" s="941">
        <f>BW12-BW69</f>
        <v>0</v>
      </c>
      <c r="BX70" s="942">
        <f>BX12-BX69</f>
        <v>0</v>
      </c>
      <c r="BY70" s="942">
        <f>BY12-BY69</f>
        <v>0</v>
      </c>
      <c r="BZ70" s="942">
        <f>BZ12-BZ69</f>
        <v>0</v>
      </c>
      <c r="CA70" s="943">
        <f>CA12-CA69</f>
        <v>0</v>
      </c>
      <c r="CB70" s="940"/>
      <c r="CC70" s="941">
        <f>CC12-CC69</f>
        <v>0</v>
      </c>
      <c r="CD70" s="942">
        <f>CD12-CD69</f>
        <v>0</v>
      </c>
      <c r="CE70" s="942">
        <f>CE12-CE69</f>
        <v>0</v>
      </c>
      <c r="CF70" s="942">
        <f>CF12-CF69</f>
        <v>0</v>
      </c>
      <c r="CG70" s="943">
        <f>CG12-CG69</f>
        <v>0</v>
      </c>
      <c r="CH70" s="940"/>
      <c r="CI70" s="941">
        <f>CI12-CI69</f>
        <v>0</v>
      </c>
      <c r="CJ70" s="942">
        <f>CJ12-CJ69</f>
        <v>0</v>
      </c>
      <c r="CK70" s="942">
        <f>CK12-CK69</f>
        <v>0</v>
      </c>
      <c r="CL70" s="942">
        <f>CL12-CL69</f>
        <v>0</v>
      </c>
      <c r="CM70" s="943">
        <f>CM12-CM69</f>
        <v>0</v>
      </c>
    </row>
    <row r="71" spans="1:132">
      <c r="A71" s="897" t="s">
        <v>175</v>
      </c>
      <c r="B71" s="227"/>
      <c r="C71" s="463"/>
      <c r="D71" s="227"/>
      <c r="E71" s="227"/>
      <c r="F71" s="227"/>
      <c r="G71" s="891"/>
      <c r="H71" s="227"/>
      <c r="I71" s="848"/>
      <c r="J71" s="849"/>
      <c r="K71" s="849"/>
      <c r="L71" s="849"/>
      <c r="M71" s="891"/>
      <c r="N71" s="227"/>
      <c r="O71" s="848">
        <f>O14/I14-1</f>
        <v>-0.30177492074627021</v>
      </c>
      <c r="P71" s="849">
        <f>P14/J14-1</f>
        <v>-0.36498396309456826</v>
      </c>
      <c r="Q71" s="849">
        <f>Q14/K14-1</f>
        <v>-0.29833717425988304</v>
      </c>
      <c r="R71" s="849">
        <f>R14/L14-1</f>
        <v>-0.2303320292711305</v>
      </c>
      <c r="S71" s="850">
        <f>S14/M14-1</f>
        <v>-0.29852102423567695</v>
      </c>
      <c r="T71" s="227"/>
      <c r="U71" s="848">
        <f>U14/O14-1</f>
        <v>5.397585023165985E-2</v>
      </c>
      <c r="V71" s="849">
        <f>V14/P14-1</f>
        <v>0.17237883105379948</v>
      </c>
      <c r="W71" s="849">
        <f>W14/Q14-1</f>
        <v>0.13506043334141804</v>
      </c>
      <c r="X71" s="849">
        <f>X14/R14-1</f>
        <v>7.9556504864263466E-2</v>
      </c>
      <c r="Y71" s="850">
        <f>Y14/S14-1</f>
        <v>0.10855469975595677</v>
      </c>
      <c r="Z71" s="227"/>
      <c r="AA71" s="848">
        <f>AA14/U14-1</f>
        <v>0.59261425422340142</v>
      </c>
      <c r="AB71" s="849">
        <f>AB14/V14-1</f>
        <v>0.55886068345179285</v>
      </c>
      <c r="AC71" s="849">
        <f>AC14/W14-1</f>
        <v>0.47920790800995383</v>
      </c>
      <c r="AD71" s="849">
        <f>AD14/X14-1</f>
        <v>0.50207787891184275</v>
      </c>
      <c r="AE71" s="850">
        <f>AE14/Y14-1</f>
        <v>0.53088016444281938</v>
      </c>
      <c r="AF71" s="227"/>
      <c r="AG71" s="848">
        <f>AG14/AA14-1</f>
        <v>3.9876371841933933E-2</v>
      </c>
      <c r="AH71" s="849">
        <f>AH14/AB14-1</f>
        <v>-2.362624246696754E-3</v>
      </c>
      <c r="AI71" s="849">
        <f>AI14/AC14-1</f>
        <v>3.4747182720686887E-3</v>
      </c>
      <c r="AJ71" s="849">
        <f>AJ14/AD14-1</f>
        <v>1.4529660080490059E-2</v>
      </c>
      <c r="AK71" s="850">
        <f>AK14/AE14-1</f>
        <v>1.3595971716741762E-2</v>
      </c>
      <c r="AL71" s="227"/>
      <c r="AM71" s="848">
        <f>AM14/AG14-1</f>
        <v>-4.3681210651028479E-2</v>
      </c>
      <c r="AN71" s="849">
        <f>AN14/AH14-1</f>
        <v>2.7705630531375425E-2</v>
      </c>
      <c r="AO71" s="849">
        <f>AO14/AI14-1</f>
        <v>2.5125464591310376E-2</v>
      </c>
      <c r="AP71" s="849">
        <f>AP14/AJ14-1</f>
        <v>8.2154733367287847E-3</v>
      </c>
      <c r="AQ71" s="850">
        <f>AQ14/AK14-1</f>
        <v>4.5373065236562482E-3</v>
      </c>
      <c r="AR71" s="227"/>
      <c r="AS71" s="848">
        <f>AS14/AM14-1</f>
        <v>4.8435241721835443E-2</v>
      </c>
      <c r="AT71" s="849">
        <f>AT14/AN14-1</f>
        <v>3.8955601513035454E-3</v>
      </c>
      <c r="AU71" s="849">
        <f>AU14/AO14-1</f>
        <v>3.966332952894458E-2</v>
      </c>
      <c r="AV71" s="849">
        <f>AV14/AP14-1</f>
        <v>7.1354853479611791E-2</v>
      </c>
      <c r="AW71" s="850">
        <f>AW14/AQ14-1</f>
        <v>4.1362908100243345E-2</v>
      </c>
      <c r="AX71" s="227"/>
      <c r="AY71" s="848">
        <f>AY14/AS14-1</f>
        <v>2.3762238704513106E-2</v>
      </c>
      <c r="AZ71" s="849">
        <f>AZ14/AT14-1</f>
        <v>6.0952869595038761E-2</v>
      </c>
      <c r="BA71" s="849">
        <f>BA14/AU14-1</f>
        <v>6.9697997555699942E-2</v>
      </c>
      <c r="BB71" s="453">
        <f>BB14/AV14-1</f>
        <v>-6.9500997342397675E-4</v>
      </c>
      <c r="BC71" s="850">
        <f>BC14/AW14-1</f>
        <v>3.6967426004086423E-2</v>
      </c>
      <c r="BD71" s="227"/>
      <c r="BE71" s="848">
        <f>BE14/AY14-1</f>
        <v>2.2595109748085651E-2</v>
      </c>
      <c r="BF71" s="849">
        <f>BF14/AZ14-1</f>
        <v>-6.5525818482958798E-5</v>
      </c>
      <c r="BG71" s="849">
        <f>BG14/BA14-1</f>
        <v>-3.9585728303217049E-2</v>
      </c>
      <c r="BH71" s="849">
        <f>BH14/BB14-1</f>
        <v>-1.9699556652366668E-2</v>
      </c>
      <c r="BI71" s="850">
        <f>BI14/BC14-1</f>
        <v>-1.0098670587057712E-2</v>
      </c>
      <c r="BJ71" s="227"/>
      <c r="BK71" s="848">
        <f>BK14/BE14-1</f>
        <v>1.4905441762730565E-2</v>
      </c>
      <c r="BL71" s="849">
        <f>BL14/BF14-1</f>
        <v>4.256836101325101E-3</v>
      </c>
      <c r="BM71" s="849">
        <f>BM14/BG14-1</f>
        <v>5.5583706986515713E-2</v>
      </c>
      <c r="BN71" s="849">
        <f>BN14/BH14-1</f>
        <v>9.3293230294869467E-2</v>
      </c>
      <c r="BO71" s="850">
        <f>BO14/BI14-1</f>
        <v>4.3275408067765531E-2</v>
      </c>
      <c r="BP71" s="227"/>
      <c r="BQ71" s="848">
        <f>BQ14/BK14-1</f>
        <v>7.764135904878855E-2</v>
      </c>
      <c r="BR71" s="849">
        <f>BR14/BL14-1</f>
        <v>7.3376545985525121E-2</v>
      </c>
      <c r="BS71" s="849">
        <f>BS14/BM14-1</f>
        <v>4.7002792643359825E-2</v>
      </c>
      <c r="BT71" s="849">
        <f>BT14/BN14-1</f>
        <v>3.6570306789382334E-2</v>
      </c>
      <c r="BU71" s="850">
        <f>BU14/BO14-1</f>
        <v>5.7464011940723037E-2</v>
      </c>
      <c r="BV71" s="227"/>
      <c r="BW71" s="848">
        <f>BW14/BQ14-1</f>
        <v>4.3798047134179452E-2</v>
      </c>
      <c r="BX71" s="849">
        <f>BX14/BR14-1</f>
        <v>4.3487976834777564E-2</v>
      </c>
      <c r="BY71" s="849">
        <f>BY14/BS14-1</f>
        <v>4.2171928217342725E-2</v>
      </c>
      <c r="BZ71" s="849">
        <f>BZ14/BT14-1</f>
        <v>4.2361259751743541E-2</v>
      </c>
      <c r="CA71" s="850">
        <f>CA14/BU14-1</f>
        <v>4.2928660891115022E-2</v>
      </c>
      <c r="CB71" s="227"/>
      <c r="CC71" s="848">
        <f>CC14/BW14-1</f>
        <v>2.7751165635075958E-2</v>
      </c>
      <c r="CD71" s="849">
        <f>CD14/BX14-1</f>
        <v>2.7718451437989788E-2</v>
      </c>
      <c r="CE71" s="849">
        <f>CE14/BY14-1</f>
        <v>2.6821798236176253E-2</v>
      </c>
      <c r="CF71" s="849">
        <f>CF14/BZ14-1</f>
        <v>2.6972930170442888E-2</v>
      </c>
      <c r="CG71" s="850">
        <f>CG14/CA14-1</f>
        <v>2.7302114347675488E-2</v>
      </c>
      <c r="CH71" s="227"/>
      <c r="CI71" s="848">
        <f>CI14/CC14-1</f>
        <v>2.781664043191312E-2</v>
      </c>
      <c r="CJ71" s="849">
        <f>CJ14/CD14-1</f>
        <v>2.7780454899081874E-2</v>
      </c>
      <c r="CK71" s="849">
        <f>CK14/CE14-1</f>
        <v>2.6894550396827421E-2</v>
      </c>
      <c r="CL71" s="849">
        <f>CL14/CF14-1</f>
        <v>2.7051870230753394E-2</v>
      </c>
      <c r="CM71" s="850">
        <f>CM14/CG14-1</f>
        <v>2.737240580964051E-2</v>
      </c>
    </row>
    <row r="72" spans="1:132" s="228" customFormat="1">
      <c r="A72" s="900" t="s">
        <v>176</v>
      </c>
      <c r="B72" s="353"/>
      <c r="C72" s="418"/>
      <c r="D72" s="353"/>
      <c r="E72" s="353"/>
      <c r="F72" s="353"/>
      <c r="G72" s="865"/>
      <c r="H72" s="353"/>
      <c r="I72" s="418"/>
      <c r="J72" s="353"/>
      <c r="K72" s="353"/>
      <c r="L72" s="353"/>
      <c r="M72" s="865"/>
      <c r="N72" s="353"/>
      <c r="O72" s="901">
        <v>-7.2999999999999995E-2</v>
      </c>
      <c r="P72" s="902">
        <v>-5.5E-2</v>
      </c>
      <c r="Q72" s="902">
        <v>-0.02</v>
      </c>
      <c r="R72" s="902">
        <v>0.04</v>
      </c>
      <c r="S72" s="781">
        <f>SUMPRODUCT(O72:R72,I14:L14)/SUM(I14:L14)</f>
        <v>-2.5948653763809199E-2</v>
      </c>
      <c r="T72" s="353"/>
      <c r="U72" s="901">
        <v>0.04</v>
      </c>
      <c r="V72" s="902">
        <v>-0.01</v>
      </c>
      <c r="W72" s="902">
        <v>0</v>
      </c>
      <c r="X72" s="902">
        <v>-0.01</v>
      </c>
      <c r="Y72" s="903">
        <v>0</v>
      </c>
      <c r="Z72" s="353"/>
      <c r="AA72" s="901">
        <v>0.03</v>
      </c>
      <c r="AB72" s="902">
        <v>0.04</v>
      </c>
      <c r="AC72" s="902">
        <v>0.03</v>
      </c>
      <c r="AD72" s="902">
        <v>0</v>
      </c>
      <c r="AE72" s="781">
        <f>SUMPRODUCT(AA72:AD72,AA14:AD14)/SUM(AA14:AD14)</f>
        <v>2.4272129624391573E-2</v>
      </c>
      <c r="AF72" s="353"/>
      <c r="AG72" s="901">
        <v>-0.01</v>
      </c>
      <c r="AH72" s="453">
        <v>-0.04</v>
      </c>
      <c r="AI72" s="902">
        <v>-0.03</v>
      </c>
      <c r="AJ72" s="902">
        <v>0</v>
      </c>
      <c r="AK72" s="861">
        <v>-0.02</v>
      </c>
      <c r="AL72" s="353"/>
      <c r="AM72" s="901">
        <v>-0.01</v>
      </c>
      <c r="AN72" s="453">
        <f>AN19</f>
        <v>-3.0000000000000001E-3</v>
      </c>
      <c r="AO72" s="902">
        <v>-0.01</v>
      </c>
      <c r="AP72" s="902">
        <v>-0.01</v>
      </c>
      <c r="AQ72" s="861">
        <f>SUMPRODUCT(AM72:AP72,AG69:AJ69)/SUM(AG69:AJ69)</f>
        <v>-8.2683381295783238E-3</v>
      </c>
      <c r="AR72" s="353"/>
      <c r="AS72" s="901">
        <v>-5.1000000000000004E-3</v>
      </c>
      <c r="AT72" s="1376">
        <v>0</v>
      </c>
      <c r="AU72" s="453">
        <f>AU19</f>
        <v>-2E-3</v>
      </c>
      <c r="AV72" s="902">
        <v>-2.5000000000000001E-2</v>
      </c>
      <c r="AW72" s="861">
        <f>SUMPRODUCT(AS72:AV72,AM69:AP69)/SUM(AM69:AP69)</f>
        <v>-8.5523666497761986E-3</v>
      </c>
      <c r="AX72" s="353"/>
      <c r="AY72" s="1672">
        <v>-7.0000000000000007E-2</v>
      </c>
      <c r="AZ72" s="1376">
        <v>-7.0000000000000007E-2</v>
      </c>
      <c r="BA72" s="1376">
        <v>-7.0000000000000007E-2</v>
      </c>
      <c r="BB72" s="902">
        <v>-0.06</v>
      </c>
      <c r="BC72" s="861">
        <f>SUMPRODUCT(AY72:BB72,AS69:AV69)/SUM(AS69:AV69)</f>
        <v>-6.7160839359820465E-2</v>
      </c>
      <c r="BD72" s="353"/>
      <c r="BE72" s="1672">
        <v>-0.02</v>
      </c>
      <c r="BF72" s="1376">
        <v>-0.01</v>
      </c>
      <c r="BG72" s="453">
        <v>0</v>
      </c>
      <c r="BH72" s="453">
        <v>-0.01</v>
      </c>
      <c r="BI72" s="861">
        <f>SUMPRODUCT(BE72:BH72,AY69:BB69)/SUM(AY69:BB69)</f>
        <v>-9.7936531614463314E-3</v>
      </c>
      <c r="BJ72" s="353"/>
      <c r="BK72" s="860">
        <f>BK19</f>
        <v>-1.4050835924374385E-2</v>
      </c>
      <c r="BL72" s="453">
        <f>BL19</f>
        <v>-1.025319806568758E-2</v>
      </c>
      <c r="BM72" s="453">
        <f>BM19</f>
        <v>0.01</v>
      </c>
      <c r="BN72" s="453">
        <f>BN19</f>
        <v>2.8000000000000001E-2</v>
      </c>
      <c r="BO72" s="861">
        <f>SUMPRODUCT(BK72:BN72,BE69:BH69)/SUM(BE69:BH69)</f>
        <v>4.1040140625495424E-3</v>
      </c>
      <c r="BP72" s="353"/>
      <c r="BQ72" s="860">
        <f>BQ19</f>
        <v>3.0537504150991601E-2</v>
      </c>
      <c r="BR72" s="453">
        <f>BR19</f>
        <v>2.0430416472220214E-2</v>
      </c>
      <c r="BS72" s="453">
        <f>BS19</f>
        <v>2.3493953938140688E-3</v>
      </c>
      <c r="BT72" s="453">
        <f>BT19</f>
        <v>1.7938176307268072E-3</v>
      </c>
      <c r="BU72" s="861">
        <f>SUMPRODUCT(BQ72:BT72,BK69:BN69)/SUM(BK69:BN69)</f>
        <v>1.3040627681547744E-2</v>
      </c>
      <c r="BV72" s="353"/>
      <c r="BW72" s="860">
        <f>BW19</f>
        <v>0</v>
      </c>
      <c r="BX72" s="453">
        <f>BX19</f>
        <v>0</v>
      </c>
      <c r="BY72" s="453">
        <f>BY19</f>
        <v>0</v>
      </c>
      <c r="BZ72" s="453">
        <f>BZ19</f>
        <v>0</v>
      </c>
      <c r="CA72" s="861">
        <f>SUMPRODUCT(BW72:BZ72,BQ69:BT69)/SUM(BQ69:BT69)</f>
        <v>0</v>
      </c>
      <c r="CB72" s="353"/>
      <c r="CC72" s="860">
        <f>CC19</f>
        <v>0</v>
      </c>
      <c r="CD72" s="453">
        <f>CD19</f>
        <v>0</v>
      </c>
      <c r="CE72" s="453">
        <f>CE19</f>
        <v>0</v>
      </c>
      <c r="CF72" s="453">
        <f>CF19</f>
        <v>0</v>
      </c>
      <c r="CG72" s="861">
        <f>SUMPRODUCT(CC72:CF72,BW69:BZ69)/SUM(BW69:BZ69)</f>
        <v>0</v>
      </c>
      <c r="CH72" s="353"/>
      <c r="CI72" s="860">
        <f>CI19</f>
        <v>0</v>
      </c>
      <c r="CJ72" s="453">
        <f>CJ19</f>
        <v>0</v>
      </c>
      <c r="CK72" s="453">
        <f>CK19</f>
        <v>0</v>
      </c>
      <c r="CL72" s="453">
        <f>CL19</f>
        <v>0</v>
      </c>
      <c r="CM72" s="861">
        <f>SUMPRODUCT(CI72:CL72,CC69:CF69)/SUM(CC69:CF69)</f>
        <v>0</v>
      </c>
    </row>
    <row r="73" spans="1:132" s="228" customFormat="1">
      <c r="A73" s="900" t="s">
        <v>163</v>
      </c>
      <c r="B73" s="353"/>
      <c r="C73" s="418"/>
      <c r="D73" s="353"/>
      <c r="E73" s="353"/>
      <c r="F73" s="353"/>
      <c r="G73" s="865"/>
      <c r="H73" s="353"/>
      <c r="I73" s="418"/>
      <c r="J73" s="353"/>
      <c r="K73" s="353"/>
      <c r="L73" s="353"/>
      <c r="M73" s="865"/>
      <c r="N73" s="353"/>
      <c r="O73" s="901">
        <f>2%-(254.31-194.547)/I14</f>
        <v>-0.19448797872454973</v>
      </c>
      <c r="P73" s="902">
        <f>1%-(249.725-191.173)/J14</f>
        <v>-0.18449131711465125</v>
      </c>
      <c r="Q73" s="902">
        <f>1%-(256.868-197.904)/K14</f>
        <v>-0.19905513206878211</v>
      </c>
      <c r="R73" s="902">
        <f>1%-(304.064-235.493)/L14</f>
        <v>-0.21411240427889291</v>
      </c>
      <c r="S73" s="781">
        <f>SUMPRODUCT(O73:R73,I14:L14)/SUM(I14:L14)</f>
        <v>-0.19815593902543469</v>
      </c>
      <c r="T73" s="353"/>
      <c r="U73" s="901">
        <f>0%</f>
        <v>0</v>
      </c>
      <c r="V73" s="902">
        <f>1%</f>
        <v>0.01</v>
      </c>
      <c r="W73" s="902">
        <v>-8.0000000000000002E-3</v>
      </c>
      <c r="X73" s="902">
        <v>0</v>
      </c>
      <c r="Y73" s="903">
        <v>0</v>
      </c>
      <c r="Z73" s="353"/>
      <c r="AA73" s="901">
        <f>(226.374-245.857)/U14</f>
        <v>-9.5016776559634836E-2</v>
      </c>
      <c r="AB73" s="902">
        <f>(238.316-266.065)/V14</f>
        <v>-0.12380926885203476</v>
      </c>
      <c r="AC73" s="902">
        <f>(221.688-255.908)/W14</f>
        <v>-0.15233736806257317</v>
      </c>
      <c r="AD73" s="902">
        <f>(254.238-293.791)/X14</f>
        <v>-0.15558081721918907</v>
      </c>
      <c r="AE73" s="903">
        <f>(940.616-1061.621)/Y14</f>
        <v>-0.13326013506072457</v>
      </c>
      <c r="AF73" s="353"/>
      <c r="AG73" s="901">
        <v>0.03</v>
      </c>
      <c r="AH73" s="902">
        <v>0</v>
      </c>
      <c r="AI73" s="902">
        <v>0</v>
      </c>
      <c r="AJ73" s="902">
        <v>0</v>
      </c>
      <c r="AK73" s="861">
        <v>0.01</v>
      </c>
      <c r="AL73" s="353"/>
      <c r="AM73" s="901">
        <v>0</v>
      </c>
      <c r="AN73" s="902">
        <v>0.01</v>
      </c>
      <c r="AO73" s="902">
        <v>0.01</v>
      </c>
      <c r="AP73" s="902">
        <v>0.01</v>
      </c>
      <c r="AQ73" s="861">
        <f>SUMPRODUCT(AM73:AP73,AG69:AJ69)/SUM(AG69:AJ69)</f>
        <v>7.5898797730551406E-3</v>
      </c>
      <c r="AR73" s="353"/>
      <c r="AS73" s="901">
        <v>0</v>
      </c>
      <c r="AT73" s="902">
        <v>0</v>
      </c>
      <c r="AU73" s="902">
        <v>0</v>
      </c>
      <c r="AV73" s="902">
        <f>2.5718/AP69</f>
        <v>6.5842036337348869E-3</v>
      </c>
      <c r="AW73" s="861">
        <f>SUMPRODUCT(AS73:AV73,AM69:AP69)/SUM(AM69:AP69)</f>
        <v>1.8170295199302969E-3</v>
      </c>
      <c r="AX73" s="353"/>
      <c r="AY73" s="1674">
        <f>13/AS69</f>
        <v>3.8181343551697271E-2</v>
      </c>
      <c r="AZ73" s="1649">
        <f>(35/AT69)-(11.963/AT69)</f>
        <v>6.4061110051558096E-2</v>
      </c>
      <c r="BA73" s="1649">
        <f>(22.5651/AU69)-(11.4877/AU69)+(4%)</f>
        <v>7.1171584450141698E-2</v>
      </c>
      <c r="BB73" s="1649">
        <f>(12.152/AV69)</f>
        <v>2.9038921423693395E-2</v>
      </c>
      <c r="BC73" s="861">
        <f>SUMPRODUCT(AY73:BB73,AS69:AV69)/SUM(AS69:AV69)</f>
        <v>4.985383566851416E-2</v>
      </c>
      <c r="BD73" s="353"/>
      <c r="BE73" s="1674">
        <v>0</v>
      </c>
      <c r="BF73" s="1376">
        <f>2.4466/AZ69</f>
        <v>6.4126187000201817E-3</v>
      </c>
      <c r="BG73" s="1649">
        <f>(-4.4%)+(1.75/BA69)</f>
        <v>-3.9396396562292019E-2</v>
      </c>
      <c r="BH73" s="1649">
        <f>1.75/BB69</f>
        <v>4.1847807892257428E-3</v>
      </c>
      <c r="BI73" s="861">
        <f>SUMPRODUCT(BE73:BH73,AY69:BB69)/SUM(AY69:BB69)</f>
        <v>-7.0525409468178788E-3</v>
      </c>
      <c r="BJ73" s="353"/>
      <c r="BK73" s="901">
        <f>(2/BE69)+0.6%</f>
        <v>1.1610932340572377E-2</v>
      </c>
      <c r="BL73" s="902">
        <f>(1.5-2.5)/BF69-0.6%</f>
        <v>-8.621204495889951E-3</v>
      </c>
      <c r="BM73" s="902">
        <f>(2.5)/BG69</f>
        <v>6.8476453686635323E-3</v>
      </c>
      <c r="BN73" s="902">
        <v>0</v>
      </c>
      <c r="BO73" s="861">
        <f>SUMPRODUCT(BK73:BN73,BE69:BH69)/SUM(BE69:BH69)</f>
        <v>2.2139414560894233E-3</v>
      </c>
      <c r="BP73" s="353"/>
      <c r="BQ73" s="901">
        <v>0</v>
      </c>
      <c r="BR73" s="902">
        <v>0</v>
      </c>
      <c r="BS73" s="902">
        <v>0</v>
      </c>
      <c r="BT73" s="902">
        <v>0</v>
      </c>
      <c r="BU73" s="861">
        <f>SUMPRODUCT(BQ73:BT73,BK69:BN69)/SUM(BK69:BN69)</f>
        <v>0</v>
      </c>
      <c r="BV73" s="353"/>
      <c r="BW73" s="901">
        <v>0</v>
      </c>
      <c r="BX73" s="902">
        <v>0</v>
      </c>
      <c r="BY73" s="902">
        <v>0</v>
      </c>
      <c r="BZ73" s="902">
        <v>0</v>
      </c>
      <c r="CA73" s="861">
        <f>SUMPRODUCT(BW73:BZ73,BQ69:BT69)/SUM(BQ69:BT69)</f>
        <v>0</v>
      </c>
      <c r="CB73" s="353"/>
      <c r="CC73" s="901">
        <v>0</v>
      </c>
      <c r="CD73" s="902">
        <v>0</v>
      </c>
      <c r="CE73" s="902">
        <v>0</v>
      </c>
      <c r="CF73" s="902">
        <v>0</v>
      </c>
      <c r="CG73" s="861">
        <f>SUMPRODUCT(CC73:CF73,BW69:BZ69)/SUM(BW69:BZ69)</f>
        <v>0</v>
      </c>
      <c r="CH73" s="353"/>
      <c r="CI73" s="901">
        <v>0</v>
      </c>
      <c r="CJ73" s="902">
        <v>0</v>
      </c>
      <c r="CK73" s="902">
        <v>0</v>
      </c>
      <c r="CL73" s="902">
        <v>0</v>
      </c>
      <c r="CM73" s="861">
        <f>SUMPRODUCT(CI73:CL73,CC69:CF69)/SUM(CC69:CF69)</f>
        <v>0</v>
      </c>
    </row>
    <row r="74" spans="1:132">
      <c r="A74" s="898" t="s">
        <v>44</v>
      </c>
      <c r="B74" s="424"/>
      <c r="C74" s="894"/>
      <c r="D74" s="424"/>
      <c r="E74" s="424"/>
      <c r="F74" s="424"/>
      <c r="G74" s="896"/>
      <c r="H74" s="424"/>
      <c r="I74" s="894"/>
      <c r="J74" s="424"/>
      <c r="K74" s="424"/>
      <c r="L74" s="424"/>
      <c r="M74" s="896"/>
      <c r="N74" s="424"/>
      <c r="O74" s="899">
        <f>O71-O72-O73</f>
        <v>-3.4286942021720473E-2</v>
      </c>
      <c r="P74" s="426">
        <f>P71-P72-P73</f>
        <v>-0.12549264597991702</v>
      </c>
      <c r="Q74" s="426">
        <f>Q71-Q72-Q73</f>
        <v>-7.928204219110091E-2</v>
      </c>
      <c r="R74" s="426">
        <f>R71-R72-R73</f>
        <v>-5.6219624992237566E-2</v>
      </c>
      <c r="S74" s="427">
        <f>S71-S72-S73</f>
        <v>-7.441643144643309E-2</v>
      </c>
      <c r="T74" s="424"/>
      <c r="U74" s="899">
        <f>U71-U72-U73</f>
        <v>1.3975850231659849E-2</v>
      </c>
      <c r="V74" s="426">
        <f>V71-V72-V73</f>
        <v>0.17237883105379948</v>
      </c>
      <c r="W74" s="426">
        <f>W71-W72-W73</f>
        <v>0.14306043334141805</v>
      </c>
      <c r="X74" s="426">
        <f>X71-X72-X73</f>
        <v>8.9556504864263461E-2</v>
      </c>
      <c r="Y74" s="427">
        <f>Y71-Y72-Y73</f>
        <v>0.10855469975595677</v>
      </c>
      <c r="Z74" s="424"/>
      <c r="AA74" s="899">
        <f>AA71-AA72-AA73</f>
        <v>0.6576310307830362</v>
      </c>
      <c r="AB74" s="426">
        <f>AB71-AB72-AB73</f>
        <v>0.64266995230382762</v>
      </c>
      <c r="AC74" s="426">
        <f>AC71-AC72-AC73</f>
        <v>0.60154527607252695</v>
      </c>
      <c r="AD74" s="426">
        <f>AD71-AD72-AD73</f>
        <v>0.65765869613103178</v>
      </c>
      <c r="AE74" s="427">
        <f>AE71-AE72-AE73</f>
        <v>0.63986816987915229</v>
      </c>
      <c r="AF74" s="424"/>
      <c r="AG74" s="899">
        <f>AG71-AG72-AG73</f>
        <v>1.9876371841933936E-2</v>
      </c>
      <c r="AH74" s="426">
        <f>AH71-AH72-AH73</f>
        <v>3.7637375753303247E-2</v>
      </c>
      <c r="AI74" s="426">
        <f>AI71-AI72-AI73</f>
        <v>3.3474718272068688E-2</v>
      </c>
      <c r="AJ74" s="426">
        <f>AJ71-AJ72-AJ73</f>
        <v>1.4529660080490059E-2</v>
      </c>
      <c r="AK74" s="427">
        <f>AK71-AK72-AK73</f>
        <v>2.3595971716741763E-2</v>
      </c>
      <c r="AL74" s="424"/>
      <c r="AM74" s="899">
        <f>AM71-AM72-AM73</f>
        <v>-3.3681210651028477E-2</v>
      </c>
      <c r="AN74" s="426">
        <f>AN71-AN72-AN73</f>
        <v>2.0705630531375425E-2</v>
      </c>
      <c r="AO74" s="426">
        <f>AO71-AO72-AO73</f>
        <v>2.5125464591310376E-2</v>
      </c>
      <c r="AP74" s="426">
        <f>AP71-AP72-AP73</f>
        <v>8.2154733367287864E-3</v>
      </c>
      <c r="AQ74" s="427">
        <f>AQ71-AQ72-AQ73</f>
        <v>5.2157648801794314E-3</v>
      </c>
      <c r="AR74" s="424"/>
      <c r="AS74" s="899">
        <f>AS71-AS72-AS73</f>
        <v>5.3535241721835443E-2</v>
      </c>
      <c r="AT74" s="426">
        <f>AT71-AT72-AT73</f>
        <v>3.8955601513035454E-3</v>
      </c>
      <c r="AU74" s="426">
        <f>AU71-AU72-AU73</f>
        <v>4.1663329528944582E-2</v>
      </c>
      <c r="AV74" s="426">
        <f>AV71-AV72-AV73</f>
        <v>8.9770649845876904E-2</v>
      </c>
      <c r="AW74" s="427">
        <f>AW71-AW72-AW73</f>
        <v>4.8098245230089244E-2</v>
      </c>
      <c r="AX74" s="424"/>
      <c r="AY74" s="899">
        <f>AY71-AY72-AY73</f>
        <v>5.5580895152815842E-2</v>
      </c>
      <c r="AZ74" s="426">
        <f>AZ71-AZ72-AZ73</f>
        <v>6.6891759543480672E-2</v>
      </c>
      <c r="BA74" s="426">
        <f>BA71-BA72-BA73</f>
        <v>6.8526413105558251E-2</v>
      </c>
      <c r="BB74" s="852">
        <f>BB71-BB72-BB73</f>
        <v>3.0266068602882626E-2</v>
      </c>
      <c r="BC74" s="427">
        <f>BC71-BC72-BC73</f>
        <v>5.4274429695392729E-2</v>
      </c>
      <c r="BD74" s="424"/>
      <c r="BE74" s="899">
        <f>BE71-BE72-BE73</f>
        <v>4.2595109748085655E-2</v>
      </c>
      <c r="BF74" s="426">
        <f>BF71-BF72-BF73</f>
        <v>3.5218554814968597E-3</v>
      </c>
      <c r="BG74" s="426">
        <f>BG71-BG72-BG73</f>
        <v>-1.8933174092503058E-4</v>
      </c>
      <c r="BH74" s="426">
        <f>BH71-BH72-BH73</f>
        <v>-1.388433744159241E-2</v>
      </c>
      <c r="BI74" s="427">
        <f>BI71-BI72-BI73</f>
        <v>6.7475235212064982E-3</v>
      </c>
      <c r="BJ74" s="424"/>
      <c r="BK74" s="899">
        <f>BK71-BK72-BK73</f>
        <v>1.7345345346532575E-2</v>
      </c>
      <c r="BL74" s="426">
        <f>BL71-BL72-BL73</f>
        <v>2.3131238662902634E-2</v>
      </c>
      <c r="BM74" s="426">
        <f>BM71-BM72-BM73</f>
        <v>3.8736061617852181E-2</v>
      </c>
      <c r="BN74" s="426">
        <f>BN71-BN72-BN73</f>
        <v>6.529323029486947E-2</v>
      </c>
      <c r="BO74" s="427">
        <f>BO71-BO72-BO73</f>
        <v>3.6957452549126565E-2</v>
      </c>
      <c r="BP74" s="424"/>
      <c r="BQ74" s="899">
        <f>BQ71-BQ72-BQ73</f>
        <v>4.7103854897796948E-2</v>
      </c>
      <c r="BR74" s="426">
        <f>BR71-BR72-BR73</f>
        <v>5.2946129513304907E-2</v>
      </c>
      <c r="BS74" s="426">
        <f>BS71-BS72-BS73</f>
        <v>4.4653397249545757E-2</v>
      </c>
      <c r="BT74" s="426">
        <f>BT71-BT72-BT73</f>
        <v>3.4776489158655527E-2</v>
      </c>
      <c r="BU74" s="427">
        <f>BU71-BU72-BU73</f>
        <v>4.4423384259175289E-2</v>
      </c>
      <c r="BV74" s="424"/>
      <c r="BW74" s="899">
        <f>BW71-BW72-BW73</f>
        <v>4.3798047134179452E-2</v>
      </c>
      <c r="BX74" s="426">
        <f>BX71-BX72-BX73</f>
        <v>4.3487976834777564E-2</v>
      </c>
      <c r="BY74" s="426">
        <f>BY71-BY72-BY73</f>
        <v>4.2171928217342725E-2</v>
      </c>
      <c r="BZ74" s="426">
        <f>BZ71-BZ72-BZ73</f>
        <v>4.2361259751743541E-2</v>
      </c>
      <c r="CA74" s="427">
        <f>CA71-CA72-CA73</f>
        <v>4.2928660891115022E-2</v>
      </c>
      <c r="CB74" s="424"/>
      <c r="CC74" s="899">
        <f>CC71-CC72-CC73</f>
        <v>2.7751165635075958E-2</v>
      </c>
      <c r="CD74" s="426">
        <f>CD71-CD72-CD73</f>
        <v>2.7718451437989788E-2</v>
      </c>
      <c r="CE74" s="426">
        <f>CE71-CE72-CE73</f>
        <v>2.6821798236176253E-2</v>
      </c>
      <c r="CF74" s="426">
        <f>CF71-CF72-CF73</f>
        <v>2.6972930170442888E-2</v>
      </c>
      <c r="CG74" s="427">
        <f>CG71-CG72-CG73</f>
        <v>2.7302114347675488E-2</v>
      </c>
      <c r="CH74" s="424"/>
      <c r="CI74" s="899">
        <f>CI71-CI72-CI73</f>
        <v>2.781664043191312E-2</v>
      </c>
      <c r="CJ74" s="426">
        <f>CJ71-CJ72-CJ73</f>
        <v>2.7780454899081874E-2</v>
      </c>
      <c r="CK74" s="426">
        <f>CK71-CK72-CK73</f>
        <v>2.6894550396827421E-2</v>
      </c>
      <c r="CL74" s="426">
        <f>CL71-CL72-CL73</f>
        <v>2.7051870230753394E-2</v>
      </c>
      <c r="CM74" s="427">
        <f>CM71-CM72-CM73</f>
        <v>2.737240580964051E-2</v>
      </c>
    </row>
    <row r="75" spans="1:132" outlineLevel="1">
      <c r="A75" s="1839"/>
      <c r="B75" s="227"/>
      <c r="C75" s="227"/>
      <c r="D75" s="227"/>
      <c r="E75" s="227"/>
      <c r="F75" s="227"/>
      <c r="G75" s="227"/>
      <c r="H75" s="227"/>
      <c r="I75" s="227"/>
      <c r="J75" s="227"/>
      <c r="K75" s="227"/>
      <c r="L75" s="227"/>
      <c r="M75" s="227"/>
      <c r="N75" s="227"/>
      <c r="O75" s="849"/>
      <c r="P75" s="849"/>
      <c r="Q75" s="849"/>
      <c r="R75" s="849"/>
      <c r="S75" s="849"/>
      <c r="T75" s="227"/>
      <c r="U75" s="849"/>
      <c r="V75" s="849"/>
      <c r="W75" s="849"/>
      <c r="X75" s="849"/>
      <c r="Y75" s="849"/>
      <c r="Z75" s="227"/>
      <c r="AA75" s="849"/>
      <c r="AB75" s="849"/>
      <c r="AC75" s="849"/>
      <c r="AD75" s="849"/>
      <c r="AE75" s="849"/>
      <c r="AF75" s="227"/>
      <c r="AG75" s="849"/>
      <c r="AH75" s="849"/>
      <c r="AI75" s="849"/>
      <c r="AJ75" s="849"/>
      <c r="AK75" s="849"/>
      <c r="AL75" s="227"/>
      <c r="AM75" s="849"/>
      <c r="AN75" s="849"/>
      <c r="AO75" s="849"/>
      <c r="AP75" s="849"/>
      <c r="AQ75" s="849"/>
      <c r="AR75" s="227"/>
      <c r="AS75" s="849"/>
      <c r="AT75" s="849"/>
      <c r="AU75" s="849"/>
      <c r="AV75" s="849"/>
      <c r="AW75" s="849"/>
      <c r="AX75" s="227"/>
      <c r="AY75" s="849"/>
      <c r="AZ75" s="849"/>
      <c r="BA75" s="849"/>
      <c r="BB75" s="849"/>
      <c r="BC75" s="849"/>
      <c r="BD75" s="227"/>
      <c r="BE75" s="849"/>
      <c r="BF75" s="849"/>
      <c r="BG75" s="849"/>
      <c r="BH75" s="849"/>
      <c r="BI75" s="849"/>
      <c r="BJ75" s="849"/>
      <c r="BK75" s="849"/>
      <c r="BL75" s="849"/>
      <c r="BM75" s="849"/>
      <c r="BN75" s="849"/>
      <c r="BO75" s="849"/>
      <c r="BP75" s="227"/>
      <c r="BQ75" s="849"/>
      <c r="BR75" s="849"/>
      <c r="BS75" s="849"/>
      <c r="BT75" s="849"/>
      <c r="BU75" s="849"/>
      <c r="BV75" s="227"/>
      <c r="BW75" s="849"/>
      <c r="BX75" s="849"/>
      <c r="BY75" s="849"/>
      <c r="BZ75" s="849"/>
      <c r="CA75" s="849"/>
      <c r="CB75" s="227"/>
      <c r="CC75" s="849"/>
      <c r="CD75" s="849"/>
      <c r="CE75" s="849"/>
      <c r="CF75" s="849"/>
      <c r="CG75" s="849"/>
      <c r="CH75" s="227"/>
      <c r="CI75" s="849"/>
      <c r="CJ75" s="849"/>
      <c r="CK75" s="849"/>
      <c r="CL75" s="849"/>
      <c r="CM75" s="849"/>
    </row>
    <row r="76" spans="1:132" outlineLevel="1">
      <c r="A76" s="1874" t="s">
        <v>543</v>
      </c>
      <c r="B76" s="1875"/>
      <c r="C76" s="1875"/>
      <c r="D76" s="1875"/>
      <c r="E76" s="1876"/>
      <c r="F76" s="1876"/>
      <c r="G76" s="1876"/>
      <c r="H76" s="1876"/>
      <c r="I76" s="1876"/>
      <c r="J76" s="1876"/>
      <c r="K76" s="1876"/>
      <c r="L76" s="1876"/>
      <c r="M76" s="1876"/>
      <c r="N76" s="1876"/>
      <c r="O76" s="1876"/>
      <c r="P76" s="1876"/>
      <c r="Q76" s="1876"/>
      <c r="R76" s="1876"/>
      <c r="S76" s="1876"/>
      <c r="T76" s="1876"/>
      <c r="U76" s="1876"/>
      <c r="V76" s="1876"/>
      <c r="W76" s="1876"/>
      <c r="X76" s="1876"/>
      <c r="Y76" s="1876"/>
      <c r="Z76" s="1876"/>
      <c r="AA76" s="1876"/>
      <c r="AB76" s="1876"/>
      <c r="AC76" s="1876"/>
      <c r="AD76" s="1876"/>
      <c r="AE76" s="1876"/>
      <c r="AF76" s="1876"/>
      <c r="AG76" s="1876"/>
      <c r="AH76" s="1876"/>
      <c r="AI76" s="1876"/>
      <c r="AJ76" s="1876"/>
      <c r="AK76" s="1876"/>
      <c r="AL76" s="1876"/>
      <c r="AM76" s="1876"/>
      <c r="AN76" s="1876"/>
      <c r="AO76" s="1876"/>
      <c r="AP76" s="1876"/>
      <c r="AQ76" s="1876"/>
      <c r="AR76" s="1876"/>
      <c r="AS76" s="1877"/>
      <c r="AT76" s="1877"/>
      <c r="AU76" s="1877"/>
      <c r="AV76" s="1877"/>
      <c r="AW76" s="1877"/>
      <c r="AX76" s="1877"/>
      <c r="AY76" s="1877"/>
      <c r="AZ76" s="1877"/>
      <c r="BA76" s="1877"/>
      <c r="BB76" s="1876"/>
      <c r="BC76" s="1876"/>
      <c r="BD76" s="1876"/>
      <c r="BE76" s="1876"/>
      <c r="BF76" s="1876"/>
      <c r="BG76" s="1876"/>
      <c r="BH76" s="1876"/>
      <c r="BI76" s="1876"/>
      <c r="BJ76" s="1876"/>
      <c r="BK76" s="1876"/>
      <c r="BL76" s="1876"/>
      <c r="BM76" s="1876"/>
      <c r="BN76" s="1876"/>
      <c r="BO76" s="1876"/>
      <c r="BP76" s="1876"/>
      <c r="BQ76" s="1876"/>
      <c r="BR76" s="1876"/>
      <c r="BS76" s="1876"/>
      <c r="BT76" s="1876"/>
      <c r="BU76" s="1876"/>
      <c r="BV76" s="1876"/>
      <c r="BW76" s="1876"/>
      <c r="BX76" s="1876"/>
      <c r="BY76" s="1876"/>
      <c r="BZ76" s="1876"/>
      <c r="CA76" s="1876"/>
      <c r="CB76" s="1876"/>
      <c r="CC76" s="1876"/>
      <c r="CD76" s="1876"/>
      <c r="CE76" s="1876"/>
      <c r="CF76" s="1876"/>
      <c r="CG76" s="1876"/>
      <c r="CH76" s="1876"/>
      <c r="CI76" s="1876"/>
      <c r="CJ76" s="1876"/>
      <c r="CK76" s="1876"/>
      <c r="CL76" s="1876"/>
      <c r="CM76" s="1876"/>
    </row>
    <row r="77" spans="1:132" outlineLevel="1">
      <c r="A77" s="1843" t="s">
        <v>537</v>
      </c>
      <c r="B77" s="864"/>
      <c r="C77" s="1844"/>
      <c r="D77" s="864"/>
      <c r="E77" s="864"/>
      <c r="F77" s="864"/>
      <c r="G77" s="1845"/>
      <c r="H77" s="864"/>
      <c r="I77" s="1844"/>
      <c r="J77" s="864"/>
      <c r="K77" s="864"/>
      <c r="L77" s="864"/>
      <c r="M77" s="1845"/>
      <c r="N77" s="864"/>
      <c r="O77" s="1844"/>
      <c r="P77" s="864"/>
      <c r="Q77" s="864"/>
      <c r="R77" s="864"/>
      <c r="S77" s="1845"/>
      <c r="T77" s="864"/>
      <c r="U77" s="1844"/>
      <c r="V77" s="864"/>
      <c r="W77" s="864"/>
      <c r="X77" s="864"/>
      <c r="Y77" s="1845"/>
      <c r="Z77" s="864"/>
      <c r="AA77" s="1846"/>
      <c r="AB77" s="1847"/>
      <c r="AC77" s="1847"/>
      <c r="AD77" s="1847"/>
      <c r="AE77" s="1848"/>
      <c r="AF77" s="864"/>
      <c r="AG77" s="1846"/>
      <c r="AH77" s="1847"/>
      <c r="AI77" s="1847"/>
      <c r="AJ77" s="1847"/>
      <c r="AK77" s="1849"/>
      <c r="AL77" s="1850"/>
      <c r="AM77" s="1851"/>
      <c r="AN77" s="1850"/>
      <c r="AO77" s="1850"/>
      <c r="AP77" s="1850"/>
      <c r="AQ77" s="1849"/>
      <c r="AR77" s="1850"/>
      <c r="AS77" s="1851"/>
      <c r="AT77" s="1850"/>
      <c r="AU77" s="1850"/>
      <c r="AV77" s="1850"/>
      <c r="AW77" s="1849"/>
      <c r="AX77" s="1850"/>
      <c r="AY77" s="1853">
        <v>0</v>
      </c>
      <c r="AZ77" s="1854">
        <v>0.03</v>
      </c>
      <c r="BA77" s="44">
        <v>0.08</v>
      </c>
      <c r="BB77" s="44">
        <v>0.02</v>
      </c>
      <c r="BC77" s="1837">
        <v>0.03</v>
      </c>
      <c r="BD77" s="1854">
        <v>0</v>
      </c>
      <c r="BE77" s="1853">
        <v>0.02</v>
      </c>
      <c r="BF77" s="44">
        <v>0</v>
      </c>
      <c r="BG77" s="44">
        <v>-0.04</v>
      </c>
      <c r="BH77" s="44">
        <v>-0.02</v>
      </c>
      <c r="BI77" s="1881">
        <v>-0.01</v>
      </c>
      <c r="BJ77" s="1850"/>
      <c r="BK77" s="1851"/>
      <c r="BL77" s="215"/>
      <c r="BM77" s="215"/>
      <c r="BN77" s="215"/>
      <c r="BO77" s="1849"/>
      <c r="BP77" s="1850"/>
      <c r="BQ77" s="1851"/>
      <c r="BR77" s="215"/>
      <c r="BS77" s="215"/>
      <c r="BT77" s="215"/>
      <c r="BU77" s="1849"/>
      <c r="BV77" s="1850"/>
      <c r="BW77" s="1851"/>
      <c r="BX77" s="215"/>
      <c r="BY77" s="215"/>
      <c r="BZ77" s="215"/>
      <c r="CA77" s="1849"/>
      <c r="CB77" s="1850"/>
      <c r="CC77" s="1851"/>
      <c r="CD77" s="215"/>
      <c r="CE77" s="215"/>
      <c r="CF77" s="215"/>
      <c r="CG77" s="1849"/>
      <c r="CH77" s="1850"/>
      <c r="CI77" s="1851"/>
      <c r="CJ77" s="215"/>
      <c r="CK77" s="215"/>
      <c r="CL77" s="215"/>
      <c r="CM77" s="1849"/>
    </row>
    <row r="78" spans="1:132" outlineLevel="1">
      <c r="A78" s="1840" t="s">
        <v>506</v>
      </c>
      <c r="B78" s="864"/>
      <c r="C78" s="1844"/>
      <c r="D78" s="864"/>
      <c r="E78" s="864"/>
      <c r="F78" s="864"/>
      <c r="G78" s="1845"/>
      <c r="H78" s="864"/>
      <c r="I78" s="1844"/>
      <c r="J78" s="864"/>
      <c r="K78" s="864"/>
      <c r="L78" s="864"/>
      <c r="M78" s="1845"/>
      <c r="N78" s="864"/>
      <c r="O78" s="1844"/>
      <c r="P78" s="864"/>
      <c r="Q78" s="864"/>
      <c r="R78" s="864"/>
      <c r="S78" s="1845"/>
      <c r="T78" s="864"/>
      <c r="U78" s="1844"/>
      <c r="V78" s="864"/>
      <c r="W78" s="864"/>
      <c r="X78" s="864"/>
      <c r="Y78" s="1845"/>
      <c r="Z78" s="864"/>
      <c r="AA78" s="1844"/>
      <c r="AB78" s="864"/>
      <c r="AC78" s="864"/>
      <c r="AD78" s="864"/>
      <c r="AE78" s="1845"/>
      <c r="AF78" s="864"/>
      <c r="AG78" s="1853"/>
      <c r="AH78" s="1854"/>
      <c r="AI78" s="1854"/>
      <c r="AJ78" s="1854"/>
      <c r="AK78" s="1849"/>
      <c r="AL78" s="1850"/>
      <c r="AM78" s="1851"/>
      <c r="AN78" s="1850"/>
      <c r="AO78" s="1850"/>
      <c r="AP78" s="1850"/>
      <c r="AQ78" s="1849"/>
      <c r="AR78" s="1850"/>
      <c r="AS78" s="1855"/>
      <c r="AT78" s="215"/>
      <c r="AU78" s="1850"/>
      <c r="AV78" s="1850"/>
      <c r="AW78" s="1849"/>
      <c r="AX78" s="1850"/>
      <c r="AY78" s="1836">
        <v>-7.0000000000000007E-2</v>
      </c>
      <c r="AZ78" s="44">
        <v>-7.0000000000000007E-2</v>
      </c>
      <c r="BA78" s="44">
        <v>-7.0000000000000007E-2</v>
      </c>
      <c r="BB78" s="44">
        <v>-0.06</v>
      </c>
      <c r="BC78" s="1837">
        <v>-7.0000000000000007E-2</v>
      </c>
      <c r="BD78" s="1854">
        <v>0</v>
      </c>
      <c r="BE78" s="1853">
        <v>-0.02</v>
      </c>
      <c r="BF78" s="44">
        <v>-0.01</v>
      </c>
      <c r="BG78" s="44">
        <v>0</v>
      </c>
      <c r="BH78" s="44">
        <v>-0.01</v>
      </c>
      <c r="BI78" s="1881">
        <v>-0.01</v>
      </c>
      <c r="BJ78" s="1850"/>
      <c r="BK78" s="1851"/>
      <c r="BL78" s="1850"/>
      <c r="BM78" s="1850"/>
      <c r="BN78" s="1850"/>
      <c r="BO78" s="1849"/>
      <c r="BP78" s="1850"/>
      <c r="BQ78" s="1851"/>
      <c r="BR78" s="1850"/>
      <c r="BS78" s="1850"/>
      <c r="BT78" s="1850"/>
      <c r="BU78" s="1849"/>
      <c r="BV78" s="1850"/>
      <c r="BW78" s="1851"/>
      <c r="BX78" s="1850"/>
      <c r="BY78" s="1850"/>
      <c r="BZ78" s="1850"/>
      <c r="CA78" s="1849"/>
      <c r="CB78" s="1850"/>
      <c r="CC78" s="1851"/>
      <c r="CD78" s="1850"/>
      <c r="CE78" s="1850"/>
      <c r="CF78" s="1850"/>
      <c r="CG78" s="1849"/>
      <c r="CH78" s="1850"/>
      <c r="CI78" s="1851"/>
      <c r="CJ78" s="1850"/>
      <c r="CK78" s="1850"/>
      <c r="CL78" s="1850"/>
      <c r="CM78" s="1849"/>
    </row>
    <row r="79" spans="1:132" outlineLevel="1">
      <c r="A79" s="1840" t="s">
        <v>536</v>
      </c>
      <c r="B79" s="864"/>
      <c r="C79" s="1844"/>
      <c r="D79" s="864"/>
      <c r="E79" s="864"/>
      <c r="F79" s="864"/>
      <c r="G79" s="1845"/>
      <c r="H79" s="864"/>
      <c r="I79" s="1844"/>
      <c r="J79" s="864"/>
      <c r="K79" s="864"/>
      <c r="L79" s="864"/>
      <c r="M79" s="1845"/>
      <c r="N79" s="864"/>
      <c r="O79" s="1856"/>
      <c r="P79" s="1857"/>
      <c r="Q79" s="1857"/>
      <c r="R79" s="1857"/>
      <c r="S79" s="1845"/>
      <c r="T79" s="864"/>
      <c r="U79" s="1844"/>
      <c r="V79" s="864"/>
      <c r="W79" s="864"/>
      <c r="X79" s="864"/>
      <c r="Y79" s="1845"/>
      <c r="Z79" s="864"/>
      <c r="AA79" s="1858"/>
      <c r="AB79" s="1859"/>
      <c r="AC79" s="1859"/>
      <c r="AD79" s="1859"/>
      <c r="AE79" s="1848"/>
      <c r="AF79" s="864"/>
      <c r="AG79" s="1846"/>
      <c r="AH79" s="1847"/>
      <c r="AI79" s="1847"/>
      <c r="AJ79" s="1847"/>
      <c r="AK79" s="1849"/>
      <c r="AL79" s="1850"/>
      <c r="AM79" s="1851"/>
      <c r="AN79" s="1850"/>
      <c r="AO79" s="1850"/>
      <c r="AP79" s="1850"/>
      <c r="AQ79" s="1849"/>
      <c r="AR79" s="1850"/>
      <c r="AS79" s="1855"/>
      <c r="AT79" s="215"/>
      <c r="AU79" s="1850"/>
      <c r="AV79" s="1850"/>
      <c r="AW79" s="1849"/>
      <c r="AX79" s="1850"/>
      <c r="AY79" s="1836">
        <v>0.04</v>
      </c>
      <c r="AZ79" s="44">
        <v>0.06</v>
      </c>
      <c r="BA79" s="44">
        <v>7.0000000000000007E-2</v>
      </c>
      <c r="BB79" s="44">
        <v>0.03</v>
      </c>
      <c r="BC79" s="1837">
        <v>0.05</v>
      </c>
      <c r="BD79" s="1854">
        <v>0</v>
      </c>
      <c r="BE79" s="1853">
        <v>0</v>
      </c>
      <c r="BF79" s="44">
        <v>0</v>
      </c>
      <c r="BG79" s="44">
        <v>0</v>
      </c>
      <c r="BH79" s="44">
        <v>0.01</v>
      </c>
      <c r="BI79" s="1881">
        <v>0</v>
      </c>
      <c r="BJ79" s="1850"/>
      <c r="BK79" s="1851"/>
      <c r="BL79" s="215"/>
      <c r="BM79" s="215"/>
      <c r="BN79" s="215"/>
      <c r="BO79" s="1849"/>
      <c r="BP79" s="1850"/>
      <c r="BQ79" s="1851"/>
      <c r="BR79" s="215"/>
      <c r="BS79" s="215"/>
      <c r="BT79" s="215"/>
      <c r="BU79" s="1849"/>
      <c r="BV79" s="1850"/>
      <c r="BW79" s="1851"/>
      <c r="BX79" s="215"/>
      <c r="BY79" s="215"/>
      <c r="BZ79" s="215"/>
      <c r="CA79" s="1849"/>
      <c r="CB79" s="1850"/>
      <c r="CC79" s="1851"/>
      <c r="CD79" s="215"/>
      <c r="CE79" s="215"/>
      <c r="CF79" s="215"/>
      <c r="CG79" s="1849"/>
      <c r="CH79" s="1850"/>
      <c r="CI79" s="1851"/>
      <c r="CJ79" s="215"/>
      <c r="CK79" s="215"/>
      <c r="CL79" s="215"/>
      <c r="CM79" s="1849"/>
    </row>
    <row r="80" spans="1:132" outlineLevel="1">
      <c r="A80" s="1860" t="s">
        <v>538</v>
      </c>
      <c r="B80" s="1861"/>
      <c r="C80" s="1862"/>
      <c r="D80" s="1861"/>
      <c r="E80" s="1861"/>
      <c r="F80" s="1861"/>
      <c r="G80" s="1863"/>
      <c r="H80" s="1861"/>
      <c r="I80" s="1862"/>
      <c r="J80" s="1861"/>
      <c r="K80" s="1861"/>
      <c r="L80" s="1861"/>
      <c r="M80" s="1863"/>
      <c r="N80" s="1861"/>
      <c r="O80" s="1841"/>
      <c r="P80" s="1842"/>
      <c r="Q80" s="1842"/>
      <c r="R80" s="1842"/>
      <c r="S80" s="1863"/>
      <c r="T80" s="1861"/>
      <c r="U80" s="1862"/>
      <c r="V80" s="1861"/>
      <c r="W80" s="1861"/>
      <c r="X80" s="1861"/>
      <c r="Y80" s="1863"/>
      <c r="Z80" s="1861"/>
      <c r="AA80" s="1864"/>
      <c r="AB80" s="1865"/>
      <c r="AC80" s="1865"/>
      <c r="AD80" s="1865"/>
      <c r="AE80" s="1866"/>
      <c r="AF80" s="1861"/>
      <c r="AG80" s="1867"/>
      <c r="AH80" s="1868"/>
      <c r="AI80" s="1868"/>
      <c r="AJ80" s="1868"/>
      <c r="AK80" s="1869"/>
      <c r="AL80" s="1870"/>
      <c r="AM80" s="1871"/>
      <c r="AN80" s="1870"/>
      <c r="AO80" s="1870"/>
      <c r="AP80" s="1870"/>
      <c r="AQ80" s="1869"/>
      <c r="AR80" s="1870"/>
      <c r="AS80" s="1872"/>
      <c r="AT80" s="1873"/>
      <c r="AU80" s="1870"/>
      <c r="AV80" s="1870"/>
      <c r="AW80" s="1869"/>
      <c r="AX80" s="1870"/>
      <c r="AY80" s="1882">
        <v>3.0000000000000006E-2</v>
      </c>
      <c r="AZ80" s="1883">
        <v>4.0000000000000008E-2</v>
      </c>
      <c r="BA80" s="1883">
        <v>8.0000000000000016E-2</v>
      </c>
      <c r="BB80" s="1883">
        <v>0.05</v>
      </c>
      <c r="BC80" s="1884">
        <v>0.05</v>
      </c>
      <c r="BD80" s="1868">
        <v>0</v>
      </c>
      <c r="BE80" s="1867">
        <v>0.04</v>
      </c>
      <c r="BF80" s="1883">
        <v>0.01</v>
      </c>
      <c r="BG80" s="1883">
        <v>-0.04</v>
      </c>
      <c r="BH80" s="1883">
        <v>-0.02</v>
      </c>
      <c r="BI80" s="1885">
        <v>0</v>
      </c>
      <c r="BJ80" s="1870"/>
      <c r="BK80" s="1871"/>
      <c r="BL80" s="1870"/>
      <c r="BM80" s="1870"/>
      <c r="BN80" s="1870"/>
      <c r="BO80" s="1869"/>
      <c r="BP80" s="1870"/>
      <c r="BQ80" s="1871"/>
      <c r="BR80" s="1870"/>
      <c r="BS80" s="1870"/>
      <c r="BT80" s="1870"/>
      <c r="BU80" s="1869"/>
      <c r="BV80" s="1870"/>
      <c r="BW80" s="1871"/>
      <c r="BX80" s="1870"/>
      <c r="BY80" s="1870"/>
      <c r="BZ80" s="1870"/>
      <c r="CA80" s="1869"/>
      <c r="CB80" s="1870"/>
      <c r="CC80" s="1871"/>
      <c r="CD80" s="1870"/>
      <c r="CE80" s="1870"/>
      <c r="CF80" s="1870"/>
      <c r="CG80" s="1869"/>
      <c r="CH80" s="1870"/>
      <c r="CI80" s="1871"/>
      <c r="CJ80" s="1870"/>
      <c r="CK80" s="1870"/>
      <c r="CL80" s="1870"/>
      <c r="CM80" s="1869"/>
    </row>
    <row r="81" spans="1:91">
      <c r="A81" s="1839"/>
      <c r="B81" s="227"/>
      <c r="C81" s="227"/>
      <c r="D81" s="227"/>
      <c r="E81" s="227"/>
      <c r="F81" s="227"/>
      <c r="G81" s="227"/>
      <c r="H81" s="227"/>
      <c r="I81" s="227"/>
      <c r="J81" s="227"/>
      <c r="K81" s="227"/>
      <c r="L81" s="227"/>
      <c r="M81" s="227"/>
      <c r="N81" s="227"/>
      <c r="O81" s="849"/>
      <c r="P81" s="849"/>
      <c r="Q81" s="849"/>
      <c r="R81" s="849"/>
      <c r="S81" s="849"/>
      <c r="T81" s="227"/>
      <c r="U81" s="849"/>
      <c r="V81" s="849"/>
      <c r="W81" s="849"/>
      <c r="X81" s="849"/>
      <c r="Y81" s="849"/>
      <c r="Z81" s="227"/>
      <c r="AA81" s="849"/>
      <c r="AB81" s="849"/>
      <c r="AC81" s="849"/>
      <c r="AD81" s="849"/>
      <c r="AE81" s="849"/>
      <c r="AF81" s="227"/>
      <c r="AG81" s="849"/>
      <c r="AH81" s="849"/>
      <c r="AI81" s="849"/>
      <c r="AJ81" s="849"/>
      <c r="AK81" s="849"/>
      <c r="AL81" s="227"/>
      <c r="AM81" s="849"/>
      <c r="AN81" s="849"/>
      <c r="AO81" s="849"/>
      <c r="AP81" s="849"/>
      <c r="AQ81" s="849"/>
      <c r="AR81" s="227"/>
      <c r="AS81" s="849"/>
      <c r="AT81" s="849"/>
      <c r="AU81" s="849"/>
      <c r="AV81" s="849"/>
      <c r="AW81" s="849"/>
      <c r="AX81" s="227"/>
      <c r="AY81" s="849"/>
      <c r="AZ81" s="849"/>
      <c r="BA81" s="849"/>
      <c r="BB81" s="849"/>
      <c r="BC81" s="849"/>
      <c r="BD81" s="227"/>
      <c r="BE81" s="849"/>
      <c r="BF81" s="849"/>
      <c r="BG81" s="849"/>
      <c r="BH81" s="849"/>
      <c r="BI81" s="849"/>
      <c r="BJ81" s="227"/>
      <c r="BK81" s="849"/>
      <c r="BL81" s="849"/>
      <c r="BM81" s="849"/>
      <c r="BN81" s="849"/>
      <c r="BO81" s="849"/>
      <c r="BP81" s="227"/>
      <c r="BQ81" s="849"/>
      <c r="BR81" s="849"/>
      <c r="BS81" s="849"/>
      <c r="BT81" s="849"/>
      <c r="BU81" s="849"/>
      <c r="BV81" s="227"/>
      <c r="BW81" s="849"/>
      <c r="BX81" s="849"/>
      <c r="BY81" s="849"/>
      <c r="BZ81" s="849"/>
      <c r="CA81" s="849"/>
      <c r="CB81" s="227"/>
      <c r="CC81" s="849"/>
      <c r="CD81" s="849"/>
      <c r="CE81" s="849"/>
      <c r="CF81" s="849"/>
      <c r="CG81" s="849"/>
      <c r="CH81" s="227"/>
      <c r="CI81" s="849"/>
      <c r="CJ81" s="849"/>
      <c r="CK81" s="849"/>
      <c r="CL81" s="849"/>
      <c r="CM81" s="849"/>
    </row>
    <row r="82" spans="1:91">
      <c r="A82" s="944" t="s">
        <v>20</v>
      </c>
      <c r="B82" s="944"/>
      <c r="C82" s="944"/>
      <c r="D82" s="944"/>
      <c r="E82" s="944"/>
      <c r="F82" s="944"/>
      <c r="G82" s="944"/>
      <c r="H82" s="944"/>
      <c r="I82" s="944"/>
      <c r="J82" s="944"/>
      <c r="K82" s="944"/>
      <c r="L82" s="944"/>
      <c r="M82" s="944"/>
      <c r="N82" s="944"/>
      <c r="O82" s="944"/>
      <c r="P82" s="944"/>
      <c r="Q82" s="944"/>
      <c r="R82" s="944"/>
      <c r="S82" s="944"/>
      <c r="T82" s="944"/>
      <c r="U82" s="944"/>
      <c r="V82" s="944"/>
      <c r="W82" s="944"/>
      <c r="X82" s="944"/>
      <c r="Y82" s="944"/>
      <c r="Z82" s="944"/>
      <c r="AA82" s="944"/>
      <c r="AB82" s="944"/>
      <c r="AC82" s="944"/>
      <c r="AD82" s="944"/>
      <c r="AE82" s="944"/>
      <c r="AF82" s="944"/>
      <c r="AG82" s="944"/>
      <c r="AH82" s="944"/>
      <c r="AI82" s="944"/>
      <c r="AJ82" s="944"/>
      <c r="AK82" s="944"/>
      <c r="AL82" s="944"/>
      <c r="AM82" s="944"/>
      <c r="AN82" s="944"/>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row>
    <row r="83" spans="1:91">
      <c r="A83" s="2189" t="s">
        <v>208</v>
      </c>
      <c r="B83" s="2190"/>
      <c r="C83" s="2191">
        <f>C9/C$15</f>
        <v>0.74345495160089359</v>
      </c>
      <c r="D83" s="2192">
        <f>D9/D$15</f>
        <v>0.74615015207299507</v>
      </c>
      <c r="E83" s="2192">
        <f>E9/E$15</f>
        <v>0.73299163583279014</v>
      </c>
      <c r="F83" s="2192">
        <f>F9/F$15</f>
        <v>0.78910951850965783</v>
      </c>
      <c r="G83" s="2193">
        <f>G9/G$15</f>
        <v>0.75402450139563115</v>
      </c>
      <c r="H83" s="2190"/>
      <c r="I83" s="2191">
        <f>I9/I$15</f>
        <v>0.39259025113358914</v>
      </c>
      <c r="J83" s="2192">
        <f>J9/J$15</f>
        <v>0.40381610606675711</v>
      </c>
      <c r="K83" s="2192">
        <f>K9/K$15</f>
        <v>0.41085792704706242</v>
      </c>
      <c r="L83" s="2192">
        <f>L9/L$15</f>
        <v>0.38790685578250345</v>
      </c>
      <c r="M83" s="2193">
        <f>M9/M$15</f>
        <v>0.3988061588774558</v>
      </c>
      <c r="N83" s="2190"/>
      <c r="O83" s="2191">
        <f>O9/O$15</f>
        <v>0.47497474180248295</v>
      </c>
      <c r="P83" s="2192">
        <f>P9/P$15</f>
        <v>0.48980550616391477</v>
      </c>
      <c r="Q83" s="2192">
        <f>Q9/Q$15</f>
        <v>0.47510582543841967</v>
      </c>
      <c r="R83" s="2192">
        <f>R9/R$15</f>
        <v>0.45039395438717689</v>
      </c>
      <c r="S83" s="2193">
        <f>S9/S$15</f>
        <v>0.47179845315153934</v>
      </c>
      <c r="T83" s="2190"/>
      <c r="U83" s="2191">
        <f>U9/U$15</f>
        <v>0.47931193848685383</v>
      </c>
      <c r="V83" s="2192">
        <f>V9/V$15</f>
        <v>0.46863523749688829</v>
      </c>
      <c r="W83" s="2192">
        <f>W9/W$15</f>
        <v>0.46429857509091987</v>
      </c>
      <c r="X83" s="2192">
        <f>X9/X$15</f>
        <v>0.45927113863850016</v>
      </c>
      <c r="Y83" s="2193">
        <f>Y9/Y$15</f>
        <v>0.46745255354587467</v>
      </c>
      <c r="Z83" s="2190"/>
      <c r="AA83" s="2191">
        <f>AA9/AA$15</f>
        <v>0.27137353304074846</v>
      </c>
      <c r="AB83" s="2192">
        <f>AB9/AB$15</f>
        <v>0.28050287298210647</v>
      </c>
      <c r="AC83" s="2192">
        <f>AC9/AC$15</f>
        <v>0.2759327304377307</v>
      </c>
      <c r="AD83" s="2192">
        <f>AD9/AD$15</f>
        <v>0.24955290975657199</v>
      </c>
      <c r="AE83" s="2193">
        <f>AE9/AE$15</f>
        <v>0.26896591745872106</v>
      </c>
      <c r="AF83" s="2190"/>
      <c r="AG83" s="2191">
        <f>AG9/AG$15</f>
        <v>0.28720565979517787</v>
      </c>
      <c r="AH83" s="2192">
        <f>AH9/AH$15</f>
        <v>0.28876451426624183</v>
      </c>
      <c r="AI83" s="2192">
        <f>AI9/AI$15</f>
        <v>0.28724706668802991</v>
      </c>
      <c r="AJ83" s="2192">
        <f>AJ9/AJ$15</f>
        <v>0.26240663916214652</v>
      </c>
      <c r="AK83" s="2193">
        <f>AK9/AK$15</f>
        <v>0.28095814013548864</v>
      </c>
      <c r="AL83" s="2190"/>
      <c r="AM83" s="2191">
        <f>AM9/AM$15</f>
        <v>0.29523457853693763</v>
      </c>
      <c r="AN83" s="2192">
        <f>AN9/AN$15</f>
        <v>0.28577858838471248</v>
      </c>
      <c r="AO83" s="2192">
        <f>AO9/AO$15</f>
        <v>0.28540450359544578</v>
      </c>
      <c r="AP83" s="2192">
        <f>AP9/AP$15</f>
        <v>0.27182662038184097</v>
      </c>
      <c r="AQ83" s="2193">
        <f>AQ9/AQ$15</f>
        <v>0.28410658737940692</v>
      </c>
      <c r="AR83" s="2190"/>
      <c r="AS83" s="2191">
        <f>AS9/AS$15</f>
        <v>0.2857455659772396</v>
      </c>
      <c r="AT83" s="2192">
        <f>AT9/AT$15</f>
        <v>0.28597912246067497</v>
      </c>
      <c r="AU83" s="2192">
        <f>AU9/AU$15</f>
        <v>0.29498242239118594</v>
      </c>
      <c r="AV83" s="2192">
        <f>AV9/AV$15</f>
        <v>0.27281672590042894</v>
      </c>
      <c r="AW83" s="2193">
        <f>AW9/AW$15</f>
        <v>0.28445098936328783</v>
      </c>
      <c r="AX83" s="2190"/>
      <c r="AY83" s="2191">
        <f>AY9/AY$15</f>
        <v>0.28036877699148655</v>
      </c>
      <c r="AZ83" s="2192">
        <f>AZ9/AZ$15</f>
        <v>0.27391843003218114</v>
      </c>
      <c r="BA83" s="2192">
        <f>BA9/BA$15</f>
        <v>0.27685652487382839</v>
      </c>
      <c r="BB83" s="2192">
        <f>BB9/BB$15</f>
        <v>0.26644002862796273</v>
      </c>
      <c r="BC83" s="2193">
        <f>BC9/BC$15</f>
        <v>0.27411118815360797</v>
      </c>
      <c r="BD83" s="2190"/>
      <c r="BE83" s="2191">
        <f>BE9/BE$15</f>
        <v>0.28451738389493186</v>
      </c>
      <c r="BF83" s="2192">
        <f>BF9/BF$15</f>
        <v>0.28879344093598647</v>
      </c>
      <c r="BG83" s="2192">
        <f>BG9/BG$15</f>
        <v>0.29062788415765595</v>
      </c>
      <c r="BH83" s="2192">
        <f>BH9/BH$15</f>
        <v>0.27693604772168467</v>
      </c>
      <c r="BI83" s="2193">
        <f>BI9/BI$15</f>
        <v>0.28505624157699455</v>
      </c>
      <c r="BJ83" s="2190"/>
      <c r="BK83" s="2191">
        <f>BK9/BK$15</f>
        <v>0.29659731674120166</v>
      </c>
      <c r="BL83" s="2192">
        <f>BL9/BL$15</f>
        <v>0.29977263921279068</v>
      </c>
      <c r="BM83" s="2192">
        <f>BM9/BM$15</f>
        <v>0.30494174512137934</v>
      </c>
      <c r="BN83" s="2192">
        <f>BN9/BN$15</f>
        <v>0.30168941710980823</v>
      </c>
      <c r="BO83" s="2193">
        <f>BO9/BO$15</f>
        <v>0.30086365623478839</v>
      </c>
      <c r="BP83" s="2190"/>
      <c r="BQ83" s="2191">
        <f>BQ9/BQ$15</f>
        <v>0.37490341739123845</v>
      </c>
      <c r="BR83" s="2192">
        <f>BR9/BR$15</f>
        <v>0.40041258514554307</v>
      </c>
      <c r="BS83" s="2192">
        <f>BS9/BS$15</f>
        <v>0.40911533415495394</v>
      </c>
      <c r="BT83" s="2192">
        <f>BT9/BT$15</f>
        <v>0.39350162642892461</v>
      </c>
      <c r="BU83" s="2193">
        <f>BU9/BU$15</f>
        <v>0.39488038828486621</v>
      </c>
      <c r="BV83" s="2190"/>
      <c r="BW83" s="2191">
        <f>BW9/BW$15</f>
        <v>0.38660875437627812</v>
      </c>
      <c r="BX83" s="2192">
        <f>BX9/BX$15</f>
        <v>0.41539076171435302</v>
      </c>
      <c r="BY83" s="2192">
        <f>BY9/BY$15</f>
        <v>0.42753582722588046</v>
      </c>
      <c r="BZ83" s="2192">
        <f>BZ9/BZ$15</f>
        <v>0.41285785270464315</v>
      </c>
      <c r="CA83" s="2193">
        <f>CA9/CA$15</f>
        <v>0.41124379440897035</v>
      </c>
      <c r="CB83" s="2190"/>
      <c r="CC83" s="2191">
        <f>CC9/CC$15</f>
        <v>0.41198146537609226</v>
      </c>
      <c r="CD83" s="2192">
        <f>CD9/CD$15</f>
        <v>0.44065893282850233</v>
      </c>
      <c r="CE83" s="2192">
        <f>CE9/CE$15</f>
        <v>0.45152838389771982</v>
      </c>
      <c r="CF83" s="2192">
        <f>CF9/CF$15</f>
        <v>0.43470281041950565</v>
      </c>
      <c r="CG83" s="2193">
        <f>CG9/CG$15</f>
        <v>0.43526563100947147</v>
      </c>
      <c r="CH83" s="2190"/>
      <c r="CI83" s="2191">
        <f>CI9/CI$15</f>
        <v>0.4264122467002634</v>
      </c>
      <c r="CJ83" s="2192">
        <f>CJ9/CJ$15</f>
        <v>0.45445848272636719</v>
      </c>
      <c r="CK83" s="2192">
        <f>CK9/CK$15</f>
        <v>0.46746445989271967</v>
      </c>
      <c r="CL83" s="2192">
        <f>CL9/CL$15</f>
        <v>0.45061976925295222</v>
      </c>
      <c r="CM83" s="2193">
        <f>CM9/CM$15</f>
        <v>0.45034263268991981</v>
      </c>
    </row>
    <row r="84" spans="1:91">
      <c r="A84" s="897" t="s">
        <v>209</v>
      </c>
      <c r="B84" s="227"/>
      <c r="C84" s="848"/>
      <c r="D84" s="849"/>
      <c r="E84" s="849"/>
      <c r="F84" s="849"/>
      <c r="G84" s="850"/>
      <c r="H84" s="227"/>
      <c r="I84" s="848"/>
      <c r="J84" s="849"/>
      <c r="K84" s="849"/>
      <c r="L84" s="849"/>
      <c r="M84" s="850"/>
      <c r="N84" s="227"/>
      <c r="O84" s="848">
        <f>O31/O$15</f>
        <v>0</v>
      </c>
      <c r="P84" s="849">
        <f>P31/P$15</f>
        <v>0</v>
      </c>
      <c r="Q84" s="849">
        <f>Q31/Q$15</f>
        <v>0</v>
      </c>
      <c r="R84" s="849">
        <f>R31/R$15</f>
        <v>0</v>
      </c>
      <c r="S84" s="850">
        <f>S31/S$15</f>
        <v>0</v>
      </c>
      <c r="T84" s="227"/>
      <c r="U84" s="848">
        <f>U31/U$15</f>
        <v>0</v>
      </c>
      <c r="V84" s="849">
        <f>V31/V$15</f>
        <v>0</v>
      </c>
      <c r="W84" s="849">
        <f>W31/W$15</f>
        <v>0</v>
      </c>
      <c r="X84" s="849">
        <f>X31/X$15</f>
        <v>0</v>
      </c>
      <c r="Y84" s="850">
        <f>Y31/Y$15</f>
        <v>0</v>
      </c>
      <c r="Z84" s="227"/>
      <c r="AA84" s="848">
        <f>AA31/AA$15</f>
        <v>0.15129026459819406</v>
      </c>
      <c r="AB84" s="849">
        <f>AB31/AB$15</f>
        <v>0.15829971107491259</v>
      </c>
      <c r="AC84" s="849">
        <f>AC31/AC$15</f>
        <v>0.15837492016820348</v>
      </c>
      <c r="AD84" s="849">
        <f>AD31/AD$15</f>
        <v>0.15915423193549452</v>
      </c>
      <c r="AE84" s="850">
        <f>AE31/AE$15</f>
        <v>0.15689442548568158</v>
      </c>
      <c r="AF84" s="227"/>
      <c r="AG84" s="848">
        <f>AG31/AG$15</f>
        <v>0.16273382548335177</v>
      </c>
      <c r="AH84" s="849">
        <f>AH31/AH$15</f>
        <v>0.16386475443454332</v>
      </c>
      <c r="AI84" s="849">
        <f>AI31/AI$15</f>
        <v>0.17091737612962385</v>
      </c>
      <c r="AJ84" s="849">
        <f>AJ31/AJ$15</f>
        <v>0.15502356034399051</v>
      </c>
      <c r="AK84" s="850">
        <f>AK31/AK$15</f>
        <v>0.16290365945127652</v>
      </c>
      <c r="AL84" s="227"/>
      <c r="AM84" s="848">
        <f>AM31/AM$15</f>
        <v>0.17498016814236894</v>
      </c>
      <c r="AN84" s="849">
        <f>AN31/AN$15</f>
        <v>0.16299866315665126</v>
      </c>
      <c r="AO84" s="849">
        <f>AO31/AO$15</f>
        <v>0.17049796258086705</v>
      </c>
      <c r="AP84" s="849">
        <f>AP31/AP$15</f>
        <v>0.16242240069252331</v>
      </c>
      <c r="AQ84" s="850">
        <f>AQ31/AQ$15</f>
        <v>0.16744919017419008</v>
      </c>
      <c r="AR84" s="227"/>
      <c r="AS84" s="848">
        <f>AS31/AS$15</f>
        <v>0.17015846411232274</v>
      </c>
      <c r="AT84" s="849">
        <f>AT31/AT$15</f>
        <v>0.16410609424739805</v>
      </c>
      <c r="AU84" s="849">
        <f>AU31/AU$15</f>
        <v>0.18623139497810717</v>
      </c>
      <c r="AV84" s="849">
        <f>AV31/AV$15</f>
        <v>0.16593279215954879</v>
      </c>
      <c r="AW84" s="850">
        <f>AW31/AW$15</f>
        <v>0.17143121603603714</v>
      </c>
      <c r="AX84" s="227"/>
      <c r="AY84" s="848">
        <f>AY31/AY$15</f>
        <v>0.1716333699618508</v>
      </c>
      <c r="AZ84" s="849">
        <f>AZ31/AZ$15</f>
        <v>0.15729072720472489</v>
      </c>
      <c r="BA84" s="849">
        <f>BA31/BA$15</f>
        <v>0.1767874514407583</v>
      </c>
      <c r="BB84" s="849">
        <f>BB31/BB$15</f>
        <v>0.17035185291527807</v>
      </c>
      <c r="BC84" s="850">
        <f>BC31/BC$15</f>
        <v>0.16899389864052991</v>
      </c>
      <c r="BD84" s="227"/>
      <c r="BE84" s="848">
        <f>BE31/BE$15</f>
        <v>0.18190609178177947</v>
      </c>
      <c r="BF84" s="849">
        <f>BF31/BF$15</f>
        <v>0.17487904793783052</v>
      </c>
      <c r="BG84" s="849">
        <f>BG31/BG$15</f>
        <v>0.19429192114923358</v>
      </c>
      <c r="BH84" s="849">
        <f>BH31/BH$15</f>
        <v>0.18841758527963512</v>
      </c>
      <c r="BI84" s="850">
        <f>BI31/BI$15</f>
        <v>0.18488159222469044</v>
      </c>
      <c r="BJ84" s="227"/>
      <c r="BK84" s="848">
        <f>BK31/BK$15</f>
        <v>0.19518293374308485</v>
      </c>
      <c r="BL84" s="849">
        <f>BL31/BL$15</f>
        <v>0.18597142724542193</v>
      </c>
      <c r="BM84" s="849">
        <f>BM31/BM$15</f>
        <v>0.20278791432846247</v>
      </c>
      <c r="BN84" s="849">
        <f>BN31/BN$15</f>
        <v>0.19100275575812978</v>
      </c>
      <c r="BO84" s="850">
        <f>BO31/BO$15</f>
        <v>0.19362990387014598</v>
      </c>
      <c r="BP84" s="227"/>
      <c r="BQ84" s="848">
        <f>BQ31/BQ$15</f>
        <v>0.17383389048439885</v>
      </c>
      <c r="BR84" s="849">
        <f>BR31/BR$15</f>
        <v>0.16615965334415272</v>
      </c>
      <c r="BS84" s="849">
        <f>BS31/BS$15</f>
        <v>0.17947428856225722</v>
      </c>
      <c r="BT84" s="849">
        <f>BT31/BT$15</f>
        <v>0.18244280353425374</v>
      </c>
      <c r="BU84" s="850">
        <f>BU31/BU$15</f>
        <v>0.17571271220996831</v>
      </c>
      <c r="BV84" s="227"/>
      <c r="BW84" s="848">
        <f>BW31/BW$15</f>
        <v>0.17486069349418665</v>
      </c>
      <c r="BX84" s="849">
        <f>BX31/BX$15</f>
        <v>0.16612502952806185</v>
      </c>
      <c r="BY84" s="849">
        <f>BY31/BY$15</f>
        <v>0.17852220381085079</v>
      </c>
      <c r="BZ84" s="849">
        <f>BZ31/BZ$15</f>
        <v>0.18130336684296572</v>
      </c>
      <c r="CA84" s="850">
        <f>CA31/CA$15</f>
        <v>0.17539880359593893</v>
      </c>
      <c r="CB84" s="227"/>
      <c r="CC84" s="848">
        <f>CC31/CC$15</f>
        <v>0.17451848660119407</v>
      </c>
      <c r="CD84" s="849">
        <f>CD31/CD$15</f>
        <v>0.1654838924520457</v>
      </c>
      <c r="CE84" s="849">
        <f>CE31/CE$15</f>
        <v>0.17823245244980601</v>
      </c>
      <c r="CF84" s="849">
        <f>CF31/CF$15</f>
        <v>0.18187132051057714</v>
      </c>
      <c r="CG84" s="850">
        <f>CG31/CG$15</f>
        <v>0.17523503669502294</v>
      </c>
      <c r="CH84" s="227"/>
      <c r="CI84" s="848">
        <f>CI31/CI$15</f>
        <v>0.17722232338744814</v>
      </c>
      <c r="CJ84" s="849">
        <f>CJ31/CJ$15</f>
        <v>0.16803132475817184</v>
      </c>
      <c r="CK84" s="849">
        <f>CK31/CK$15</f>
        <v>0.18031802874826799</v>
      </c>
      <c r="CL84" s="849">
        <f>CL31/CL$15</f>
        <v>0.18414156129079193</v>
      </c>
      <c r="CM84" s="850">
        <f>CM31/CM$15</f>
        <v>0.17763341245590736</v>
      </c>
    </row>
    <row r="85" spans="1:91">
      <c r="A85" s="897" t="s">
        <v>178</v>
      </c>
      <c r="B85" s="227"/>
      <c r="C85" s="848"/>
      <c r="D85" s="849"/>
      <c r="E85" s="849"/>
      <c r="F85" s="849"/>
      <c r="G85" s="850"/>
      <c r="H85" s="227"/>
      <c r="I85" s="848"/>
      <c r="J85" s="849"/>
      <c r="K85" s="849"/>
      <c r="L85" s="849"/>
      <c r="M85" s="850"/>
      <c r="N85" s="227"/>
      <c r="O85" s="848">
        <f>O33/O$15</f>
        <v>5.7207978186488359E-2</v>
      </c>
      <c r="P85" s="849">
        <f>P33/P$15</f>
        <v>5.8444477316170328E-2</v>
      </c>
      <c r="Q85" s="849">
        <f>Q33/Q$15</f>
        <v>5.5140623176566692E-2</v>
      </c>
      <c r="R85" s="849">
        <f>R33/R$15</f>
        <v>4.5735709818052819E-2</v>
      </c>
      <c r="S85" s="850">
        <f>S33/S$15</f>
        <v>0</v>
      </c>
      <c r="T85" s="227"/>
      <c r="U85" s="848">
        <f>U33/U$15</f>
        <v>0</v>
      </c>
      <c r="V85" s="849">
        <f>V33/V$15</f>
        <v>0</v>
      </c>
      <c r="W85" s="849">
        <f>W33/W$15</f>
        <v>0</v>
      </c>
      <c r="X85" s="849">
        <f>X33/X$15</f>
        <v>0</v>
      </c>
      <c r="Y85" s="850">
        <f>Y33/Y$15</f>
        <v>0</v>
      </c>
      <c r="Z85" s="227"/>
      <c r="AA85" s="848">
        <f>AA33/AA$15</f>
        <v>4.0161628241656977E-2</v>
      </c>
      <c r="AB85" s="849">
        <f>AB33/AB$15</f>
        <v>4.3246092921438321E-2</v>
      </c>
      <c r="AC85" s="849">
        <f>AC33/AC$15</f>
        <v>3.7044612860198015E-2</v>
      </c>
      <c r="AD85" s="849">
        <f>AD33/AD$15</f>
        <v>2.9477829724264385E-2</v>
      </c>
      <c r="AE85" s="850">
        <f>AE33/AE$15</f>
        <v>3.7338056722549501E-2</v>
      </c>
      <c r="AF85" s="227"/>
      <c r="AG85" s="848">
        <f>AG33/AG$15</f>
        <v>3.9671461526028892E-2</v>
      </c>
      <c r="AH85" s="849">
        <f>AH33/AH$15</f>
        <v>4.3279266558247445E-2</v>
      </c>
      <c r="AI85" s="849">
        <f>AI33/AI$15</f>
        <v>3.6702875966235969E-2</v>
      </c>
      <c r="AJ85" s="849">
        <f>AJ33/AJ$15</f>
        <v>2.8557992715807987E-2</v>
      </c>
      <c r="AK85" s="850">
        <f>AK33/AK$15</f>
        <v>3.688613736365258E-2</v>
      </c>
      <c r="AL85" s="227"/>
      <c r="AM85" s="848">
        <f>AM33/AM$15</f>
        <v>4.0031851280622588E-2</v>
      </c>
      <c r="AN85" s="849">
        <f>AN33/AN$15</f>
        <v>4.2627625083467083E-2</v>
      </c>
      <c r="AO85" s="849">
        <f>AO33/AO$15</f>
        <v>3.6253861781312367E-2</v>
      </c>
      <c r="AP85" s="849">
        <f>AP33/AP$15</f>
        <v>2.6817032998926758E-2</v>
      </c>
      <c r="AQ85" s="850">
        <f>AQ33/AQ$15</f>
        <v>3.6190923812642224E-2</v>
      </c>
      <c r="AR85" s="227"/>
      <c r="AS85" s="848">
        <f>AS33/AS$15</f>
        <v>3.7187399459340034E-2</v>
      </c>
      <c r="AT85" s="849">
        <f>AT33/AT$15</f>
        <v>4.5167107224452864E-2</v>
      </c>
      <c r="AU85" s="849">
        <f>AU33/AU$15</f>
        <v>3.478274151816213E-2</v>
      </c>
      <c r="AV85" s="849">
        <f>AV33/AV$15</f>
        <v>2.7746579142439273E-2</v>
      </c>
      <c r="AW85" s="850">
        <f>AW33/AW$15</f>
        <v>3.5912508857297035E-2</v>
      </c>
      <c r="AX85" s="227"/>
      <c r="AY85" s="848">
        <f>AY33/AY$15</f>
        <v>3.3899426046505678E-2</v>
      </c>
      <c r="AZ85" s="849">
        <f>AZ33/AZ$15</f>
        <v>4.2372194827844469E-2</v>
      </c>
      <c r="BA85" s="849">
        <f>BA33/BA$15</f>
        <v>2.7723981883958807E-2</v>
      </c>
      <c r="BB85" s="849">
        <f>BB33/BB$15</f>
        <v>2.4190024066997648E-2</v>
      </c>
      <c r="BC85" s="850">
        <f>BC33/BC$15</f>
        <v>3.184340645969895E-2</v>
      </c>
      <c r="BD85" s="227"/>
      <c r="BE85" s="848">
        <f>BE33/BE$15</f>
        <v>3.3200500750802685E-2</v>
      </c>
      <c r="BF85" s="849">
        <f>BF33/BF$15</f>
        <v>4.1102629556213251E-2</v>
      </c>
      <c r="BG85" s="849">
        <f>BG33/BG$15</f>
        <v>2.8724364981444026E-2</v>
      </c>
      <c r="BH85" s="849">
        <f>BH33/BH$15</f>
        <v>2.4900129504342373E-2</v>
      </c>
      <c r="BI85" s="850">
        <f>BI33/BI$15</f>
        <v>3.1891192412635952E-2</v>
      </c>
      <c r="BJ85" s="227"/>
      <c r="BK85" s="848">
        <f>BK33/BK$15</f>
        <v>3.2160588507764223E-2</v>
      </c>
      <c r="BL85" s="849">
        <f>BL33/BL$15</f>
        <v>4.0296574859608005E-2</v>
      </c>
      <c r="BM85" s="849">
        <f>BM33/BM$15</f>
        <v>2.666274447782507E-2</v>
      </c>
      <c r="BN85" s="849">
        <f>BN33/BN$15</f>
        <v>2.2215609546047992E-2</v>
      </c>
      <c r="BO85" s="850">
        <f>BO33/BO$15</f>
        <v>2.99549974896158E-2</v>
      </c>
      <c r="BP85" s="227"/>
      <c r="BQ85" s="848">
        <f>BQ33/BQ$15</f>
        <v>2.5990756234243274E-2</v>
      </c>
      <c r="BR85" s="849">
        <f>BR33/BR$15</f>
        <v>3.1503263069514051E-2</v>
      </c>
      <c r="BS85" s="849">
        <f>BS33/BS$15</f>
        <v>2.0783072742068722E-2</v>
      </c>
      <c r="BT85" s="849">
        <f>BT33/BT$15</f>
        <v>1.8241752633457339E-2</v>
      </c>
      <c r="BU85" s="850">
        <f>BU33/BU$15</f>
        <v>2.3920341052643807E-2</v>
      </c>
      <c r="BV85" s="227"/>
      <c r="BW85" s="848">
        <f>BW33/BW$15</f>
        <v>2.3700888058967761E-2</v>
      </c>
      <c r="BX85" s="849">
        <f>BX33/BX$15</f>
        <v>2.8553081836350688E-2</v>
      </c>
      <c r="BY85" s="849">
        <f>BY33/BY$15</f>
        <v>1.8740782191265723E-2</v>
      </c>
      <c r="BZ85" s="849">
        <f>BZ33/BZ$15</f>
        <v>1.6433635521995577E-2</v>
      </c>
      <c r="CA85" s="850">
        <f>CA33/CA$15</f>
        <v>2.1646055538200381E-2</v>
      </c>
      <c r="CB85" s="227"/>
      <c r="CC85" s="848">
        <f>CC33/CC$15</f>
        <v>2.2549154116947325E-2</v>
      </c>
      <c r="CD85" s="849">
        <f>CD33/CD$15</f>
        <v>2.7113778300577082E-2</v>
      </c>
      <c r="CE85" s="849">
        <f>CE33/CE$15</f>
        <v>1.7836048755003508E-2</v>
      </c>
      <c r="CF85" s="849">
        <f>CF33/CF$15</f>
        <v>1.571478326410166E-2</v>
      </c>
      <c r="CG85" s="850">
        <f>CG33/CG$15</f>
        <v>2.0615291477869353E-2</v>
      </c>
      <c r="CH85" s="227"/>
      <c r="CI85" s="848">
        <f>CI33/CI$15</f>
        <v>2.1828487109949415E-2</v>
      </c>
      <c r="CJ85" s="849">
        <f>CJ33/CJ$15</f>
        <v>2.6244660459734191E-2</v>
      </c>
      <c r="CK85" s="849">
        <f>CK33/CK$15</f>
        <v>1.720154329760509E-2</v>
      </c>
      <c r="CL85" s="849">
        <f>CL33/CL$15</f>
        <v>1.5167443672287052E-2</v>
      </c>
      <c r="CM85" s="850">
        <f>CM33/CM$15</f>
        <v>1.9920929055737894E-2</v>
      </c>
    </row>
    <row r="86" spans="1:91">
      <c r="A86" s="897" t="s">
        <v>212</v>
      </c>
      <c r="B86" s="227"/>
      <c r="C86" s="848"/>
      <c r="D86" s="849"/>
      <c r="E86" s="849"/>
      <c r="F86" s="849"/>
      <c r="G86" s="850"/>
      <c r="H86" s="227"/>
      <c r="I86" s="848"/>
      <c r="J86" s="849"/>
      <c r="K86" s="849"/>
      <c r="L86" s="849"/>
      <c r="M86" s="850"/>
      <c r="N86" s="227"/>
      <c r="O86" s="848">
        <f>O35/O$15</f>
        <v>7.0461607028987155E-2</v>
      </c>
      <c r="P86" s="849">
        <f>P35/P$15</f>
        <v>7.017825278645709E-2</v>
      </c>
      <c r="Q86" s="849">
        <f>Q35/Q$15</f>
        <v>6.0000000000000005E-2</v>
      </c>
      <c r="R86" s="849">
        <f>R35/R$15</f>
        <v>4.2051783530466111E-2</v>
      </c>
      <c r="S86" s="850">
        <f>S35/S$15</f>
        <v>0</v>
      </c>
      <c r="T86" s="227"/>
      <c r="U86" s="848">
        <f>U35/U$15</f>
        <v>0</v>
      </c>
      <c r="V86" s="849">
        <f>V35/V$15</f>
        <v>0</v>
      </c>
      <c r="W86" s="849">
        <f>W35/W$15</f>
        <v>0</v>
      </c>
      <c r="X86" s="849">
        <f>X35/X$15</f>
        <v>0.06</v>
      </c>
      <c r="Y86" s="850">
        <f>Y35/Y$15</f>
        <v>0</v>
      </c>
      <c r="Z86" s="227"/>
      <c r="AA86" s="848">
        <f>AA35/AA$15</f>
        <v>7.8092054914333006E-2</v>
      </c>
      <c r="AB86" s="849">
        <f>AB35/AB$15</f>
        <v>7.8254834810221732E-2</v>
      </c>
      <c r="AC86" s="849">
        <f>AC35/AC$15</f>
        <v>8.9115976279569908E-2</v>
      </c>
      <c r="AD86" s="849">
        <f>AD35/AD$15</f>
        <v>8.8433489172793159E-2</v>
      </c>
      <c r="AE86" s="850">
        <f>AE35/AE$15</f>
        <v>8.3561449738966537E-2</v>
      </c>
      <c r="AF86" s="227"/>
      <c r="AG86" s="848">
        <f>AG35/AG$15</f>
        <v>8.5954833306395917E-2</v>
      </c>
      <c r="AH86" s="849">
        <f>AH35/AH$15</f>
        <v>8.6068810156854192E-2</v>
      </c>
      <c r="AI86" s="849">
        <f>AI35/AI$15</f>
        <v>0.10053263630360459</v>
      </c>
      <c r="AJ86" s="849">
        <f>AJ35/AJ$15</f>
        <v>9.8525074869537543E-2</v>
      </c>
      <c r="AK86" s="850">
        <f>AK35/AK$15</f>
        <v>9.2832960735241776E-2</v>
      </c>
      <c r="AL86" s="227"/>
      <c r="AM86" s="848">
        <f>AM35/AM$15</f>
        <v>9.3311948425631536E-2</v>
      </c>
      <c r="AN86" s="849">
        <f>AN35/AN$15</f>
        <v>7.9895095002339114E-2</v>
      </c>
      <c r="AO86" s="849">
        <f>AO35/AO$15</f>
        <v>8.7764805155330972E-2</v>
      </c>
      <c r="AP86" s="849">
        <f>AP35/AP$15</f>
        <v>0.10226265868308149</v>
      </c>
      <c r="AQ86" s="850">
        <f>AQ35/AQ$15</f>
        <v>9.0994753421247895E-2</v>
      </c>
      <c r="AR86" s="227"/>
      <c r="AS86" s="848">
        <f>AS35/AS$15</f>
        <v>8.9748476549731102E-2</v>
      </c>
      <c r="AT86" s="849">
        <f>AT35/AT$15</f>
        <v>8.5927738951926708E-2</v>
      </c>
      <c r="AU86" s="849">
        <f>AU35/AU$15</f>
        <v>9.3281773582482186E-2</v>
      </c>
      <c r="AV86" s="849">
        <f>AV35/AV$15</f>
        <v>8.8649393727726303E-2</v>
      </c>
      <c r="AW86" s="850">
        <f>AW35/AW$15</f>
        <v>8.9371855272728104E-2</v>
      </c>
      <c r="AX86" s="227"/>
      <c r="AY86" s="848">
        <f>AY35/AY$15</f>
        <v>8.743525630042194E-2</v>
      </c>
      <c r="AZ86" s="849">
        <f>AZ35/AZ$15</f>
        <v>7.4946816046039422E-2</v>
      </c>
      <c r="BA86" s="849">
        <f>BA35/BA$15</f>
        <v>8.4973546427981952E-2</v>
      </c>
      <c r="BB86" s="849">
        <f>BB35/BB$15</f>
        <v>8.948895928935291E-2</v>
      </c>
      <c r="BC86" s="850">
        <f>BC35/BC$15</f>
        <v>8.426017764194707E-2</v>
      </c>
      <c r="BD86" s="227"/>
      <c r="BE86" s="848">
        <f>BE35/BE$15</f>
        <v>7.9915948165462616E-2</v>
      </c>
      <c r="BF86" s="849">
        <f>BF35/BF$15</f>
        <v>6.770388939983675E-2</v>
      </c>
      <c r="BG86" s="849">
        <f>BG35/BG$15</f>
        <v>7.2877419636181204E-2</v>
      </c>
      <c r="BH86" s="849">
        <f>BH35/BH$15</f>
        <v>0</v>
      </c>
      <c r="BI86" s="850">
        <f>BI35/BI$15</f>
        <v>5.3698584582396992E-2</v>
      </c>
      <c r="BJ86" s="227"/>
      <c r="BK86" s="848">
        <f>BK35/BK$15</f>
        <v>0</v>
      </c>
      <c r="BL86" s="849">
        <f>BL35/BL$15</f>
        <v>0</v>
      </c>
      <c r="BM86" s="849">
        <f>BM35/BM$15</f>
        <v>0</v>
      </c>
      <c r="BN86" s="849">
        <f>BN35/BN$15</f>
        <v>0</v>
      </c>
      <c r="BO86" s="850">
        <f>BO35/BO$15</f>
        <v>0</v>
      </c>
      <c r="BP86" s="227"/>
      <c r="BQ86" s="848">
        <f>BQ35/BQ$15</f>
        <v>0</v>
      </c>
      <c r="BR86" s="849">
        <f>BR35/BR$15</f>
        <v>0</v>
      </c>
      <c r="BS86" s="849">
        <f>BS35/BS$15</f>
        <v>0</v>
      </c>
      <c r="BT86" s="849">
        <f>BT35/BT$15</f>
        <v>0</v>
      </c>
      <c r="BU86" s="850">
        <f>BU35/BU$15</f>
        <v>0</v>
      </c>
      <c r="BV86" s="227"/>
      <c r="BW86" s="848">
        <f>BW35/BW$15</f>
        <v>0</v>
      </c>
      <c r="BX86" s="849">
        <f>BX35/BX$15</f>
        <v>0</v>
      </c>
      <c r="BY86" s="849">
        <f>BY35/BY$15</f>
        <v>0</v>
      </c>
      <c r="BZ86" s="849">
        <f>BZ35/BZ$15</f>
        <v>0</v>
      </c>
      <c r="CA86" s="850">
        <f>CA35/CA$15</f>
        <v>0</v>
      </c>
      <c r="CB86" s="227"/>
      <c r="CC86" s="848">
        <f>CC35/CC$15</f>
        <v>0</v>
      </c>
      <c r="CD86" s="849">
        <f>CD35/CD$15</f>
        <v>0</v>
      </c>
      <c r="CE86" s="849">
        <f>CE35/CE$15</f>
        <v>0</v>
      </c>
      <c r="CF86" s="849">
        <f>CF35/CF$15</f>
        <v>0</v>
      </c>
      <c r="CG86" s="850">
        <f>CG35/CG$15</f>
        <v>0</v>
      </c>
      <c r="CH86" s="227"/>
      <c r="CI86" s="848">
        <f>CI35/CI$15</f>
        <v>0</v>
      </c>
      <c r="CJ86" s="849">
        <f>CJ35/CJ$15</f>
        <v>0</v>
      </c>
      <c r="CK86" s="849">
        <f>CK35/CK$15</f>
        <v>0</v>
      </c>
      <c r="CL86" s="849">
        <f>CL35/CL$15</f>
        <v>0</v>
      </c>
      <c r="CM86" s="850">
        <f>CM35/CM$15</f>
        <v>0</v>
      </c>
    </row>
    <row r="87" spans="1:91">
      <c r="A87" s="897" t="s">
        <v>49</v>
      </c>
      <c r="B87" s="227"/>
      <c r="C87" s="848"/>
      <c r="D87" s="849"/>
      <c r="E87" s="849"/>
      <c r="F87" s="849"/>
      <c r="G87" s="850"/>
      <c r="H87" s="227"/>
      <c r="I87" s="848"/>
      <c r="J87" s="849"/>
      <c r="K87" s="849"/>
      <c r="L87" s="849"/>
      <c r="M87" s="850"/>
      <c r="N87" s="227"/>
      <c r="O87" s="848">
        <f>O37/O$15</f>
        <v>0</v>
      </c>
      <c r="P87" s="849">
        <f>P37/P$15</f>
        <v>0</v>
      </c>
      <c r="Q87" s="849">
        <f>Q37/Q$15</f>
        <v>0</v>
      </c>
      <c r="R87" s="849">
        <f>R37/R$15</f>
        <v>0</v>
      </c>
      <c r="S87" s="850">
        <f>S37/S$15</f>
        <v>0</v>
      </c>
      <c r="T87" s="227"/>
      <c r="U87" s="848">
        <f>U37/U$15</f>
        <v>7.2757375533897745E-2</v>
      </c>
      <c r="V87" s="849">
        <f>V37/V$15</f>
        <v>6.8872319491696199E-2</v>
      </c>
      <c r="W87" s="849">
        <f>W37/W$15</f>
        <v>7.0937816729267258E-2</v>
      </c>
      <c r="X87" s="849">
        <f>X37/X$15</f>
        <v>7.7097486376920113E-2</v>
      </c>
      <c r="Y87" s="850">
        <f>Y37/Y$15</f>
        <v>7.2545569709339147E-2</v>
      </c>
      <c r="Z87" s="227"/>
      <c r="AA87" s="848">
        <f>AA37/AA$15</f>
        <v>7.9921640200897384E-2</v>
      </c>
      <c r="AB87" s="849">
        <f>AB37/AB$15</f>
        <v>7.8957068985755566E-2</v>
      </c>
      <c r="AC87" s="849">
        <f>AC37/AC$15</f>
        <v>8.051319740932919E-2</v>
      </c>
      <c r="AD87" s="849">
        <f>AD37/AD$15</f>
        <v>6.0920848096813064E-2</v>
      </c>
      <c r="AE87" s="850">
        <f>AE37/AE$15</f>
        <v>7.4733435250489963E-2</v>
      </c>
      <c r="AF87" s="227"/>
      <c r="AG87" s="848">
        <f>AG37/AG$15</f>
        <v>8.480037278579719E-2</v>
      </c>
      <c r="AH87" s="849">
        <f>AH37/AH$15</f>
        <v>8.1620493273451097E-2</v>
      </c>
      <c r="AI87" s="849">
        <f>AI37/AI$15</f>
        <v>7.9626814592170067E-2</v>
      </c>
      <c r="AJ87" s="849">
        <f>AJ37/AJ$15</f>
        <v>7.8825086102348021E-2</v>
      </c>
      <c r="AK87" s="850">
        <f>AK37/AK$15</f>
        <v>8.1168343320559555E-2</v>
      </c>
      <c r="AL87" s="227"/>
      <c r="AM87" s="848">
        <f>AM37/AM$15</f>
        <v>8.022255911394606E-2</v>
      </c>
      <c r="AN87" s="849">
        <f>AN37/AN$15</f>
        <v>8.0152300144594138E-2</v>
      </c>
      <c r="AO87" s="849">
        <f>AO37/AO$15</f>
        <v>7.8652679233266395E-2</v>
      </c>
      <c r="AP87" s="849">
        <f>AP37/AP$15</f>
        <v>8.258718669039089E-2</v>
      </c>
      <c r="AQ87" s="850">
        <f>AQ37/AQ$15</f>
        <v>8.0466473392574636E-2</v>
      </c>
      <c r="AR87" s="227"/>
      <c r="AS87" s="848">
        <f>AS37/AS$15</f>
        <v>7.8399702405576824E-2</v>
      </c>
      <c r="AT87" s="849">
        <f>AT37/AT$15</f>
        <v>7.6705920988824061E-2</v>
      </c>
      <c r="AU87" s="849">
        <f>AU37/AU$15</f>
        <v>7.3968285894916636E-2</v>
      </c>
      <c r="AV87" s="849">
        <f>AV37/AV$15</f>
        <v>7.9137354598440915E-2</v>
      </c>
      <c r="AW87" s="850">
        <f>AW37/AW$15</f>
        <v>7.7107264469953626E-2</v>
      </c>
      <c r="AX87" s="227"/>
      <c r="AY87" s="848">
        <f>AY37/AY$15</f>
        <v>7.4835980983130046E-2</v>
      </c>
      <c r="AZ87" s="849">
        <f>AZ37/AZ$15</f>
        <v>7.4255507999611767E-2</v>
      </c>
      <c r="BA87" s="849">
        <f>BA37/BA$15</f>
        <v>7.2345091549111326E-2</v>
      </c>
      <c r="BB87" s="849">
        <f>BB37/BB$15</f>
        <v>7.1898151645686872E-2</v>
      </c>
      <c r="BC87" s="850">
        <f>BC37/BC$15</f>
        <v>7.3273883053379049E-2</v>
      </c>
      <c r="BD87" s="227"/>
      <c r="BE87" s="848">
        <f>BE37/BE$15</f>
        <v>6.9410791362349789E-2</v>
      </c>
      <c r="BF87" s="849">
        <f>BF37/BF$15</f>
        <v>7.2811763441942651E-2</v>
      </c>
      <c r="BG87" s="849">
        <f>BG37/BG$15</f>
        <v>6.7611598026978414E-2</v>
      </c>
      <c r="BH87" s="849">
        <f>BH37/BH$15</f>
        <v>6.3618332937707134E-2</v>
      </c>
      <c r="BI87" s="850">
        <f>BI37/BI$15</f>
        <v>6.8283456939668155E-2</v>
      </c>
      <c r="BJ87" s="227"/>
      <c r="BK87" s="848">
        <f>BK37/BK$15</f>
        <v>6.9253794490352752E-2</v>
      </c>
      <c r="BL87" s="849">
        <f>BL37/BL$15</f>
        <v>7.3504637107760867E-2</v>
      </c>
      <c r="BM87" s="849">
        <f>BM37/BM$15</f>
        <v>7.5310730653727592E-2</v>
      </c>
      <c r="BN87" s="849">
        <f>BN37/BN$15</f>
        <v>6.7437084285192198E-2</v>
      </c>
      <c r="BO87" s="850">
        <f>BO37/BO$15</f>
        <v>7.1254997352527188E-2</v>
      </c>
      <c r="BP87" s="227"/>
      <c r="BQ87" s="848">
        <f>BQ37/BQ$15</f>
        <v>5.825223577450328E-2</v>
      </c>
      <c r="BR87" s="849">
        <f>BR37/BR$15</f>
        <v>6.0396711578873961E-2</v>
      </c>
      <c r="BS87" s="849">
        <f>BS37/BS$15</f>
        <v>6.1760657220753502E-2</v>
      </c>
      <c r="BT87" s="849">
        <f>BT37/BT$15</f>
        <v>5.6504239953453682E-2</v>
      </c>
      <c r="BU87" s="850">
        <f>BU37/BU$15</f>
        <v>5.9168583217233832E-2</v>
      </c>
      <c r="BV87" s="227"/>
      <c r="BW87" s="848">
        <f>BW37/BW$15</f>
        <v>5.5310545434693069E-2</v>
      </c>
      <c r="BX87" s="849">
        <f>BX37/BX$15</f>
        <v>5.69981005315124E-2</v>
      </c>
      <c r="BY87" s="849">
        <f>BY37/BY$15</f>
        <v>5.7988183422027072E-2</v>
      </c>
      <c r="BZ87" s="849">
        <f>BZ37/BZ$15</f>
        <v>5.3002672175233849E-2</v>
      </c>
      <c r="CA87" s="850">
        <f>CA37/CA$15</f>
        <v>5.5750942110955222E-2</v>
      </c>
      <c r="CB87" s="227"/>
      <c r="CC87" s="848">
        <f>CC37/CC$15</f>
        <v>5.2106845122949844E-2</v>
      </c>
      <c r="CD87" s="849">
        <f>CD37/CD$15</f>
        <v>5.3594304032390447E-2</v>
      </c>
      <c r="CE87" s="849">
        <f>CE37/CE$15</f>
        <v>5.464766921801479E-2</v>
      </c>
      <c r="CF87" s="849">
        <f>CF37/CF$15</f>
        <v>5.0187286204456186E-2</v>
      </c>
      <c r="CG87" s="850">
        <f>CG37/CG$15</f>
        <v>5.2575586244638865E-2</v>
      </c>
      <c r="CH87" s="227"/>
      <c r="CI87" s="848">
        <f>CI37/CI$15</f>
        <v>4.9946994799368157E-2</v>
      </c>
      <c r="CJ87" s="849">
        <f>CJ37/CJ$15</f>
        <v>5.1367775094666598E-2</v>
      </c>
      <c r="CK87" s="849">
        <f>CK37/CK$15</f>
        <v>5.2186912973319191E-2</v>
      </c>
      <c r="CL87" s="849">
        <f>CL37/CL$15</f>
        <v>4.7964388242382278E-2</v>
      </c>
      <c r="CM87" s="850">
        <f>CM37/CM$15</f>
        <v>5.0306654317852008E-2</v>
      </c>
    </row>
    <row r="88" spans="1:91">
      <c r="A88" s="2194" t="s">
        <v>527</v>
      </c>
      <c r="B88" s="2195"/>
      <c r="C88" s="2196">
        <f>C12/C$15</f>
        <v>0.25654504839910647</v>
      </c>
      <c r="D88" s="2197">
        <f>D12/D$15</f>
        <v>0.25384984792700499</v>
      </c>
      <c r="E88" s="2197">
        <f>E12/E$15</f>
        <v>0.26700836416720991</v>
      </c>
      <c r="F88" s="2197">
        <f>F12/F$15</f>
        <v>0.21089048149034206</v>
      </c>
      <c r="G88" s="2198">
        <f>G12/G$15</f>
        <v>0.2459754986043689</v>
      </c>
      <c r="H88" s="2195"/>
      <c r="I88" s="2196">
        <f>I12/I$15</f>
        <v>0.60740974886641086</v>
      </c>
      <c r="J88" s="2197">
        <f>J12/J$15</f>
        <v>0.59618389393324289</v>
      </c>
      <c r="K88" s="2197">
        <f>K12/K$15</f>
        <v>0.58914207295293752</v>
      </c>
      <c r="L88" s="2197">
        <f>L12/L$15</f>
        <v>0.6120931442174965</v>
      </c>
      <c r="M88" s="2198">
        <f>M12/M$15</f>
        <v>0.60119384112254426</v>
      </c>
      <c r="N88" s="2195"/>
      <c r="O88" s="2196">
        <f>O12/O$15</f>
        <v>0.52502525819751711</v>
      </c>
      <c r="P88" s="2197">
        <f>P12/P$15</f>
        <v>0.51019449383608528</v>
      </c>
      <c r="Q88" s="2197">
        <f>Q12/Q$15</f>
        <v>0.52489417456158027</v>
      </c>
      <c r="R88" s="2197">
        <f>R12/R$15</f>
        <v>0.54960604561282311</v>
      </c>
      <c r="S88" s="2198">
        <f>S12/S$15</f>
        <v>0.52820154684846066</v>
      </c>
      <c r="T88" s="2195"/>
      <c r="U88" s="2196">
        <f>U12/U$15</f>
        <v>0.52068806151314617</v>
      </c>
      <c r="V88" s="2197">
        <f>V12/V$15</f>
        <v>0.53136476250311171</v>
      </c>
      <c r="W88" s="2197">
        <f>W12/W$15</f>
        <v>0.53570142490908002</v>
      </c>
      <c r="X88" s="2197">
        <f>X12/X$15</f>
        <v>0.54072886136149978</v>
      </c>
      <c r="Y88" s="2198">
        <f>Y12/Y$15</f>
        <v>0.53254744645412533</v>
      </c>
      <c r="Z88" s="2195"/>
      <c r="AA88" s="2196">
        <f>AA12/AA$15</f>
        <v>0.7286264669592516</v>
      </c>
      <c r="AB88" s="2197">
        <f>AB12/AB$15</f>
        <v>0.71949712701789348</v>
      </c>
      <c r="AC88" s="2197">
        <f>AC12/AC$15</f>
        <v>0.7240672695622693</v>
      </c>
      <c r="AD88" s="2197">
        <f>AD12/AD$15</f>
        <v>0.75044709024342804</v>
      </c>
      <c r="AE88" s="2198">
        <f>AE12/AE$15</f>
        <v>0.73103408254127888</v>
      </c>
      <c r="AF88" s="2195"/>
      <c r="AG88" s="2196">
        <f>AG12/AG$15</f>
        <v>0.71279434020482224</v>
      </c>
      <c r="AH88" s="2197">
        <f>AH12/AH$15</f>
        <v>0.71123548573375817</v>
      </c>
      <c r="AI88" s="2197">
        <f>AI12/AI$15</f>
        <v>0.71275293331197009</v>
      </c>
      <c r="AJ88" s="2197">
        <f>AJ12/AJ$15</f>
        <v>0.73759336083785343</v>
      </c>
      <c r="AK88" s="2198">
        <f>AK12/AK$15</f>
        <v>0.7190418598645113</v>
      </c>
      <c r="AL88" s="2195"/>
      <c r="AM88" s="2196">
        <f>AM12/AM$15</f>
        <v>0.70476542146306242</v>
      </c>
      <c r="AN88" s="2197">
        <f>AN12/AN$15</f>
        <v>0.71422141161528752</v>
      </c>
      <c r="AO88" s="2197">
        <f>AO12/AO$15</f>
        <v>0.71459549640455422</v>
      </c>
      <c r="AP88" s="2197">
        <f>AP12/AP$15</f>
        <v>0.72817337961815898</v>
      </c>
      <c r="AQ88" s="2198">
        <f>AQ12/AQ$15</f>
        <v>0.71589341262059303</v>
      </c>
      <c r="AR88" s="2195"/>
      <c r="AS88" s="2196">
        <f>AS12/AS$15</f>
        <v>0.71425443402276045</v>
      </c>
      <c r="AT88" s="2197">
        <f>AT12/AT$15</f>
        <v>0.71402087753932508</v>
      </c>
      <c r="AU88" s="2197">
        <f>AU12/AU$15</f>
        <v>0.70501757760881412</v>
      </c>
      <c r="AV88" s="2197">
        <f>AV12/AV$15</f>
        <v>0.72718327409957106</v>
      </c>
      <c r="AW88" s="2198">
        <f>AW12/AW$15</f>
        <v>0.71554901063671217</v>
      </c>
      <c r="AX88" s="2195"/>
      <c r="AY88" s="2196">
        <f>AY12/AY$15</f>
        <v>0.71963122300851334</v>
      </c>
      <c r="AZ88" s="2197">
        <f>AZ12/AZ$15</f>
        <v>0.72608156996781892</v>
      </c>
      <c r="BA88" s="2197">
        <f>BA12/BA$15</f>
        <v>0.72314347512617161</v>
      </c>
      <c r="BB88" s="2197">
        <f>BB12/BB$15</f>
        <v>0.73355997137203721</v>
      </c>
      <c r="BC88" s="2198">
        <f>BC12/BC$15</f>
        <v>0.72588881184639198</v>
      </c>
      <c r="BD88" s="2195"/>
      <c r="BE88" s="2196">
        <f>BE12/BE$15</f>
        <v>0.71548261610506814</v>
      </c>
      <c r="BF88" s="2197">
        <f>BF12/BF$15</f>
        <v>0.71120655906401353</v>
      </c>
      <c r="BG88" s="2197">
        <f>BG12/BG$15</f>
        <v>0.70937211584234405</v>
      </c>
      <c r="BH88" s="2197">
        <f>BH12/BH$15</f>
        <v>0.72306395227831544</v>
      </c>
      <c r="BI88" s="2198">
        <f>BI12/BI$15</f>
        <v>0.71494375842300539</v>
      </c>
      <c r="BJ88" s="2195"/>
      <c r="BK88" s="2196">
        <f>BK12/BK$15</f>
        <v>0.7034026832587984</v>
      </c>
      <c r="BL88" s="2197">
        <f>BL12/BL$15</f>
        <v>0.70022736078720926</v>
      </c>
      <c r="BM88" s="2197">
        <f>BM12/BM$15</f>
        <v>0.69505825487862061</v>
      </c>
      <c r="BN88" s="2197">
        <f>BN12/BN$15</f>
        <v>0.69831058289019188</v>
      </c>
      <c r="BO88" s="2198">
        <f>BO12/BO$15</f>
        <v>0.69913634376521172</v>
      </c>
      <c r="BP88" s="2195"/>
      <c r="BQ88" s="2196">
        <f>BQ12/BQ$15</f>
        <v>0.62509658260876166</v>
      </c>
      <c r="BR88" s="2197">
        <f>BR12/BR$15</f>
        <v>0.59958741485445699</v>
      </c>
      <c r="BS88" s="2197">
        <f>BS12/BS$15</f>
        <v>0.59088466584504606</v>
      </c>
      <c r="BT88" s="2197">
        <f>BT12/BT$15</f>
        <v>0.60649837357107539</v>
      </c>
      <c r="BU88" s="2198">
        <f>BU12/BU$15</f>
        <v>0.60511961171513373</v>
      </c>
      <c r="BV88" s="2195"/>
      <c r="BW88" s="2196">
        <f>BW12/BW$15</f>
        <v>0.61339124562372194</v>
      </c>
      <c r="BX88" s="2197">
        <f>BX12/BX$15</f>
        <v>0.58460923828564704</v>
      </c>
      <c r="BY88" s="2197">
        <f>BY12/BY$15</f>
        <v>0.57246417277411965</v>
      </c>
      <c r="BZ88" s="2197">
        <f>BZ12/BZ$15</f>
        <v>0.58714214729535674</v>
      </c>
      <c r="CA88" s="2198">
        <f>CA12/CA$15</f>
        <v>0.58875620559102959</v>
      </c>
      <c r="CB88" s="2195"/>
      <c r="CC88" s="2196">
        <f>CC12/CC$15</f>
        <v>0.58801853462390774</v>
      </c>
      <c r="CD88" s="2197">
        <f>CD12/CD$15</f>
        <v>0.55934106717149779</v>
      </c>
      <c r="CE88" s="2197">
        <f>CE12/CE$15</f>
        <v>0.54847161610228012</v>
      </c>
      <c r="CF88" s="2197">
        <f>CF12/CF$15</f>
        <v>0.56529718958049435</v>
      </c>
      <c r="CG88" s="2198">
        <f>CG12/CG$15</f>
        <v>0.56473436899052842</v>
      </c>
      <c r="CH88" s="2195"/>
      <c r="CI88" s="2196">
        <f>CI12/CI$15</f>
        <v>0.57358775329973655</v>
      </c>
      <c r="CJ88" s="2197">
        <f>CJ12/CJ$15</f>
        <v>0.54554151727363276</v>
      </c>
      <c r="CK88" s="2197">
        <f>CK12/CK$15</f>
        <v>0.53253554010728044</v>
      </c>
      <c r="CL88" s="2197">
        <f>CL12/CL$15</f>
        <v>0.54938023074704778</v>
      </c>
      <c r="CM88" s="2198">
        <f>CM12/CM$15</f>
        <v>0.5496573673100803</v>
      </c>
    </row>
    <row r="89" spans="1:91" s="228" customFormat="1">
      <c r="A89" s="900" t="s">
        <v>26</v>
      </c>
      <c r="B89" s="353"/>
      <c r="C89" s="860"/>
      <c r="D89" s="453"/>
      <c r="E89" s="453"/>
      <c r="F89" s="453"/>
      <c r="G89" s="861"/>
      <c r="H89" s="353"/>
      <c r="I89" s="860"/>
      <c r="J89" s="453"/>
      <c r="K89" s="453"/>
      <c r="L89" s="453"/>
      <c r="M89" s="861"/>
      <c r="N89" s="353"/>
      <c r="O89" s="860">
        <f>O59/O$15</f>
        <v>0</v>
      </c>
      <c r="P89" s="453">
        <f>P59/P$15</f>
        <v>0</v>
      </c>
      <c r="Q89" s="453">
        <f>Q59/Q$15</f>
        <v>0</v>
      </c>
      <c r="R89" s="453">
        <f>R59/R$15</f>
        <v>0</v>
      </c>
      <c r="S89" s="861">
        <f>S59/S$15</f>
        <v>0</v>
      </c>
      <c r="T89" s="353"/>
      <c r="U89" s="860">
        <f>U59/U$15</f>
        <v>0</v>
      </c>
      <c r="V89" s="453">
        <f>V59/V$15</f>
        <v>0</v>
      </c>
      <c r="W89" s="453">
        <f>W59/W$15</f>
        <v>0</v>
      </c>
      <c r="X89" s="453">
        <f>X59/X$15</f>
        <v>0</v>
      </c>
      <c r="Y89" s="861">
        <f>Y59/Y$15</f>
        <v>0</v>
      </c>
      <c r="Z89" s="353"/>
      <c r="AA89" s="860">
        <f>AA59/AA$15</f>
        <v>0.195653195415327</v>
      </c>
      <c r="AB89" s="453">
        <f>AB59/AB$15</f>
        <v>0.19498099849050543</v>
      </c>
      <c r="AC89" s="453">
        <f>AC59/AC$15</f>
        <v>0.18634824691235027</v>
      </c>
      <c r="AD89" s="453">
        <f>AD59/AD$15</f>
        <v>0.18615678668073743</v>
      </c>
      <c r="AE89" s="861">
        <f>AE59/AE$15</f>
        <v>0.19069468775323459</v>
      </c>
      <c r="AF89" s="353"/>
      <c r="AG89" s="860">
        <f>AG59/AG$15</f>
        <v>0.19142465549848556</v>
      </c>
      <c r="AH89" s="453">
        <f>AH59/AH$15</f>
        <v>0.20826806990795249</v>
      </c>
      <c r="AI89" s="453">
        <f>AI59/AI$15</f>
        <v>0.19194122945915237</v>
      </c>
      <c r="AJ89" s="453">
        <f>AJ59/AJ$15</f>
        <v>0.19838267024847356</v>
      </c>
      <c r="AK89" s="861">
        <f>AK59/AK$15</f>
        <v>0.19762550599996537</v>
      </c>
      <c r="AL89" s="353"/>
      <c r="AM89" s="860">
        <f>AM59/AM$15</f>
        <v>0.20543426572779505</v>
      </c>
      <c r="AN89" s="453">
        <f>AN59/AN$15</f>
        <v>0.22019155886528557</v>
      </c>
      <c r="AO89" s="453">
        <f>AO59/AO$15</f>
        <v>0.19897886184667982</v>
      </c>
      <c r="AP89" s="453">
        <f>AP59/AP$15</f>
        <v>0.20008079164269169</v>
      </c>
      <c r="AQ89" s="861">
        <f>AQ59/AQ$15</f>
        <v>0.20616356638367031</v>
      </c>
      <c r="AR89" s="353"/>
      <c r="AS89" s="860">
        <f>AS59/AS$15</f>
        <v>0.22181596652977098</v>
      </c>
      <c r="AT89" s="453">
        <f>AT59/AT$15</f>
        <v>0.23287061709970366</v>
      </c>
      <c r="AU89" s="453">
        <f>AU59/AU$15</f>
        <v>0.20619966714437238</v>
      </c>
      <c r="AV89" s="453">
        <f>AV59/AV$15</f>
        <v>0.20906760846008024</v>
      </c>
      <c r="AW89" s="861">
        <f>AW59/AW$15</f>
        <v>0.21713592535243245</v>
      </c>
      <c r="AX89" s="353"/>
      <c r="AY89" s="860">
        <f>AY59/AY$15</f>
        <v>0.21654344000008402</v>
      </c>
      <c r="AZ89" s="453">
        <f>AZ59/AZ$15</f>
        <v>0.23866617873268905</v>
      </c>
      <c r="BA89" s="453">
        <f>BA59/BA$15</f>
        <v>0.22211954593582092</v>
      </c>
      <c r="BB89" s="453">
        <f>BB59/BB$15</f>
        <v>0.18810604841771486</v>
      </c>
      <c r="BC89" s="861">
        <f>BC59/BC$15</f>
        <v>0.21575722420809074</v>
      </c>
      <c r="BD89" s="353"/>
      <c r="BE89" s="860">
        <f>BE59/BE$15</f>
        <v>0.21080721081189388</v>
      </c>
      <c r="BF89" s="453">
        <f>BF59/BF$15</f>
        <v>0.2419747377885427</v>
      </c>
      <c r="BG89" s="453">
        <f>BG59/BG$15</f>
        <v>0.2296524941709549</v>
      </c>
      <c r="BH89" s="453">
        <f>BH59/BH$15</f>
        <v>0.19099000714347969</v>
      </c>
      <c r="BI89" s="861">
        <f>BI59/BI$15</f>
        <v>0.21798147906518653</v>
      </c>
      <c r="BJ89" s="353"/>
      <c r="BK89" s="860">
        <f>BK59/BK$15</f>
        <v>0.20824811752300723</v>
      </c>
      <c r="BL89" s="453">
        <f>BL59/BL$15</f>
        <v>0.23798572497866854</v>
      </c>
      <c r="BM89" s="453">
        <f>BM59/BM$15</f>
        <v>0.22809163506180627</v>
      </c>
      <c r="BN89" s="453">
        <f>BN59/BN$15</f>
        <v>0.18220892867120844</v>
      </c>
      <c r="BO89" s="861">
        <f>BO59/BO$15</f>
        <v>0.21292577032560031</v>
      </c>
      <c r="BP89" s="353"/>
      <c r="BQ89" s="860">
        <f>BQ59/BQ$15</f>
        <v>0.1794594067429594</v>
      </c>
      <c r="BR89" s="453">
        <f>BR59/BR$15</f>
        <v>0.19934325135162939</v>
      </c>
      <c r="BS89" s="453">
        <f>BS59/BS$15</f>
        <v>0.19353491357644032</v>
      </c>
      <c r="BT89" s="453">
        <f>BT59/BT$15</f>
        <v>0.15801279572217505</v>
      </c>
      <c r="BU89" s="861">
        <f>BU59/BU$15</f>
        <v>0.18193233464738304</v>
      </c>
      <c r="BV89" s="353"/>
      <c r="BW89" s="860">
        <f>BW59/BW$15</f>
        <v>0.1754581459134931</v>
      </c>
      <c r="BX89" s="453">
        <f>BX59/BX$15</f>
        <v>0.19371381435277985</v>
      </c>
      <c r="BY89" s="453">
        <f>BY59/BY$15</f>
        <v>0.18711081200428212</v>
      </c>
      <c r="BZ89" s="453">
        <f>BZ59/BZ$15</f>
        <v>0.15262333900970723</v>
      </c>
      <c r="CA89" s="861">
        <f>CA59/CA$15</f>
        <v>0.17651552088223896</v>
      </c>
      <c r="CB89" s="353"/>
      <c r="CC89" s="860">
        <f>CC59/CC$15</f>
        <v>0.16856842325645527</v>
      </c>
      <c r="CD89" s="453">
        <f>CD59/CD$15</f>
        <v>0.18575251229636736</v>
      </c>
      <c r="CE89" s="453">
        <f>CE59/CE$15</f>
        <v>0.17982367708905092</v>
      </c>
      <c r="CF89" s="453">
        <f>CF59/CF$15</f>
        <v>0.147378030527336</v>
      </c>
      <c r="CG89" s="861">
        <f>CG59/CG$15</f>
        <v>0.16975816136531638</v>
      </c>
      <c r="CH89" s="353"/>
      <c r="CI89" s="860">
        <f>CI59/CI$15</f>
        <v>0.16478081982665654</v>
      </c>
      <c r="CJ89" s="453">
        <f>CJ59/CJ$15</f>
        <v>0.18156104220167826</v>
      </c>
      <c r="CK89" s="453">
        <f>CK59/CK$15</f>
        <v>0.17512683102515048</v>
      </c>
      <c r="CL89" s="453">
        <f>CL59/CL$15</f>
        <v>0.14363947086391793</v>
      </c>
      <c r="CM89" s="861">
        <f>CM59/CM$15</f>
        <v>0.1656486210450907</v>
      </c>
    </row>
    <row r="90" spans="1:91" s="228" customFormat="1">
      <c r="A90" s="900" t="s">
        <v>179</v>
      </c>
      <c r="B90" s="353"/>
      <c r="C90" s="860"/>
      <c r="D90" s="453"/>
      <c r="E90" s="453"/>
      <c r="F90" s="453"/>
      <c r="G90" s="861"/>
      <c r="H90" s="353"/>
      <c r="I90" s="860"/>
      <c r="J90" s="453"/>
      <c r="K90" s="453"/>
      <c r="L90" s="453"/>
      <c r="M90" s="861"/>
      <c r="N90" s="353"/>
      <c r="O90" s="860">
        <f>O61/O$15</f>
        <v>0</v>
      </c>
      <c r="P90" s="453">
        <f>P61/P$15</f>
        <v>0</v>
      </c>
      <c r="Q90" s="453">
        <f>Q61/Q$15</f>
        <v>0</v>
      </c>
      <c r="R90" s="453">
        <f>R61/R$15</f>
        <v>0</v>
      </c>
      <c r="S90" s="861">
        <f>S61/S$15</f>
        <v>0</v>
      </c>
      <c r="T90" s="353"/>
      <c r="U90" s="860">
        <f>U61/U$15</f>
        <v>0</v>
      </c>
      <c r="V90" s="453">
        <f>V61/V$15</f>
        <v>0</v>
      </c>
      <c r="W90" s="453">
        <f>W61/W$15</f>
        <v>0</v>
      </c>
      <c r="X90" s="453">
        <f>X61/X$15</f>
        <v>0</v>
      </c>
      <c r="Y90" s="861">
        <f>Y61/Y$15</f>
        <v>0</v>
      </c>
      <c r="Z90" s="353"/>
      <c r="AA90" s="860">
        <f>AA61/AA$15</f>
        <v>0.20961578708982148</v>
      </c>
      <c r="AB90" s="453">
        <f>AB61/AB$15</f>
        <v>0.20285744646236664</v>
      </c>
      <c r="AC90" s="453">
        <f>AC61/AC$15</f>
        <v>0.20595668744530318</v>
      </c>
      <c r="AD90" s="453">
        <f>AD61/AD$15</f>
        <v>0.21115609689952189</v>
      </c>
      <c r="AE90" s="861">
        <f>AE61/AE$15</f>
        <v>0.20741905314662915</v>
      </c>
      <c r="AF90" s="353"/>
      <c r="AG90" s="860">
        <f>AG61/AG$15</f>
        <v>0.20508548171439486</v>
      </c>
      <c r="AH90" s="453">
        <f>AH61/AH$15</f>
        <v>0.20462108054922429</v>
      </c>
      <c r="AI90" s="453">
        <f>AI61/AI$15</f>
        <v>0.20203637139753269</v>
      </c>
      <c r="AJ90" s="453">
        <f>AJ61/AJ$15</f>
        <v>0.20354426909625373</v>
      </c>
      <c r="AK90" s="861">
        <f>AK61/AK$15</f>
        <v>0.20382829398194524</v>
      </c>
      <c r="AL90" s="353"/>
      <c r="AM90" s="860">
        <f>AM61/AM$15</f>
        <v>0.20525225202518915</v>
      </c>
      <c r="AN90" s="453">
        <f>AN61/AN$15</f>
        <v>0.19634171247333607</v>
      </c>
      <c r="AO90" s="453">
        <f>AO61/AO$15</f>
        <v>0.20351648324244614</v>
      </c>
      <c r="AP90" s="453">
        <f>AP61/AP$15</f>
        <v>0.19353508676281453</v>
      </c>
      <c r="AQ90" s="861">
        <f>AQ61/AQ$15</f>
        <v>0.19939285567553477</v>
      </c>
      <c r="AR90" s="353"/>
      <c r="AS90" s="860">
        <f>AS61/AS$15</f>
        <v>0.20078681467253567</v>
      </c>
      <c r="AT90" s="453">
        <f>AT61/AT$15</f>
        <v>0.19591595580473262</v>
      </c>
      <c r="AU90" s="453">
        <f>AU61/AU$15</f>
        <v>0.1993139361397091</v>
      </c>
      <c r="AV90" s="453">
        <f>AV61/AV$15</f>
        <v>0.19410991728111515</v>
      </c>
      <c r="AW90" s="861">
        <f>AW61/AW$15</f>
        <v>0.19737011076714489</v>
      </c>
      <c r="AX90" s="353"/>
      <c r="AY90" s="860">
        <f>AY61/AY$15</f>
        <v>0.2015392645045157</v>
      </c>
      <c r="AZ90" s="453">
        <f>AZ61/AZ$15</f>
        <v>0.19341290279245338</v>
      </c>
      <c r="BA90" s="453">
        <f>BA61/BA$15</f>
        <v>0.20067363107059794</v>
      </c>
      <c r="BB90" s="453">
        <f>BB61/BB$15</f>
        <v>0.20476593210346225</v>
      </c>
      <c r="BC90" s="861">
        <f>BC61/BC$15</f>
        <v>0.2001687847042922</v>
      </c>
      <c r="BD90" s="353"/>
      <c r="BE90" s="860">
        <f>BE61/BE$15</f>
        <v>0.20576333194903068</v>
      </c>
      <c r="BF90" s="453">
        <f>BF61/BF$15</f>
        <v>0.19225262187863101</v>
      </c>
      <c r="BG90" s="453">
        <f>BG61/BG$15</f>
        <v>0.17934505155305416</v>
      </c>
      <c r="BH90" s="453">
        <f>BH61/BH$15</f>
        <v>0.18530284996926816</v>
      </c>
      <c r="BI90" s="861">
        <f>BI61/BI$15</f>
        <v>0.19043223130444359</v>
      </c>
      <c r="BJ90" s="353"/>
      <c r="BK90" s="860">
        <f>BK61/BK$15</f>
        <v>0.20729110968559275</v>
      </c>
      <c r="BL90" s="453">
        <f>BL61/BL$15</f>
        <v>0.18942480966302708</v>
      </c>
      <c r="BM90" s="453">
        <f>BM61/BM$15</f>
        <v>0.17396428759629634</v>
      </c>
      <c r="BN90" s="453">
        <f>BN61/BN$15</f>
        <v>0.18824142133794405</v>
      </c>
      <c r="BO90" s="861">
        <f>BO61/BO$15</f>
        <v>0.18936141666868789</v>
      </c>
      <c r="BP90" s="353"/>
      <c r="BQ90" s="860">
        <f>BQ61/BQ$15</f>
        <v>0.18632710118539858</v>
      </c>
      <c r="BR90" s="453">
        <f>BR61/BR$15</f>
        <v>0.16471179048607626</v>
      </c>
      <c r="BS90" s="453">
        <f>BS61/BS$15</f>
        <v>0.14972683425375014</v>
      </c>
      <c r="BT90" s="453">
        <f>BT61/BT$15</f>
        <v>0.16403283290386364</v>
      </c>
      <c r="BU90" s="861">
        <f>BU61/BU$15</f>
        <v>0.16570068614548494</v>
      </c>
      <c r="BV90" s="353"/>
      <c r="BW90" s="860">
        <f>BW61/BW$15</f>
        <v>0.18567603842313887</v>
      </c>
      <c r="BX90" s="453">
        <f>BX61/BX$15</f>
        <v>0.16313842661053124</v>
      </c>
      <c r="BY90" s="453">
        <f>BY61/BY$15</f>
        <v>0.14754066233915919</v>
      </c>
      <c r="BZ90" s="453">
        <f>BZ61/BZ$15</f>
        <v>0.16148493193726918</v>
      </c>
      <c r="CA90" s="861">
        <f>CA61/CA$15</f>
        <v>0.16385882591340753</v>
      </c>
      <c r="CB90" s="353"/>
      <c r="CC90" s="860">
        <f>CC61/CC$15</f>
        <v>0.17838508933592101</v>
      </c>
      <c r="CD90" s="453">
        <f>CD61/CD$15</f>
        <v>0.15643372000200284</v>
      </c>
      <c r="CE90" s="453">
        <f>CE61/CE$15</f>
        <v>0.14179460896879909</v>
      </c>
      <c r="CF90" s="453">
        <f>CF61/CF$15</f>
        <v>0.15593507115738009</v>
      </c>
      <c r="CG90" s="861">
        <f>CG61/CG$15</f>
        <v>0.15758598944450339</v>
      </c>
      <c r="CH90" s="353"/>
      <c r="CI90" s="860">
        <f>CI61/CI$15</f>
        <v>0.1743769129340704</v>
      </c>
      <c r="CJ90" s="453">
        <f>CJ61/CJ$15</f>
        <v>0.15290382287661047</v>
      </c>
      <c r="CK90" s="453">
        <f>CK61/CK$15</f>
        <v>0.13809105078448056</v>
      </c>
      <c r="CL90" s="453">
        <f>CL61/CL$15</f>
        <v>0.15197944381553502</v>
      </c>
      <c r="CM90" s="861">
        <f>CM61/CM$15</f>
        <v>0.15377111555380893</v>
      </c>
    </row>
    <row r="91" spans="1:91" s="228" customFormat="1">
      <c r="A91" s="900" t="s">
        <v>216</v>
      </c>
      <c r="B91" s="353"/>
      <c r="C91" s="860"/>
      <c r="D91" s="453"/>
      <c r="E91" s="453"/>
      <c r="F91" s="453"/>
      <c r="G91" s="861"/>
      <c r="H91" s="353"/>
      <c r="I91" s="860"/>
      <c r="J91" s="453"/>
      <c r="K91" s="453"/>
      <c r="L91" s="453"/>
      <c r="M91" s="861"/>
      <c r="N91" s="353"/>
      <c r="O91" s="860">
        <f>O63/O$15</f>
        <v>0</v>
      </c>
      <c r="P91" s="453">
        <f>P63/P$15</f>
        <v>0</v>
      </c>
      <c r="Q91" s="453">
        <f>Q63/Q$15</f>
        <v>0</v>
      </c>
      <c r="R91" s="453">
        <f>R63/R$15</f>
        <v>0</v>
      </c>
      <c r="S91" s="861">
        <f>S63/S$15</f>
        <v>0</v>
      </c>
      <c r="T91" s="353"/>
      <c r="U91" s="860">
        <f>U63/U$15</f>
        <v>0</v>
      </c>
      <c r="V91" s="453">
        <f>V63/V$15</f>
        <v>0</v>
      </c>
      <c r="W91" s="453">
        <f>W63/W$15</f>
        <v>0</v>
      </c>
      <c r="X91" s="453">
        <f>X63/X$15</f>
        <v>0</v>
      </c>
      <c r="Y91" s="861">
        <f>Y63/Y$15</f>
        <v>0</v>
      </c>
      <c r="Z91" s="353"/>
      <c r="AA91" s="860">
        <f>AA63/AA$15</f>
        <v>9.9817041471343571E-2</v>
      </c>
      <c r="AB91" s="453">
        <f>AB63/AB$15</f>
        <v>9.2934692221675358E-2</v>
      </c>
      <c r="AC91" s="453">
        <f>AC63/AC$15</f>
        <v>9.0774250098321671E-2</v>
      </c>
      <c r="AD91" s="453">
        <f>AD63/AD$15</f>
        <v>0.10231274798224256</v>
      </c>
      <c r="AE91" s="861">
        <f>AE63/AE$15</f>
        <v>9.6545041665454884E-2</v>
      </c>
      <c r="AF91" s="353"/>
      <c r="AG91" s="860">
        <f>AG63/AG$15</f>
        <v>9.7659753197330904E-2</v>
      </c>
      <c r="AH91" s="453">
        <f>AH63/AH$15</f>
        <v>9.0151342440820029E-2</v>
      </c>
      <c r="AI91" s="453">
        <f>AI63/AI$15</f>
        <v>8.1477449483774805E-2</v>
      </c>
      <c r="AJ91" s="453">
        <f>AJ63/AJ$15</f>
        <v>8.8216927693066285E-2</v>
      </c>
      <c r="AK91" s="861">
        <f>AK63/AK$15</f>
        <v>8.9387551668920526E-2</v>
      </c>
      <c r="AL91" s="353"/>
      <c r="AM91" s="860">
        <f>AM63/AM$15</f>
        <v>8.4314038186434959E-2</v>
      </c>
      <c r="AN91" s="453">
        <f>AN63/AN$15</f>
        <v>9.2669890749671566E-2</v>
      </c>
      <c r="AO91" s="453">
        <f>AO63/AO$15</f>
        <v>8.207435061222057E-2</v>
      </c>
      <c r="AP91" s="453">
        <f>AP63/AP$15</f>
        <v>8.9835855662425065E-2</v>
      </c>
      <c r="AQ91" s="861">
        <f>AQ63/AQ$15</f>
        <v>8.7390009288237216E-2</v>
      </c>
      <c r="AR91" s="353"/>
      <c r="AS91" s="860">
        <f>AS63/AS$15</f>
        <v>8.2479714559015968E-2</v>
      </c>
      <c r="AT91" s="453">
        <f>AT63/AT$15</f>
        <v>9.2468940969472502E-2</v>
      </c>
      <c r="AU91" s="453">
        <f>AU63/AU$15</f>
        <v>8.0379542806586893E-2</v>
      </c>
      <c r="AV91" s="453">
        <f>AV63/AV$15</f>
        <v>8.6334447816858395E-2</v>
      </c>
      <c r="AW91" s="861">
        <f>AW63/AW$15</f>
        <v>8.5485092084064643E-2</v>
      </c>
      <c r="AX91" s="353"/>
      <c r="AY91" s="860">
        <f>AY63/AY$15</f>
        <v>8.7658737670945258E-2</v>
      </c>
      <c r="AZ91" s="453">
        <f>AZ63/AZ$15</f>
        <v>9.3060116916579422E-2</v>
      </c>
      <c r="BA91" s="453">
        <f>BA63/BA$15</f>
        <v>8.0927882069851798E-2</v>
      </c>
      <c r="BB91" s="453">
        <f>BB63/BB$15</f>
        <v>9.063817295883668E-2</v>
      </c>
      <c r="BC91" s="861">
        <f>BC63/BC$15</f>
        <v>8.8132939340569358E-2</v>
      </c>
      <c r="BD91" s="353"/>
      <c r="BE91" s="860">
        <f>BE63/BE$15</f>
        <v>8.2677238448061477E-2</v>
      </c>
      <c r="BF91" s="453">
        <f>BF63/BF$15</f>
        <v>8.272733345155818E-2</v>
      </c>
      <c r="BG91" s="453">
        <f>BG63/BG$15</f>
        <v>8.3072115966816726E-2</v>
      </c>
      <c r="BH91" s="453">
        <f>BH63/BH$15</f>
        <v>8.5668444817199554E-2</v>
      </c>
      <c r="BI91" s="861">
        <f>BI63/BI$15</f>
        <v>8.3587337887055843E-2</v>
      </c>
      <c r="BJ91" s="353"/>
      <c r="BK91" s="860">
        <f>BK63/BK$15</f>
        <v>7.9687168615943632E-2</v>
      </c>
      <c r="BL91" s="453">
        <f>BL63/BL$15</f>
        <v>8.3132610416748992E-2</v>
      </c>
      <c r="BM91" s="453">
        <f>BM63/BM$15</f>
        <v>8.0579761460600405E-2</v>
      </c>
      <c r="BN91" s="453">
        <f>BN63/BN$15</f>
        <v>8.399996709946031E-2</v>
      </c>
      <c r="BO91" s="861">
        <f>BO63/BO$15</f>
        <v>8.1967386564777853E-2</v>
      </c>
      <c r="BP91" s="353"/>
      <c r="BQ91" s="860">
        <f>BQ63/BQ$15</f>
        <v>7.2285291092290122E-2</v>
      </c>
      <c r="BR91" s="453">
        <f>BR63/BR$15</f>
        <v>7.1623659035024073E-2</v>
      </c>
      <c r="BS91" s="453">
        <f>BS63/BS$15</f>
        <v>6.739022030377867E-2</v>
      </c>
      <c r="BT91" s="453">
        <f>BT63/BT$15</f>
        <v>6.9678142284855568E-2</v>
      </c>
      <c r="BU91" s="861">
        <f>BU63/BU$15</f>
        <v>7.0184958199485586E-2</v>
      </c>
      <c r="BV91" s="353"/>
      <c r="BW91" s="860">
        <f>BW63/BW$15</f>
        <v>7.1353158478952156E-2</v>
      </c>
      <c r="BX91" s="453">
        <f>BX63/BX$15</f>
        <v>7.0270253311030373E-2</v>
      </c>
      <c r="BY91" s="453">
        <f>BY63/BY$15</f>
        <v>6.5779776946607943E-2</v>
      </c>
      <c r="BZ91" s="453">
        <f>BZ63/BZ$15</f>
        <v>6.7948710060581799E-2</v>
      </c>
      <c r="CA91" s="861">
        <f>CA63/CA$15</f>
        <v>6.8750048888244181E-2</v>
      </c>
      <c r="CB91" s="353"/>
      <c r="CC91" s="860">
        <f>CC63/CC$15</f>
        <v>6.8551330897427251E-2</v>
      </c>
      <c r="CD91" s="453">
        <f>CD63/CD$15</f>
        <v>6.738226768099724E-2</v>
      </c>
      <c r="CE91" s="453">
        <f>CE63/CE$15</f>
        <v>6.3217946851547593E-2</v>
      </c>
      <c r="CF91" s="453">
        <f>CF63/CF$15</f>
        <v>6.5613471246128374E-2</v>
      </c>
      <c r="CG91" s="861">
        <f>CG63/CG$15</f>
        <v>6.6118162497620203E-2</v>
      </c>
      <c r="CH91" s="353"/>
      <c r="CI91" s="860">
        <f>CI63/CI$15</f>
        <v>6.7011034968875158E-2</v>
      </c>
      <c r="CJ91" s="453">
        <f>CJ63/CJ$15</f>
        <v>6.5861799632378773E-2</v>
      </c>
      <c r="CK91" s="453">
        <f>CK63/CK$15</f>
        <v>6.1566746244129715E-2</v>
      </c>
      <c r="CL91" s="453">
        <f>CL63/CL$15</f>
        <v>6.3949044899135513E-2</v>
      </c>
      <c r="CM91" s="861">
        <f>CM63/CM$15</f>
        <v>6.451756048533476E-2</v>
      </c>
    </row>
    <row r="92" spans="1:91">
      <c r="A92" s="897" t="s">
        <v>213</v>
      </c>
      <c r="B92" s="227"/>
      <c r="C92" s="848"/>
      <c r="D92" s="849"/>
      <c r="E92" s="849"/>
      <c r="F92" s="849"/>
      <c r="G92" s="850"/>
      <c r="H92" s="227"/>
      <c r="I92" s="848"/>
      <c r="J92" s="849"/>
      <c r="K92" s="849"/>
      <c r="L92" s="849"/>
      <c r="M92" s="850"/>
      <c r="N92" s="227"/>
      <c r="O92" s="848">
        <f>O65/O$15</f>
        <v>0</v>
      </c>
      <c r="P92" s="849">
        <f>P65/P$15</f>
        <v>0</v>
      </c>
      <c r="Q92" s="849">
        <f>Q65/Q$15</f>
        <v>0</v>
      </c>
      <c r="R92" s="849">
        <f>R65/R$15</f>
        <v>0</v>
      </c>
      <c r="S92" s="850">
        <f>S65/S$15</f>
        <v>0</v>
      </c>
      <c r="T92" s="227"/>
      <c r="U92" s="848">
        <f>U65/U$15</f>
        <v>0</v>
      </c>
      <c r="V92" s="849">
        <f>V65/V$15</f>
        <v>0</v>
      </c>
      <c r="W92" s="849">
        <f>W65/W$15</f>
        <v>0</v>
      </c>
      <c r="X92" s="849">
        <f>X65/X$15</f>
        <v>0</v>
      </c>
      <c r="Y92" s="850">
        <f>Y65/Y$15</f>
        <v>0</v>
      </c>
      <c r="Z92" s="227"/>
      <c r="AA92" s="848">
        <f>AA65/AA$15</f>
        <v>8.9248062759237731E-2</v>
      </c>
      <c r="AB92" s="849">
        <f>AB65/AB$15</f>
        <v>7.5371761948792512E-2</v>
      </c>
      <c r="AC92" s="849">
        <f>AC65/AC$15</f>
        <v>6.408718024814257E-2</v>
      </c>
      <c r="AD92" s="849">
        <f>AD65/AD$15</f>
        <v>8.8433489172793159E-2</v>
      </c>
      <c r="AE92" s="850">
        <f>AE65/AE$15</f>
        <v>7.9414365432002823E-2</v>
      </c>
      <c r="AF92" s="227"/>
      <c r="AG92" s="848">
        <f>AG65/AG$15</f>
        <v>8.7319195739830782E-2</v>
      </c>
      <c r="AH92" s="849">
        <f>AH65/AH$15</f>
        <v>6.8633448486245932E-2</v>
      </c>
      <c r="AI92" s="849">
        <f>AI65/AI$15</f>
        <v>6.3764227144127258E-2</v>
      </c>
      <c r="AJ92" s="849">
        <f>AJ65/AJ$15</f>
        <v>8.9957677054795154E-2</v>
      </c>
      <c r="AK92" s="850">
        <f>AK65/AK$15</f>
        <v>7.7729824046001025E-2</v>
      </c>
      <c r="AL92" s="227"/>
      <c r="AM92" s="848">
        <f>AM65/AM$15</f>
        <v>8.2154011735582483E-2</v>
      </c>
      <c r="AN92" s="849">
        <f>AN65/AN$15</f>
        <v>7.2562760192505668E-2</v>
      </c>
      <c r="AO92" s="849">
        <f>AO65/AO$15</f>
        <v>6.7972994510768034E-2</v>
      </c>
      <c r="AP92" s="849">
        <f>AP65/AP$15</f>
        <v>8.8965996335855557E-2</v>
      </c>
      <c r="AQ92" s="850">
        <f>AQ65/AQ$15</f>
        <v>7.813812906225702E-2</v>
      </c>
      <c r="AR92" s="227"/>
      <c r="AS92" s="848">
        <f>AS65/AS$15</f>
        <v>8.433736715718021E-2</v>
      </c>
      <c r="AT92" s="849">
        <f>AT65/AT$15</f>
        <v>7.3128020565402643E-2</v>
      </c>
      <c r="AU92" s="849">
        <f>AU65/AU$15</f>
        <v>6.6569374977871104E-2</v>
      </c>
      <c r="AV92" s="849">
        <f>AV65/AV$15</f>
        <v>8.798632375664632E-2</v>
      </c>
      <c r="AW92" s="850">
        <f>AW65/AW$15</f>
        <v>7.8268181629872188E-2</v>
      </c>
      <c r="AX92" s="227"/>
      <c r="AY92" s="848">
        <f>AY65/AY$15</f>
        <v>8.7973164000891807E-2</v>
      </c>
      <c r="AZ92" s="849">
        <f>AZ65/AZ$15</f>
        <v>7.7100095186454637E-2</v>
      </c>
      <c r="BA92" s="849">
        <f>BA65/BA$15</f>
        <v>7.0215098371007784E-2</v>
      </c>
      <c r="BB92" s="849">
        <f>BB65/BB$15</f>
        <v>9.5925178398518093E-2</v>
      </c>
      <c r="BC92" s="850">
        <f>BC65/BC$15</f>
        <v>8.2979333090938925E-2</v>
      </c>
      <c r="BD92" s="227"/>
      <c r="BE92" s="848">
        <f>BE65/BE$15</f>
        <v>9.1527796091057462E-2</v>
      </c>
      <c r="BF92" s="849">
        <f>BF65/BF$15</f>
        <v>7.77912835446775E-2</v>
      </c>
      <c r="BG92" s="849">
        <f>BG65/BG$15</f>
        <v>7.0999736900552696E-2</v>
      </c>
      <c r="BH92" s="849">
        <f>BH65/BH$15</f>
        <v>9.8381779590584084E-2</v>
      </c>
      <c r="BI92" s="850">
        <f>BI65/BI$15</f>
        <v>8.4889715123697349E-2</v>
      </c>
      <c r="BJ92" s="227"/>
      <c r="BK92" s="848">
        <f>BK65/BK$15</f>
        <v>9.2207383303317167E-2</v>
      </c>
      <c r="BL92" s="849">
        <f>BL65/BL$15</f>
        <v>7.7791050376128934E-2</v>
      </c>
      <c r="BM92" s="849">
        <f>BM65/BM$15</f>
        <v>7.0517179171369543E-2</v>
      </c>
      <c r="BN92" s="849">
        <f>BN65/BN$15</f>
        <v>9.9941938437316441E-2</v>
      </c>
      <c r="BO92" s="850">
        <f>BO65/BO$15</f>
        <v>8.5585664260272296E-2</v>
      </c>
      <c r="BP92" s="227"/>
      <c r="BQ92" s="848">
        <f>BQ65/BQ$15</f>
        <v>8.3262351064699064E-2</v>
      </c>
      <c r="BR92" s="849">
        <f>BR65/BR$15</f>
        <v>6.7952444649964361E-2</v>
      </c>
      <c r="BS92" s="849">
        <f>BS65/BS$15</f>
        <v>6.0978707252636155E-2</v>
      </c>
      <c r="BT92" s="849">
        <f>BT65/BT$15</f>
        <v>8.7507708564449518E-2</v>
      </c>
      <c r="BU92" s="850">
        <f>BU65/BU$15</f>
        <v>7.5117974541396737E-2</v>
      </c>
      <c r="BV92" s="227"/>
      <c r="BW92" s="848">
        <f>BW65/BW$15</f>
        <v>8.1405917958566984E-2</v>
      </c>
      <c r="BX92" s="849">
        <f>BX65/BX$15</f>
        <v>6.6033473210093452E-2</v>
      </c>
      <c r="BY92" s="849">
        <f>BY65/BY$15</f>
        <v>5.8954610401629921E-2</v>
      </c>
      <c r="BZ92" s="849">
        <f>BZ65/BZ$15</f>
        <v>8.4523019855159337E-2</v>
      </c>
      <c r="CA92" s="850">
        <f>CA65/CA$15</f>
        <v>7.2881428304059526E-2</v>
      </c>
      <c r="CB92" s="227"/>
      <c r="CC92" s="848">
        <f>CC65/CC$15</f>
        <v>7.8778833778128096E-2</v>
      </c>
      <c r="CD92" s="849">
        <f>CD65/CD$15</f>
        <v>6.3780677034898078E-2</v>
      </c>
      <c r="CE92" s="849">
        <f>CE65/CE$15</f>
        <v>5.7071152773867817E-2</v>
      </c>
      <c r="CF92" s="849">
        <f>CF65/CF$15</f>
        <v>8.2212467633425851E-2</v>
      </c>
      <c r="CG92" s="850">
        <f>CG65/CG$15</f>
        <v>7.0601758785667115E-2</v>
      </c>
      <c r="CH92" s="227"/>
      <c r="CI92" s="848">
        <f>CI65/CI$15</f>
        <v>7.7569476895574002E-2</v>
      </c>
      <c r="CJ92" s="849">
        <f>CJ65/CJ$15</f>
        <v>6.2795420996275261E-2</v>
      </c>
      <c r="CK92" s="849">
        <f>CK65/CK$15</f>
        <v>5.5985213744238947E-2</v>
      </c>
      <c r="CL92" s="849">
        <f>CL65/CL$15</f>
        <v>8.0710420987930451E-2</v>
      </c>
      <c r="CM92" s="850">
        <f>CM65/CM$15</f>
        <v>6.9394262225739689E-2</v>
      </c>
    </row>
    <row r="93" spans="1:91">
      <c r="A93" s="898" t="s">
        <v>214</v>
      </c>
      <c r="B93" s="424"/>
      <c r="C93" s="899"/>
      <c r="D93" s="426"/>
      <c r="E93" s="426"/>
      <c r="F93" s="426"/>
      <c r="G93" s="427"/>
      <c r="H93" s="424"/>
      <c r="I93" s="899"/>
      <c r="J93" s="426"/>
      <c r="K93" s="426"/>
      <c r="L93" s="426"/>
      <c r="M93" s="427"/>
      <c r="N93" s="424"/>
      <c r="O93" s="899">
        <f>O67/O$15</f>
        <v>0</v>
      </c>
      <c r="P93" s="426">
        <f>P67/P$15</f>
        <v>0</v>
      </c>
      <c r="Q93" s="426">
        <f>Q67/Q$15</f>
        <v>0</v>
      </c>
      <c r="R93" s="426">
        <f>R67/R$15</f>
        <v>0</v>
      </c>
      <c r="S93" s="427">
        <f>S67/S$15</f>
        <v>0</v>
      </c>
      <c r="T93" s="424"/>
      <c r="U93" s="899">
        <f>U67/U$15</f>
        <v>0</v>
      </c>
      <c r="V93" s="426">
        <f>V67/V$15</f>
        <v>0</v>
      </c>
      <c r="W93" s="426">
        <f>W67/W$15</f>
        <v>0</v>
      </c>
      <c r="X93" s="426">
        <f>X67/X$15</f>
        <v>0</v>
      </c>
      <c r="Y93" s="427">
        <f>Y67/Y$15</f>
        <v>0</v>
      </c>
      <c r="Z93" s="424"/>
      <c r="AA93" s="899">
        <f>AA67/AA$15</f>
        <v>0.13429238022352177</v>
      </c>
      <c r="AB93" s="426">
        <f>AB67/AB$15</f>
        <v>0.15335222789455361</v>
      </c>
      <c r="AC93" s="426">
        <f>AC67/AC$15</f>
        <v>0.17690090485815166</v>
      </c>
      <c r="AD93" s="426">
        <f>AD67/AD$15</f>
        <v>0.16238796950813306</v>
      </c>
      <c r="AE93" s="427">
        <f>AE67/AE$15</f>
        <v>0.15696093454395743</v>
      </c>
      <c r="AF93" s="424"/>
      <c r="AG93" s="899">
        <f>AG67/AG$15</f>
        <v>0.13130525405478005</v>
      </c>
      <c r="AH93" s="426">
        <f>AH67/AH$15</f>
        <v>0.13956154434951479</v>
      </c>
      <c r="AI93" s="426">
        <f>AI67/AI$15</f>
        <v>0.17353365582738295</v>
      </c>
      <c r="AJ93" s="426">
        <f>AJ67/AJ$15</f>
        <v>0.15749181674526466</v>
      </c>
      <c r="AK93" s="427">
        <f>AK67/AK$15</f>
        <v>0.15047068416767909</v>
      </c>
      <c r="AL93" s="424"/>
      <c r="AM93" s="899">
        <f>AM67/AM$15</f>
        <v>0.12761085378806111</v>
      </c>
      <c r="AN93" s="426">
        <f>AN67/AN$15</f>
        <v>0.13245548933448847</v>
      </c>
      <c r="AO93" s="426">
        <f>AO67/AO$15</f>
        <v>0.1620528061924397</v>
      </c>
      <c r="AP93" s="426">
        <f>AP67/AP$15</f>
        <v>0.15575564921437218</v>
      </c>
      <c r="AQ93" s="427">
        <f>AQ67/AQ$15</f>
        <v>0.14480885221089382</v>
      </c>
      <c r="AR93" s="424"/>
      <c r="AS93" s="899">
        <f>AS67/AS$15</f>
        <v>0.12483457110425758</v>
      </c>
      <c r="AT93" s="426">
        <f>AT67/AT$15</f>
        <v>0.11963734310001349</v>
      </c>
      <c r="AU93" s="426">
        <f>AU67/AU$15</f>
        <v>0.15255505654027471</v>
      </c>
      <c r="AV93" s="426">
        <f>AV67/AV$15</f>
        <v>0.149684976784871</v>
      </c>
      <c r="AW93" s="427">
        <f>AW67/AW$15</f>
        <v>0.13728970080319797</v>
      </c>
      <c r="AX93" s="424"/>
      <c r="AY93" s="899">
        <f>AY67/AY$15</f>
        <v>0.12591661683207667</v>
      </c>
      <c r="AZ93" s="426">
        <f>AZ67/AZ$15</f>
        <v>0.12384227633964247</v>
      </c>
      <c r="BA93" s="426">
        <f>BA67/BA$15</f>
        <v>0.14920731767889328</v>
      </c>
      <c r="BB93" s="426">
        <f>BB67/BB$15</f>
        <v>0.15412463949350541</v>
      </c>
      <c r="BC93" s="427">
        <f>BC67/BC$15</f>
        <v>0.13885053050250093</v>
      </c>
      <c r="BD93" s="424"/>
      <c r="BE93" s="899">
        <f>BE67/BE$15</f>
        <v>0.12470703880502393</v>
      </c>
      <c r="BF93" s="426">
        <f>BF67/BF$15</f>
        <v>0.11646058240060408</v>
      </c>
      <c r="BG93" s="426">
        <f>BG67/BG$15</f>
        <v>0.14630271725096555</v>
      </c>
      <c r="BH93" s="426">
        <f>BH67/BH$15</f>
        <v>0.16272087075778408</v>
      </c>
      <c r="BI93" s="427">
        <f>BI67/BI$15</f>
        <v>0.13805299504262197</v>
      </c>
      <c r="BJ93" s="424"/>
      <c r="BK93" s="899">
        <f>BK67/BK$15</f>
        <v>0.11596890413093745</v>
      </c>
      <c r="BL93" s="426">
        <f>BL67/BL$15</f>
        <v>0.11189316535263565</v>
      </c>
      <c r="BM93" s="426">
        <f>BM67/BM$15</f>
        <v>0.14190539158854804</v>
      </c>
      <c r="BN93" s="426">
        <f>BN67/BN$15</f>
        <v>0.1439183273442626</v>
      </c>
      <c r="BO93" s="427">
        <f>BO67/BO$15</f>
        <v>0.12929610594587329</v>
      </c>
      <c r="BP93" s="424"/>
      <c r="BQ93" s="899">
        <f>BQ67/BQ$15</f>
        <v>0.10376243252341454</v>
      </c>
      <c r="BR93" s="426">
        <f>BR67/BR$15</f>
        <v>9.5956269331762892E-2</v>
      </c>
      <c r="BS93" s="426">
        <f>BS67/BS$15</f>
        <v>0.11925399045844078</v>
      </c>
      <c r="BT93" s="426">
        <f>BT67/BT$15</f>
        <v>0.12726689409573166</v>
      </c>
      <c r="BU93" s="427">
        <f>BU67/BU$15</f>
        <v>0.1121836581813834</v>
      </c>
      <c r="BV93" s="424"/>
      <c r="BW93" s="899">
        <f>BW67/BW$15</f>
        <v>9.9497984849570786E-2</v>
      </c>
      <c r="BX93" s="426">
        <f>BX67/BX$15</f>
        <v>9.1453270801212058E-2</v>
      </c>
      <c r="BY93" s="426">
        <f>BY67/BY$15</f>
        <v>0.11307831108244051</v>
      </c>
      <c r="BZ93" s="426">
        <f>BZ67/BZ$15</f>
        <v>0.12056214643263917</v>
      </c>
      <c r="CA93" s="427">
        <f>CA67/CA$15</f>
        <v>0.10675038160307941</v>
      </c>
      <c r="CB93" s="424"/>
      <c r="CC93" s="899">
        <f>CC67/CC$15</f>
        <v>9.3734857355976198E-2</v>
      </c>
      <c r="CD93" s="426">
        <f>CD67/CD$15</f>
        <v>8.5991890157232242E-2</v>
      </c>
      <c r="CE93" s="426">
        <f>CE67/CE$15</f>
        <v>0.10656423041901476</v>
      </c>
      <c r="CF93" s="426">
        <f>CF67/CF$15</f>
        <v>0.11415814901622405</v>
      </c>
      <c r="CG93" s="427">
        <f>CG67/CG$15</f>
        <v>0.10067029689742132</v>
      </c>
      <c r="CH93" s="424"/>
      <c r="CI93" s="899">
        <f>CI67/CI$15</f>
        <v>8.9849508674560444E-2</v>
      </c>
      <c r="CJ93" s="426">
        <f>CJ67/CJ$15</f>
        <v>8.2419431566689946E-2</v>
      </c>
      <c r="CK93" s="426">
        <f>CK67/CK$15</f>
        <v>0.10176569830928067</v>
      </c>
      <c r="CL93" s="426">
        <f>CL67/CL$15</f>
        <v>0.10910185018052884</v>
      </c>
      <c r="CM93" s="427">
        <f>CM67/CM$15</f>
        <v>9.6325808000106122E-2</v>
      </c>
    </row>
    <row r="95" spans="1:91">
      <c r="A95" s="1395" t="s">
        <v>468</v>
      </c>
      <c r="B95" s="871"/>
      <c r="C95" s="1415" t="s">
        <v>452</v>
      </c>
      <c r="D95" s="1416" t="s">
        <v>452</v>
      </c>
      <c r="E95" s="1416" t="s">
        <v>452</v>
      </c>
      <c r="F95" s="1416" t="s">
        <v>452</v>
      </c>
      <c r="G95" s="1417" t="s">
        <v>452</v>
      </c>
      <c r="H95" s="871"/>
      <c r="I95" s="1415" t="s">
        <v>452</v>
      </c>
      <c r="J95" s="1416" t="s">
        <v>452</v>
      </c>
      <c r="K95" s="1416" t="s">
        <v>452</v>
      </c>
      <c r="L95" s="1416" t="s">
        <v>452</v>
      </c>
      <c r="M95" s="1417" t="s">
        <v>452</v>
      </c>
      <c r="N95" s="949"/>
      <c r="O95" s="1415" t="s">
        <v>452</v>
      </c>
      <c r="P95" s="1416" t="s">
        <v>452</v>
      </c>
      <c r="Q95" s="1416" t="s">
        <v>452</v>
      </c>
      <c r="R95" s="1416" t="s">
        <v>452</v>
      </c>
      <c r="S95" s="1417" t="s">
        <v>452</v>
      </c>
      <c r="T95" s="949"/>
      <c r="U95" s="1415" t="s">
        <v>452</v>
      </c>
      <c r="V95" s="1416" t="s">
        <v>452</v>
      </c>
      <c r="W95" s="1416" t="s">
        <v>452</v>
      </c>
      <c r="X95" s="1416" t="s">
        <v>452</v>
      </c>
      <c r="Y95" s="1413">
        <v>1161.742</v>
      </c>
      <c r="Z95" s="417"/>
      <c r="AA95" s="1405">
        <v>306.12599999999998</v>
      </c>
      <c r="AB95" s="1406">
        <v>326.41899999999998</v>
      </c>
      <c r="AC95" s="1406">
        <v>301.78800000000001</v>
      </c>
      <c r="AD95" s="1411">
        <f>1319.51-SUM(AA95:AC95)</f>
        <v>385.17700000000002</v>
      </c>
      <c r="AE95" s="1409">
        <f>SUM(AA95:AD95)</f>
        <v>1319.51</v>
      </c>
      <c r="AF95" s="871"/>
      <c r="AG95" s="1405">
        <v>357.19400000000002</v>
      </c>
      <c r="AH95" s="1406">
        <v>364.24299999999999</v>
      </c>
      <c r="AI95" s="1406">
        <v>349.06700000000001</v>
      </c>
      <c r="AJ95" s="1411">
        <f>1474.674-SUM(AG95:AI95)</f>
        <v>404.17000000000007</v>
      </c>
      <c r="AK95" s="1409">
        <f>SUM(AG95:AJ95)</f>
        <v>1474.674</v>
      </c>
      <c r="AL95" s="871"/>
      <c r="AM95" s="1405">
        <v>346.61900000000003</v>
      </c>
      <c r="AN95" s="1406">
        <v>374.024</v>
      </c>
      <c r="AO95" s="1406">
        <v>355.745</v>
      </c>
      <c r="AP95" s="1406">
        <f>1498.07-SUM(AM95:AO95)</f>
        <v>421.68200000000002</v>
      </c>
      <c r="AQ95" s="1409">
        <f>SUM(AM95:AP95)</f>
        <v>1498.07</v>
      </c>
      <c r="AR95" s="871"/>
      <c r="AS95" s="1405">
        <v>365.48500000000001</v>
      </c>
      <c r="AT95" s="1406">
        <v>381.60899999999998</v>
      </c>
      <c r="AU95" s="1406">
        <v>365.93299999999999</v>
      </c>
      <c r="AV95" s="1406">
        <f>1540.075-SUM(AS95:AU95)</f>
        <v>427.048</v>
      </c>
      <c r="AW95" s="1409">
        <f>SUM(AS95:AV95)</f>
        <v>1540.075</v>
      </c>
      <c r="AX95" s="871"/>
      <c r="AY95" s="1405">
        <v>359.31299999999999</v>
      </c>
      <c r="AZ95" s="1406">
        <v>388.71800000000002</v>
      </c>
      <c r="BA95" s="1406">
        <v>378.32499999999999</v>
      </c>
      <c r="BB95" s="1406">
        <f>1552.638075-SUM(AY95:BA95)</f>
        <v>426.28207500000008</v>
      </c>
      <c r="BC95" s="1409">
        <f>SUM(AY95:BB95)</f>
        <v>1552.6380750000001</v>
      </c>
      <c r="BD95" s="871"/>
      <c r="BE95" s="1405">
        <v>324.35300000000001</v>
      </c>
      <c r="BF95" s="1406">
        <v>393.4</v>
      </c>
      <c r="BG95" s="1406">
        <v>368.459</v>
      </c>
      <c r="BH95" s="1411">
        <v>380.67499999999995</v>
      </c>
      <c r="BI95" s="1409">
        <f>SUM(BE95:BH95)</f>
        <v>1466.8869999999999</v>
      </c>
      <c r="BJ95" s="871"/>
      <c r="BK95" s="1405">
        <v>333.714</v>
      </c>
      <c r="BL95" s="1406">
        <v>355.00099999999998</v>
      </c>
      <c r="BM95" s="1406">
        <v>354.81900000000002</v>
      </c>
      <c r="BN95" s="2364">
        <f>1477.414-SUM(BK95:BM95)</f>
        <v>433.88000000000011</v>
      </c>
      <c r="BO95" s="1409">
        <f>SUM(BK95:BN95)</f>
        <v>1477.414</v>
      </c>
      <c r="BP95" s="871"/>
      <c r="BQ95" s="890"/>
      <c r="BR95" s="871"/>
      <c r="BS95" s="871"/>
      <c r="BT95" s="871"/>
      <c r="BU95" s="948"/>
      <c r="BV95" s="871"/>
      <c r="BW95" s="890"/>
      <c r="BX95" s="871"/>
      <c r="BY95" s="871"/>
      <c r="BZ95" s="871"/>
      <c r="CA95" s="948"/>
      <c r="CB95" s="871"/>
      <c r="CC95" s="890"/>
      <c r="CD95" s="871"/>
      <c r="CE95" s="871"/>
      <c r="CF95" s="871"/>
      <c r="CG95" s="948"/>
      <c r="CH95" s="871"/>
      <c r="CI95" s="890"/>
      <c r="CJ95" s="871"/>
      <c r="CK95" s="871"/>
      <c r="CL95" s="871"/>
      <c r="CM95" s="948"/>
    </row>
    <row r="96" spans="1:91">
      <c r="A96" s="1396" t="s">
        <v>469</v>
      </c>
      <c r="B96" s="227"/>
      <c r="C96" s="1418" t="s">
        <v>452</v>
      </c>
      <c r="D96" s="1419" t="s">
        <v>452</v>
      </c>
      <c r="E96" s="1419" t="s">
        <v>452</v>
      </c>
      <c r="F96" s="1419" t="s">
        <v>452</v>
      </c>
      <c r="G96" s="1420" t="s">
        <v>452</v>
      </c>
      <c r="H96" s="227"/>
      <c r="I96" s="1418" t="s">
        <v>452</v>
      </c>
      <c r="J96" s="1419" t="s">
        <v>452</v>
      </c>
      <c r="K96" s="1419" t="s">
        <v>452</v>
      </c>
      <c r="L96" s="1419" t="s">
        <v>452</v>
      </c>
      <c r="M96" s="1420" t="s">
        <v>452</v>
      </c>
      <c r="N96" s="950"/>
      <c r="O96" s="1418" t="s">
        <v>452</v>
      </c>
      <c r="P96" s="1419" t="s">
        <v>452</v>
      </c>
      <c r="Q96" s="1419" t="s">
        <v>452</v>
      </c>
      <c r="R96" s="1419" t="s">
        <v>452</v>
      </c>
      <c r="S96" s="1420" t="s">
        <v>452</v>
      </c>
      <c r="T96" s="950"/>
      <c r="U96" s="1418" t="s">
        <v>452</v>
      </c>
      <c r="V96" s="1419" t="s">
        <v>452</v>
      </c>
      <c r="W96" s="1419" t="s">
        <v>452</v>
      </c>
      <c r="X96" s="1419" t="s">
        <v>452</v>
      </c>
      <c r="Y96" s="1414">
        <v>542.60400000000004</v>
      </c>
      <c r="Z96" s="353"/>
      <c r="AA96" s="1407">
        <v>141.05199999999999</v>
      </c>
      <c r="AB96" s="1408">
        <v>152.64599999999999</v>
      </c>
      <c r="AC96" s="1408">
        <v>151.14699999999999</v>
      </c>
      <c r="AD96" s="1412">
        <f>598.998-SUM(AA96:AC96)</f>
        <v>154.15300000000008</v>
      </c>
      <c r="AE96" s="1410">
        <f>SUM(AA96:AD96)</f>
        <v>598.99800000000005</v>
      </c>
      <c r="AF96" s="227"/>
      <c r="AG96" s="1407">
        <v>153.696</v>
      </c>
      <c r="AH96" s="1408">
        <v>157.547</v>
      </c>
      <c r="AI96" s="1408">
        <v>160.53700000000001</v>
      </c>
      <c r="AJ96" s="1412">
        <f>640.531-SUM(AG96:AI96)</f>
        <v>168.75099999999998</v>
      </c>
      <c r="AK96" s="1410">
        <f>SUM(AG96:AJ96)</f>
        <v>640.53099999999995</v>
      </c>
      <c r="AL96" s="227"/>
      <c r="AM96" s="1407">
        <v>158.75899999999999</v>
      </c>
      <c r="AN96" s="1408">
        <v>166.649</v>
      </c>
      <c r="AO96" s="1408">
        <v>166.35499999999999</v>
      </c>
      <c r="AP96" s="1412">
        <f>AP17-AP95</f>
        <v>113.9918090000001</v>
      </c>
      <c r="AQ96" s="1410">
        <f>SUM(AM96:AP96)</f>
        <v>605.75480900000014</v>
      </c>
      <c r="AR96" s="227"/>
      <c r="AS96" s="1407">
        <v>166.41900000000001</v>
      </c>
      <c r="AT96" s="1408">
        <v>174.56100000000001</v>
      </c>
      <c r="AU96" s="1408">
        <v>176.11600000000001</v>
      </c>
      <c r="AV96" s="1408">
        <f>697.144-SUM(AS96:AU96)</f>
        <v>180.048</v>
      </c>
      <c r="AW96" s="1410">
        <f>SUM(AS96:AV96)</f>
        <v>697.14400000000001</v>
      </c>
      <c r="AX96" s="227"/>
      <c r="AY96" s="1407">
        <v>167.58799999999999</v>
      </c>
      <c r="AZ96" s="1408">
        <v>175.18799999999999</v>
      </c>
      <c r="BA96" s="1408">
        <v>185.11099999999999</v>
      </c>
      <c r="BB96" s="1408">
        <f>709.721-SUM(AY96:BA96)</f>
        <v>181.83400000000006</v>
      </c>
      <c r="BC96" s="1410">
        <f>SUM(AY96:BB96)</f>
        <v>709.721</v>
      </c>
      <c r="BD96" s="227"/>
      <c r="BE96" s="1407">
        <v>173.66300000000001</v>
      </c>
      <c r="BF96" s="1408">
        <v>179.267</v>
      </c>
      <c r="BG96" s="1408">
        <v>179.595</v>
      </c>
      <c r="BH96" s="1412">
        <f>718.621-SUM(BE96:BG96)</f>
        <v>186.096</v>
      </c>
      <c r="BI96" s="1410">
        <f>SUM(BE96:BH96)</f>
        <v>718.62099999999998</v>
      </c>
      <c r="BJ96" s="227"/>
      <c r="BK96" s="1407">
        <v>180.40100000000001</v>
      </c>
      <c r="BL96" s="1408">
        <v>191.96100000000001</v>
      </c>
      <c r="BM96" s="1408">
        <v>199.45599999999999</v>
      </c>
      <c r="BN96" s="1412">
        <f>779.568-SUM(BK96:BM96)</f>
        <v>207.75</v>
      </c>
      <c r="BO96" s="1410">
        <f>SUM(BK96:BN96)</f>
        <v>779.56799999999998</v>
      </c>
      <c r="BP96" s="227"/>
      <c r="BQ96" s="463"/>
      <c r="BR96" s="227"/>
      <c r="BS96" s="227"/>
      <c r="BT96" s="227"/>
      <c r="BU96" s="947"/>
      <c r="BV96" s="227"/>
      <c r="BW96" s="463"/>
      <c r="BX96" s="227"/>
      <c r="BY96" s="227"/>
      <c r="BZ96" s="227"/>
      <c r="CA96" s="947"/>
      <c r="CB96" s="227"/>
      <c r="CC96" s="463"/>
      <c r="CD96" s="227"/>
      <c r="CE96" s="227"/>
      <c r="CF96" s="227"/>
      <c r="CG96" s="947"/>
      <c r="CH96" s="227"/>
      <c r="CI96" s="463"/>
      <c r="CJ96" s="227"/>
      <c r="CK96" s="227"/>
      <c r="CL96" s="227"/>
      <c r="CM96" s="947"/>
    </row>
    <row r="97" spans="1:91" s="833" customFormat="1">
      <c r="A97" s="2168" t="s">
        <v>129</v>
      </c>
      <c r="B97" s="2173"/>
      <c r="C97" s="2174"/>
      <c r="D97" s="2175"/>
      <c r="E97" s="2175"/>
      <c r="F97" s="2175"/>
      <c r="G97" s="2176"/>
      <c r="H97" s="2173"/>
      <c r="I97" s="2174"/>
      <c r="J97" s="2175"/>
      <c r="K97" s="2175"/>
      <c r="L97" s="2175"/>
      <c r="M97" s="2176"/>
      <c r="N97" s="2173"/>
      <c r="O97" s="2174"/>
      <c r="P97" s="2175"/>
      <c r="Q97" s="2175"/>
      <c r="R97" s="2175"/>
      <c r="S97" s="2176"/>
      <c r="T97" s="2173"/>
      <c r="U97" s="2174"/>
      <c r="V97" s="2175"/>
      <c r="W97" s="2175"/>
      <c r="X97" s="2175"/>
      <c r="Y97" s="2176">
        <f>SUM(Y95:Y96)</f>
        <v>1704.346</v>
      </c>
      <c r="Z97" s="2173"/>
      <c r="AA97" s="2174">
        <f>SUM(AA95:AA96)</f>
        <v>447.178</v>
      </c>
      <c r="AB97" s="2175">
        <f>SUM(AB95:AB96)</f>
        <v>479.06499999999994</v>
      </c>
      <c r="AC97" s="2175">
        <f>SUM(AC95:AC96)</f>
        <v>452.935</v>
      </c>
      <c r="AD97" s="2175">
        <f>SUM(AD95:AD96)</f>
        <v>539.33000000000015</v>
      </c>
      <c r="AE97" s="2176">
        <f>SUM(AE95:AE96)</f>
        <v>1918.508</v>
      </c>
      <c r="AF97" s="2173"/>
      <c r="AG97" s="2174">
        <f>SUM(AG95:AG96)</f>
        <v>510.89</v>
      </c>
      <c r="AH97" s="2175">
        <f>SUM(AH95:AH96)</f>
        <v>521.79</v>
      </c>
      <c r="AI97" s="2175">
        <f>SUM(AI95:AI96)</f>
        <v>509.60400000000004</v>
      </c>
      <c r="AJ97" s="2175">
        <f>SUM(AJ95:AJ96)</f>
        <v>572.92100000000005</v>
      </c>
      <c r="AK97" s="2176">
        <f>SUM(AK95:AK96)</f>
        <v>2115.2049999999999</v>
      </c>
      <c r="AL97" s="2173"/>
      <c r="AM97" s="2174">
        <f>SUM(AM95:AM96)</f>
        <v>505.37800000000004</v>
      </c>
      <c r="AN97" s="2175">
        <f>SUM(AN95:AN96)</f>
        <v>540.673</v>
      </c>
      <c r="AO97" s="2175">
        <f>SUM(AO95:AO96)</f>
        <v>522.1</v>
      </c>
      <c r="AP97" s="2175">
        <f>SUM(AP95:AP96)</f>
        <v>535.67380900000012</v>
      </c>
      <c r="AQ97" s="2176">
        <f>SUM(AQ95:AQ96)</f>
        <v>2103.8248090000002</v>
      </c>
      <c r="AR97" s="2175"/>
      <c r="AS97" s="2174">
        <f>SUM(AS95:AS96)</f>
        <v>531.904</v>
      </c>
      <c r="AT97" s="2175">
        <f>SUM(AT95:AT96)</f>
        <v>556.16999999999996</v>
      </c>
      <c r="AU97" s="2175">
        <f>SUM(AU95:AU96)</f>
        <v>542.04899999999998</v>
      </c>
      <c r="AV97" s="2175">
        <f>SUM(AV95:AV96)</f>
        <v>607.096</v>
      </c>
      <c r="AW97" s="2176">
        <f>SUM(AW95:AW96)</f>
        <v>2237.2190000000001</v>
      </c>
      <c r="AX97" s="2175"/>
      <c r="AY97" s="2174">
        <f>SUM(AY95:AY96)</f>
        <v>526.90099999999995</v>
      </c>
      <c r="AZ97" s="2175">
        <f>SUM(AZ95:AZ96)</f>
        <v>563.90599999999995</v>
      </c>
      <c r="BA97" s="2175">
        <f>SUM(BA95:BA96)</f>
        <v>563.43599999999992</v>
      </c>
      <c r="BB97" s="2175">
        <f>SUM(BB95:BB96)</f>
        <v>608.11607500000014</v>
      </c>
      <c r="BC97" s="2176">
        <f>SUM(BC95:BC96)</f>
        <v>2262.3590750000003</v>
      </c>
      <c r="BD97" s="2175"/>
      <c r="BE97" s="2174">
        <f>SUM(BE95:BE96)</f>
        <v>498.01600000000002</v>
      </c>
      <c r="BF97" s="2175">
        <f>SUM(BF95:BF96)</f>
        <v>572.66699999999992</v>
      </c>
      <c r="BG97" s="2175">
        <f>SUM(BG95:BG96)</f>
        <v>548.05399999999997</v>
      </c>
      <c r="BH97" s="2175">
        <f>SUM(BH95:BH96)</f>
        <v>566.77099999999996</v>
      </c>
      <c r="BI97" s="2176">
        <f>SUM(BI95:BI96)</f>
        <v>2185.5079999999998</v>
      </c>
      <c r="BJ97" s="2175"/>
      <c r="BK97" s="2174">
        <f>SUM(BK95:BK96)</f>
        <v>514.11500000000001</v>
      </c>
      <c r="BL97" s="2175">
        <f>SUM(BL95:BL96)</f>
        <v>546.96199999999999</v>
      </c>
      <c r="BM97" s="2175">
        <f>SUM(BM95:BM96)</f>
        <v>554.27499999999998</v>
      </c>
      <c r="BN97" s="2175">
        <f>SUM(BN95:BN96)</f>
        <v>641.63000000000011</v>
      </c>
      <c r="BO97" s="2176">
        <f>SUM(BO95:BO96)</f>
        <v>2256.982</v>
      </c>
      <c r="BP97" s="2175"/>
      <c r="BQ97" s="2174"/>
      <c r="BR97" s="2175"/>
      <c r="BS97" s="2175"/>
      <c r="BT97" s="2175"/>
      <c r="BU97" s="2176"/>
      <c r="BV97" s="2175"/>
      <c r="BW97" s="2174"/>
      <c r="BX97" s="2175"/>
      <c r="BY97" s="2175"/>
      <c r="BZ97" s="2175"/>
      <c r="CA97" s="2176"/>
      <c r="CB97" s="2175"/>
      <c r="CC97" s="2174"/>
      <c r="CD97" s="2175"/>
      <c r="CE97" s="2175"/>
      <c r="CF97" s="2175"/>
      <c r="CG97" s="2176"/>
      <c r="CH97" s="2175"/>
      <c r="CI97" s="2174"/>
      <c r="CJ97" s="2175"/>
      <c r="CK97" s="2175"/>
      <c r="CL97" s="2175"/>
      <c r="CM97" s="2176"/>
    </row>
    <row r="98" spans="1:91" s="228" customFormat="1">
      <c r="A98" s="1397" t="s">
        <v>468</v>
      </c>
      <c r="B98" s="353"/>
      <c r="C98" s="860"/>
      <c r="D98" s="453"/>
      <c r="E98" s="453"/>
      <c r="F98" s="453"/>
      <c r="G98" s="861"/>
      <c r="H98" s="353"/>
      <c r="I98" s="1399"/>
      <c r="J98" s="456"/>
      <c r="K98" s="456"/>
      <c r="L98" s="456"/>
      <c r="M98" s="1400"/>
      <c r="N98" s="353"/>
      <c r="O98" s="1399"/>
      <c r="P98" s="456"/>
      <c r="Q98" s="456"/>
      <c r="R98" s="456"/>
      <c r="S98" s="1400"/>
      <c r="T98" s="353"/>
      <c r="U98" s="1399"/>
      <c r="V98" s="456"/>
      <c r="W98" s="456"/>
      <c r="X98" s="456"/>
      <c r="Y98" s="1400" t="str">
        <f>IF(ISERROR(Y95/S95-1),"NM",Y95/S95-1)</f>
        <v>NM</v>
      </c>
      <c r="Z98" s="353"/>
      <c r="AA98" s="1399" t="str">
        <f t="shared" ref="AA98:AE99" si="97">IF(ISERROR(AA95/U95-1),"NM",AA95/U95-1)</f>
        <v>NM</v>
      </c>
      <c r="AB98" s="456" t="str">
        <f t="shared" si="97"/>
        <v>NM</v>
      </c>
      <c r="AC98" s="456" t="str">
        <f t="shared" si="97"/>
        <v>NM</v>
      </c>
      <c r="AD98" s="456" t="str">
        <f t="shared" si="97"/>
        <v>NM</v>
      </c>
      <c r="AE98" s="1400">
        <f t="shared" si="97"/>
        <v>0.13580295797173547</v>
      </c>
      <c r="AF98" s="353"/>
      <c r="AG98" s="1399">
        <f t="shared" ref="AG98:AK99" si="98">IF(ISERROR(AG95/AA95-1),"NM",AG95/AA95-1)</f>
        <v>0.16682019821903404</v>
      </c>
      <c r="AH98" s="456">
        <f t="shared" si="98"/>
        <v>0.11587560773116756</v>
      </c>
      <c r="AI98" s="456">
        <f t="shared" si="98"/>
        <v>0.15666295545217168</v>
      </c>
      <c r="AJ98" s="456">
        <f t="shared" si="98"/>
        <v>4.9309797833203994E-2</v>
      </c>
      <c r="AK98" s="1400">
        <f t="shared" si="98"/>
        <v>0.11759213647490352</v>
      </c>
      <c r="AL98" s="353"/>
      <c r="AM98" s="1399">
        <f t="shared" ref="AM98:AQ99" si="99">IF(ISERROR(AM95/AG95-1),"NM",AM95/AG95-1)</f>
        <v>-2.960576045510277E-2</v>
      </c>
      <c r="AN98" s="456">
        <f t="shared" si="99"/>
        <v>2.6852952561888577E-2</v>
      </c>
      <c r="AO98" s="456">
        <f t="shared" si="99"/>
        <v>1.9130997774066349E-2</v>
      </c>
      <c r="AP98" s="456">
        <f t="shared" si="99"/>
        <v>4.332830244698993E-2</v>
      </c>
      <c r="AQ98" s="1400">
        <f t="shared" si="99"/>
        <v>1.5865201393663986E-2</v>
      </c>
      <c r="AR98" s="353"/>
      <c r="AS98" s="1399">
        <f t="shared" ref="AS98:BM99" si="100">IF(ISERROR(AS95/AM95-1),"NM",AS95/AM95-1)</f>
        <v>5.4428637783848988E-2</v>
      </c>
      <c r="AT98" s="456">
        <f t="shared" si="100"/>
        <v>2.0279447308193976E-2</v>
      </c>
      <c r="AU98" s="456">
        <f t="shared" si="100"/>
        <v>2.8638491053985193E-2</v>
      </c>
      <c r="AV98" s="456">
        <f t="shared" si="100"/>
        <v>1.2725228964006075E-2</v>
      </c>
      <c r="AW98" s="1400">
        <f t="shared" si="100"/>
        <v>2.8039410708444956E-2</v>
      </c>
      <c r="AX98" s="353"/>
      <c r="AY98" s="1399">
        <f t="shared" si="100"/>
        <v>-1.6887149951434477E-2</v>
      </c>
      <c r="AZ98" s="456">
        <f t="shared" si="100"/>
        <v>1.8629015563050189E-2</v>
      </c>
      <c r="BA98" s="456">
        <f t="shared" si="100"/>
        <v>3.386412266726424E-2</v>
      </c>
      <c r="BB98" s="456">
        <f t="shared" si="100"/>
        <v>-1.7935337479625391E-3</v>
      </c>
      <c r="BC98" s="1400">
        <f t="shared" si="100"/>
        <v>8.1574436309919118E-3</v>
      </c>
      <c r="BD98" s="353"/>
      <c r="BE98" s="1399">
        <f t="shared" si="100"/>
        <v>-9.7296785810699782E-2</v>
      </c>
      <c r="BF98" s="456">
        <f t="shared" si="100"/>
        <v>1.2044721366131661E-2</v>
      </c>
      <c r="BG98" s="456">
        <f t="shared" si="100"/>
        <v>-2.6078107447300547E-2</v>
      </c>
      <c r="BH98" s="456">
        <f t="shared" si="100"/>
        <v>-0.1069880196111932</v>
      </c>
      <c r="BI98" s="1400">
        <f t="shared" si="100"/>
        <v>-5.5229274858534017E-2</v>
      </c>
      <c r="BJ98" s="353"/>
      <c r="BK98" s="1399">
        <f t="shared" si="100"/>
        <v>2.8860531581332616E-2</v>
      </c>
      <c r="BL98" s="456">
        <f t="shared" si="100"/>
        <v>-9.7608032536858125E-2</v>
      </c>
      <c r="BM98" s="456">
        <f t="shared" si="100"/>
        <v>-3.7019044181306415E-2</v>
      </c>
      <c r="BN98" s="456">
        <f t="shared" ref="BN98:BN99" si="101">IF(ISERROR(BN95/BH95-1),"NM",BN95/BH95-1)</f>
        <v>0.13976489131148662</v>
      </c>
      <c r="BO98" s="1400">
        <f t="shared" ref="BO98:BO99" si="102">IF(ISERROR(BO95/BI95-1),"NM",BO95/BI95-1)</f>
        <v>7.1764219057091072E-3</v>
      </c>
      <c r="BP98" s="353"/>
      <c r="BQ98" s="1399"/>
      <c r="BR98" s="456"/>
      <c r="BS98" s="456"/>
      <c r="BT98" s="456"/>
      <c r="BU98" s="1400"/>
      <c r="BV98" s="353"/>
      <c r="BW98" s="1399"/>
      <c r="BX98" s="456"/>
      <c r="BY98" s="456"/>
      <c r="BZ98" s="456"/>
      <c r="CA98" s="1400"/>
      <c r="CB98" s="353"/>
      <c r="CC98" s="1399"/>
      <c r="CD98" s="456"/>
      <c r="CE98" s="456"/>
      <c r="CF98" s="456"/>
      <c r="CG98" s="1400"/>
      <c r="CH98" s="353"/>
      <c r="CI98" s="1399"/>
      <c r="CJ98" s="456"/>
      <c r="CK98" s="456"/>
      <c r="CL98" s="456"/>
      <c r="CM98" s="1400"/>
    </row>
    <row r="99" spans="1:91" s="228" customFormat="1">
      <c r="A99" s="1398" t="s">
        <v>469</v>
      </c>
      <c r="B99" s="423"/>
      <c r="C99" s="851"/>
      <c r="D99" s="852"/>
      <c r="E99" s="852"/>
      <c r="F99" s="852"/>
      <c r="G99" s="853"/>
      <c r="H99" s="423"/>
      <c r="I99" s="1401"/>
      <c r="J99" s="1402"/>
      <c r="K99" s="1402"/>
      <c r="L99" s="1402"/>
      <c r="M99" s="1403"/>
      <c r="N99" s="423"/>
      <c r="O99" s="1401"/>
      <c r="P99" s="1402"/>
      <c r="Q99" s="1402"/>
      <c r="R99" s="1402"/>
      <c r="S99" s="1403"/>
      <c r="T99" s="423"/>
      <c r="U99" s="1401"/>
      <c r="V99" s="1402"/>
      <c r="W99" s="1402"/>
      <c r="X99" s="1402"/>
      <c r="Y99" s="1403" t="str">
        <f>IF(ISERROR(Y96/S96-1),"NM",Y96/S96-1)</f>
        <v>NM</v>
      </c>
      <c r="Z99" s="423"/>
      <c r="AA99" s="1401" t="str">
        <f t="shared" si="97"/>
        <v>NM</v>
      </c>
      <c r="AB99" s="1402" t="str">
        <f t="shared" si="97"/>
        <v>NM</v>
      </c>
      <c r="AC99" s="1402" t="str">
        <f t="shared" si="97"/>
        <v>NM</v>
      </c>
      <c r="AD99" s="1402" t="str">
        <f t="shared" si="97"/>
        <v>NM</v>
      </c>
      <c r="AE99" s="1403">
        <f t="shared" si="97"/>
        <v>0.10393214941283135</v>
      </c>
      <c r="AF99" s="423"/>
      <c r="AG99" s="1401">
        <f t="shared" si="98"/>
        <v>8.9640699883730912E-2</v>
      </c>
      <c r="AH99" s="1402">
        <f t="shared" si="98"/>
        <v>3.210696644523936E-2</v>
      </c>
      <c r="AI99" s="1402">
        <f t="shared" si="98"/>
        <v>6.2124951206441459E-2</v>
      </c>
      <c r="AJ99" s="1402">
        <f t="shared" si="98"/>
        <v>9.4698124590503641E-2</v>
      </c>
      <c r="AK99" s="1403">
        <f t="shared" si="98"/>
        <v>6.9337460225242564E-2</v>
      </c>
      <c r="AL99" s="423"/>
      <c r="AM99" s="1401">
        <f t="shared" si="99"/>
        <v>3.2941651051426213E-2</v>
      </c>
      <c r="AN99" s="1402">
        <f t="shared" si="99"/>
        <v>5.7773235923248345E-2</v>
      </c>
      <c r="AO99" s="1402">
        <f t="shared" si="99"/>
        <v>3.6240866591502163E-2</v>
      </c>
      <c r="AP99" s="1402">
        <f t="shared" si="99"/>
        <v>-0.32449698668452265</v>
      </c>
      <c r="AQ99" s="1403">
        <f t="shared" si="99"/>
        <v>-5.4292752419476731E-2</v>
      </c>
      <c r="AR99" s="423"/>
      <c r="AS99" s="1401">
        <f t="shared" si="100"/>
        <v>4.8249233114343371E-2</v>
      </c>
      <c r="AT99" s="1402">
        <f t="shared" si="100"/>
        <v>4.7477032565451882E-2</v>
      </c>
      <c r="AU99" s="1402">
        <f t="shared" si="100"/>
        <v>5.8675723603138108E-2</v>
      </c>
      <c r="AV99" s="1402">
        <f t="shared" si="100"/>
        <v>0.57948190821324563</v>
      </c>
      <c r="AW99" s="1403">
        <f t="shared" si="100"/>
        <v>0.15086828803037999</v>
      </c>
      <c r="AX99" s="423"/>
      <c r="AY99" s="1401">
        <f t="shared" si="100"/>
        <v>7.0244383153363898E-3</v>
      </c>
      <c r="AZ99" s="1402">
        <f t="shared" si="100"/>
        <v>3.5918675992918647E-3</v>
      </c>
      <c r="BA99" s="1402">
        <f t="shared" si="100"/>
        <v>5.1074291943945971E-2</v>
      </c>
      <c r="BB99" s="1402">
        <f t="shared" si="100"/>
        <v>9.919577001688662E-3</v>
      </c>
      <c r="BC99" s="1403">
        <f t="shared" si="100"/>
        <v>1.8040749113525933E-2</v>
      </c>
      <c r="BD99" s="423"/>
      <c r="BE99" s="1401">
        <f t="shared" si="100"/>
        <v>3.6249612144067633E-2</v>
      </c>
      <c r="BF99" s="1402">
        <f t="shared" si="100"/>
        <v>2.328355823458228E-2</v>
      </c>
      <c r="BG99" s="1402">
        <f t="shared" si="100"/>
        <v>-2.9798337213887804E-2</v>
      </c>
      <c r="BH99" s="1402">
        <f t="shared" si="100"/>
        <v>2.3438960810409082E-2</v>
      </c>
      <c r="BI99" s="1403">
        <f t="shared" si="100"/>
        <v>1.2540139012372498E-2</v>
      </c>
      <c r="BJ99" s="423"/>
      <c r="BK99" s="1401">
        <f t="shared" si="100"/>
        <v>3.8799283670096774E-2</v>
      </c>
      <c r="BL99" s="1402">
        <f t="shared" si="100"/>
        <v>7.0810578634104449E-2</v>
      </c>
      <c r="BM99" s="1402">
        <f t="shared" si="100"/>
        <v>0.11058771123917688</v>
      </c>
      <c r="BN99" s="1402">
        <f t="shared" si="101"/>
        <v>0.11635929842661841</v>
      </c>
      <c r="BO99" s="1403">
        <f t="shared" si="102"/>
        <v>8.4811047826322872E-2</v>
      </c>
      <c r="BP99" s="423"/>
      <c r="BQ99" s="1401"/>
      <c r="BR99" s="1402"/>
      <c r="BS99" s="1402"/>
      <c r="BT99" s="1402"/>
      <c r="BU99" s="1403"/>
      <c r="BV99" s="423"/>
      <c r="BW99" s="1401"/>
      <c r="BX99" s="1402"/>
      <c r="BY99" s="1402"/>
      <c r="BZ99" s="1402"/>
      <c r="CA99" s="1403"/>
      <c r="CB99" s="423"/>
      <c r="CC99" s="1401"/>
      <c r="CD99" s="1402"/>
      <c r="CE99" s="1402"/>
      <c r="CF99" s="1402"/>
      <c r="CG99" s="1403"/>
      <c r="CH99" s="423"/>
      <c r="CI99" s="1401"/>
      <c r="CJ99" s="1402"/>
      <c r="CK99" s="1402"/>
      <c r="CL99" s="1402"/>
      <c r="CM99" s="1403"/>
    </row>
    <row r="100" spans="1:91" s="228" customFormat="1" outlineLevel="1">
      <c r="A100" s="1404" t="s">
        <v>174</v>
      </c>
      <c r="B100" s="940"/>
      <c r="C100" s="942"/>
      <c r="D100" s="942"/>
      <c r="E100" s="942"/>
      <c r="F100" s="942"/>
      <c r="G100" s="942"/>
      <c r="H100" s="940"/>
      <c r="I100" s="942"/>
      <c r="J100" s="942"/>
      <c r="K100" s="942"/>
      <c r="L100" s="942"/>
      <c r="M100" s="942"/>
      <c r="N100" s="940"/>
      <c r="O100" s="942"/>
      <c r="P100" s="942"/>
      <c r="Q100" s="942"/>
      <c r="R100" s="942"/>
      <c r="S100" s="942"/>
      <c r="T100" s="940"/>
      <c r="U100" s="942"/>
      <c r="V100" s="942"/>
      <c r="W100" s="942"/>
      <c r="X100" s="942"/>
      <c r="Y100" s="942">
        <f>Y17-Y97</f>
        <v>0</v>
      </c>
      <c r="Z100" s="940"/>
      <c r="AA100" s="942">
        <f>AA17-AA97</f>
        <v>0.82000000000005002</v>
      </c>
      <c r="AB100" s="942">
        <f>AB17-AB97</f>
        <v>0.34100000000006503</v>
      </c>
      <c r="AC100" s="942">
        <f>AC17-AC97</f>
        <v>-3.9478679759999409</v>
      </c>
      <c r="AD100" s="942">
        <f>AD17-AD97</f>
        <v>-45.000000000000227</v>
      </c>
      <c r="AE100" s="942">
        <f>AE17-AE97</f>
        <v>-47.78686797599994</v>
      </c>
      <c r="AF100" s="940"/>
      <c r="AG100" s="942">
        <f>AG17-AG97</f>
        <v>-40.949999999999989</v>
      </c>
      <c r="AH100" s="942">
        <f>AH17-AH97</f>
        <v>-42.17999999999995</v>
      </c>
      <c r="AI100" s="942">
        <f>AI17-AI97</f>
        <v>-47.030248172399979</v>
      </c>
      <c r="AJ100" s="942">
        <f>AJ17-AJ97</f>
        <v>-51.75</v>
      </c>
      <c r="AK100" s="1995">
        <f>AK17-AK97</f>
        <v>-181.91024817239986</v>
      </c>
      <c r="AL100" s="1995"/>
      <c r="AM100" s="1995">
        <f>AM17-AM97</f>
        <v>-46.516921241512136</v>
      </c>
      <c r="AN100" s="1995">
        <f>AN17-AN97</f>
        <v>-42.926817547599967</v>
      </c>
      <c r="AO100" s="1995">
        <f>AO17-AO97</f>
        <v>-44.610234411847955</v>
      </c>
      <c r="AP100" s="1995">
        <f>AP17-AP97</f>
        <v>0</v>
      </c>
      <c r="AQ100" s="1995">
        <f>AQ17-AQ97</f>
        <v>-134.05397320095994</v>
      </c>
      <c r="AR100" s="1995"/>
      <c r="AS100" s="1995">
        <f>AS17-AS97</f>
        <v>-56.662532381154051</v>
      </c>
      <c r="AT100" s="1995">
        <f>AT17-AT97</f>
        <v>-52.955609506172834</v>
      </c>
      <c r="AU100" s="1995">
        <f>AU17-AU97</f>
        <v>-38.803737188016953</v>
      </c>
      <c r="AV100" s="1995">
        <f>AV17-AV97</f>
        <v>-31.852059311047356</v>
      </c>
      <c r="AW100" s="1995">
        <f>AW17-AW97</f>
        <v>-180.27393838639136</v>
      </c>
      <c r="AX100" s="1995"/>
      <c r="AY100" s="1995">
        <f>AY17-AY97</f>
        <v>-42.757999999999925</v>
      </c>
      <c r="AZ100" s="1995">
        <f>AZ17-AZ97</f>
        <v>-38.638000000000034</v>
      </c>
      <c r="BA100" s="1995">
        <f>BA17-BA97</f>
        <v>-37.926999999999907</v>
      </c>
      <c r="BB100" s="1995">
        <f>BB17-BB97</f>
        <v>-38.213075000000117</v>
      </c>
      <c r="BC100" s="1995">
        <f>BC17-BC97</f>
        <v>-157.53607500000044</v>
      </c>
      <c r="BD100" s="1995"/>
      <c r="BE100" s="1995">
        <f>BE17-BE97</f>
        <v>0</v>
      </c>
      <c r="BF100" s="1995">
        <f>BF17-BF97</f>
        <v>-36.424999999999955</v>
      </c>
      <c r="BG100" s="1995">
        <f>BG17-BG97</f>
        <v>-33.565000000000055</v>
      </c>
      <c r="BH100" s="1995">
        <f>BH17-BH97</f>
        <v>-9.9999999997635314E-4</v>
      </c>
      <c r="BI100" s="1995">
        <f>BI17-BI97</f>
        <v>-69.990999999999531</v>
      </c>
      <c r="BJ100" s="940"/>
      <c r="BK100" s="942">
        <f>BK17-BK97</f>
        <v>0</v>
      </c>
      <c r="BL100" s="942">
        <f>BL17-BL97</f>
        <v>0</v>
      </c>
      <c r="BM100" s="942">
        <f>BM17-BM97</f>
        <v>0</v>
      </c>
      <c r="BN100" s="1995">
        <f>BN17-BN97</f>
        <v>0</v>
      </c>
      <c r="BO100" s="1995">
        <f>BO17-BO97</f>
        <v>0</v>
      </c>
      <c r="BP100" s="940"/>
      <c r="BQ100" s="942"/>
      <c r="BR100" s="942"/>
      <c r="BS100" s="942"/>
      <c r="BT100" s="942"/>
      <c r="BU100" s="942"/>
      <c r="BV100" s="940"/>
      <c r="BW100" s="942"/>
      <c r="BX100" s="942"/>
      <c r="BY100" s="942"/>
      <c r="BZ100" s="942"/>
      <c r="CA100" s="942"/>
      <c r="CB100" s="940"/>
      <c r="CC100" s="942"/>
      <c r="CD100" s="942"/>
      <c r="CE100" s="942"/>
      <c r="CF100" s="942"/>
      <c r="CG100" s="942"/>
      <c r="CH100" s="940"/>
      <c r="CI100" s="942"/>
      <c r="CJ100" s="942"/>
      <c r="CK100" s="942"/>
      <c r="CL100" s="942"/>
      <c r="CM100" s="942"/>
    </row>
    <row r="101" spans="1:91">
      <c r="AO101" s="1421"/>
      <c r="AP101" s="227"/>
      <c r="AQ101" s="227"/>
      <c r="AR101" s="227"/>
      <c r="AS101" s="227"/>
      <c r="AT101" s="227"/>
      <c r="AU101" s="227"/>
      <c r="AV101" s="227"/>
      <c r="AW101" s="227"/>
      <c r="AX101" s="227"/>
      <c r="AY101" s="227"/>
      <c r="AZ101" s="227"/>
      <c r="BA101" s="227"/>
      <c r="BB101" s="227"/>
      <c r="BC101" s="227"/>
      <c r="BD101" s="227"/>
      <c r="BE101" s="227"/>
      <c r="BF101" s="227"/>
      <c r="BG101" s="353"/>
      <c r="BH101" s="227"/>
      <c r="BI101" s="227"/>
      <c r="BJ101" s="227"/>
      <c r="BK101" s="227"/>
      <c r="BL101" s="227"/>
      <c r="BM101" s="227"/>
      <c r="BN101" s="227"/>
      <c r="BO101" s="227"/>
      <c r="BP101" s="227"/>
      <c r="BQ101" s="227"/>
      <c r="BR101" s="227"/>
      <c r="BS101" s="227"/>
      <c r="BT101" s="227"/>
      <c r="BU101" s="227"/>
      <c r="BV101" s="227"/>
      <c r="BW101" s="227"/>
      <c r="BX101" s="227"/>
      <c r="BY101" s="227"/>
      <c r="BZ101" s="227"/>
      <c r="CA101" s="227"/>
      <c r="CB101" s="227"/>
      <c r="CC101" s="227"/>
      <c r="CD101" s="227"/>
      <c r="CE101" s="227"/>
      <c r="CF101" s="227"/>
      <c r="CG101" s="227"/>
      <c r="CH101" s="227"/>
      <c r="CI101" s="227"/>
      <c r="CJ101" s="227"/>
      <c r="CK101" s="227"/>
      <c r="CL101" s="227"/>
      <c r="CM101" s="227"/>
    </row>
    <row r="102" spans="1:91" s="97" customFormat="1">
      <c r="A102" s="1285"/>
      <c r="B102" s="832"/>
      <c r="C102" s="1286">
        <v>2007</v>
      </c>
      <c r="D102" s="1287"/>
      <c r="E102" s="1287"/>
      <c r="F102" s="1287"/>
      <c r="G102" s="1288">
        <v>2007</v>
      </c>
      <c r="H102" s="1289"/>
      <c r="I102" s="1286">
        <f>C102+1</f>
        <v>2008</v>
      </c>
      <c r="J102" s="1287"/>
      <c r="K102" s="1287"/>
      <c r="L102" s="1290"/>
      <c r="M102" s="1288">
        <f>G102+1</f>
        <v>2008</v>
      </c>
      <c r="N102" s="1291"/>
      <c r="O102" s="1286">
        <f>I102+1</f>
        <v>2009</v>
      </c>
      <c r="P102" s="1287"/>
      <c r="Q102" s="1287"/>
      <c r="R102" s="1290"/>
      <c r="S102" s="1288">
        <f>M102+1</f>
        <v>2009</v>
      </c>
      <c r="T102" s="1291"/>
      <c r="U102" s="1286">
        <f>O102+1</f>
        <v>2010</v>
      </c>
      <c r="V102" s="1287"/>
      <c r="W102" s="1287"/>
      <c r="X102" s="1287"/>
      <c r="Y102" s="1288">
        <f>S102+1</f>
        <v>2010</v>
      </c>
      <c r="Z102" s="1291"/>
      <c r="AA102" s="1286">
        <f>U102+1</f>
        <v>2011</v>
      </c>
      <c r="AB102" s="1287"/>
      <c r="AC102" s="1287"/>
      <c r="AD102" s="1290"/>
      <c r="AE102" s="1288">
        <f>Y102+1</f>
        <v>2011</v>
      </c>
      <c r="AF102" s="1291"/>
      <c r="AG102" s="1286">
        <f>AA102+1</f>
        <v>2012</v>
      </c>
      <c r="AH102" s="1287"/>
      <c r="AI102" s="1287"/>
      <c r="AJ102" s="1287"/>
      <c r="AK102" s="1288">
        <f>AE102+1</f>
        <v>2012</v>
      </c>
      <c r="AL102" s="1291"/>
      <c r="AM102" s="1286">
        <f>AG102+1</f>
        <v>2013</v>
      </c>
      <c r="AN102" s="1287"/>
      <c r="AO102" s="1287"/>
      <c r="AP102" s="1287"/>
      <c r="AQ102" s="1288">
        <f>AK102+1</f>
        <v>2013</v>
      </c>
      <c r="AR102" s="1291"/>
      <c r="AS102" s="1286">
        <f>AM102+1</f>
        <v>2014</v>
      </c>
      <c r="AT102" s="1287"/>
      <c r="AU102" s="1287"/>
      <c r="AV102" s="1287"/>
      <c r="AW102" s="1288">
        <f>AQ102+1</f>
        <v>2014</v>
      </c>
      <c r="AX102" s="1291"/>
      <c r="AY102" s="876">
        <f>AS102+1</f>
        <v>2015</v>
      </c>
      <c r="AZ102" s="877"/>
      <c r="BA102" s="877"/>
      <c r="BB102" s="877"/>
      <c r="BC102" s="878">
        <f>AW102+1</f>
        <v>2015</v>
      </c>
      <c r="BD102" s="1291"/>
      <c r="BE102" s="876">
        <f>AY102+1</f>
        <v>2016</v>
      </c>
      <c r="BF102" s="877"/>
      <c r="BG102" s="877"/>
      <c r="BH102" s="877"/>
      <c r="BI102" s="878">
        <f>BC102+1</f>
        <v>2016</v>
      </c>
      <c r="BJ102" s="1291"/>
      <c r="BK102" s="1286">
        <f>BE102+1</f>
        <v>2017</v>
      </c>
      <c r="BL102" s="1287"/>
      <c r="BM102" s="1287"/>
      <c r="BN102" s="1287"/>
      <c r="BO102" s="1288">
        <f>BI102+1</f>
        <v>2017</v>
      </c>
      <c r="BP102" s="1291"/>
      <c r="BQ102" s="1292">
        <f>BK102+1</f>
        <v>2018</v>
      </c>
      <c r="BR102" s="1287"/>
      <c r="BS102" s="1287"/>
      <c r="BT102" s="1287"/>
      <c r="BU102" s="1293">
        <f>BO102+1</f>
        <v>2018</v>
      </c>
      <c r="BV102" s="1291"/>
      <c r="BW102" s="1292">
        <f>BQ102+1</f>
        <v>2019</v>
      </c>
      <c r="BX102" s="1287"/>
      <c r="BY102" s="1287"/>
      <c r="BZ102" s="1287"/>
      <c r="CA102" s="1293">
        <f>BU102+1</f>
        <v>2019</v>
      </c>
      <c r="CB102" s="1291"/>
      <c r="CC102" s="1292">
        <f>BW102+1</f>
        <v>2020</v>
      </c>
      <c r="CD102" s="1287"/>
      <c r="CE102" s="1287"/>
      <c r="CF102" s="1287"/>
      <c r="CG102" s="1293">
        <f>CA102+1</f>
        <v>2020</v>
      </c>
      <c r="CH102" s="1291"/>
      <c r="CI102" s="1292">
        <f>CC102+1</f>
        <v>2021</v>
      </c>
      <c r="CJ102" s="1287"/>
      <c r="CK102" s="1287"/>
      <c r="CL102" s="1287"/>
      <c r="CM102" s="1293">
        <f>CG102+1</f>
        <v>2021</v>
      </c>
    </row>
    <row r="103" spans="1:91" s="32" customFormat="1" ht="12" thickBot="1">
      <c r="A103" s="1294"/>
      <c r="B103" s="1295"/>
      <c r="C103" s="1296">
        <v>39172</v>
      </c>
      <c r="D103" s="1297">
        <f>C103+FLOOR(365/4,1)</f>
        <v>39263</v>
      </c>
      <c r="E103" s="1297">
        <f>D103+FLOOR(365/4,1)+1</f>
        <v>39355</v>
      </c>
      <c r="F103" s="1297">
        <f>E103+FLOOR(365/4,1)+1</f>
        <v>39447</v>
      </c>
      <c r="G103" s="1298"/>
      <c r="H103" s="1299"/>
      <c r="I103" s="1296">
        <f>C103+366</f>
        <v>39538</v>
      </c>
      <c r="J103" s="1297">
        <f>I103+FLOOR(365/4,1)</f>
        <v>39629</v>
      </c>
      <c r="K103" s="1297">
        <f>J103+FLOOR(365/4,1)+1</f>
        <v>39721</v>
      </c>
      <c r="L103" s="1300">
        <f>K103+FLOOR(365/4,1)+1</f>
        <v>39813</v>
      </c>
      <c r="M103" s="1298"/>
      <c r="N103" s="1301"/>
      <c r="O103" s="1296">
        <f>I103+365</f>
        <v>39903</v>
      </c>
      <c r="P103" s="1297">
        <f>O103+FLOOR(365/4,1)</f>
        <v>39994</v>
      </c>
      <c r="Q103" s="1297">
        <f>P103+FLOOR(365/4,1)+1</f>
        <v>40086</v>
      </c>
      <c r="R103" s="1300">
        <f>Q103+FLOOR(365/4,1)+1</f>
        <v>40178</v>
      </c>
      <c r="S103" s="1298"/>
      <c r="T103" s="1301"/>
      <c r="U103" s="1296">
        <f>O103+365</f>
        <v>40268</v>
      </c>
      <c r="V103" s="1297">
        <f>U103+FLOOR(365/4,1)</f>
        <v>40359</v>
      </c>
      <c r="W103" s="1297">
        <f>V103+FLOOR(365/4,1)+1</f>
        <v>40451</v>
      </c>
      <c r="X103" s="1297">
        <f>W103+FLOOR(365/4,1)+1</f>
        <v>40543</v>
      </c>
      <c r="Y103" s="1298"/>
      <c r="Z103" s="1301"/>
      <c r="AA103" s="1296">
        <f>U103+365</f>
        <v>40633</v>
      </c>
      <c r="AB103" s="1297">
        <f>AA103+FLOOR(365/4,1)</f>
        <v>40724</v>
      </c>
      <c r="AC103" s="1297">
        <f>AB103+FLOOR(365/4,1)+1</f>
        <v>40816</v>
      </c>
      <c r="AD103" s="1300">
        <f>AC103+FLOOR(365/4,1)+1</f>
        <v>40908</v>
      </c>
      <c r="AE103" s="1298"/>
      <c r="AF103" s="1301"/>
      <c r="AG103" s="1296">
        <f>AA103+366</f>
        <v>40999</v>
      </c>
      <c r="AH103" s="1297">
        <f>AG103+FLOOR(365/4,1)</f>
        <v>41090</v>
      </c>
      <c r="AI103" s="1297">
        <f>AH103+FLOOR(365/4,1)+1</f>
        <v>41182</v>
      </c>
      <c r="AJ103" s="1297">
        <f>AI103+FLOOR(365/4,1)+1</f>
        <v>41274</v>
      </c>
      <c r="AK103" s="1298"/>
      <c r="AL103" s="1301"/>
      <c r="AM103" s="1296">
        <f>AG103+365</f>
        <v>41364</v>
      </c>
      <c r="AN103" s="1297">
        <f>AM103+FLOOR(365/4,1)</f>
        <v>41455</v>
      </c>
      <c r="AO103" s="1297">
        <f>AN103+FLOOR(365/4,1)+1</f>
        <v>41547</v>
      </c>
      <c r="AP103" s="1297">
        <f>AO103+FLOOR(365/4,1)+1</f>
        <v>41639</v>
      </c>
      <c r="AQ103" s="1298"/>
      <c r="AR103" s="1301"/>
      <c r="AS103" s="1296">
        <f>AM103+365</f>
        <v>41729</v>
      </c>
      <c r="AT103" s="1366">
        <f>AS103+FLOOR(365/4,1)</f>
        <v>41820</v>
      </c>
      <c r="AU103" s="1366">
        <f>AT103+FLOOR(365/4,1)+1</f>
        <v>41912</v>
      </c>
      <c r="AV103" s="1366">
        <f>AU103+FLOOR(365/4,1)+1</f>
        <v>42004</v>
      </c>
      <c r="AW103" s="1298"/>
      <c r="AX103" s="1301"/>
      <c r="AY103" s="1442">
        <f>AS103+365</f>
        <v>42094</v>
      </c>
      <c r="AZ103" s="1443">
        <f>AY103+FLOOR(365/4,1)</f>
        <v>42185</v>
      </c>
      <c r="BA103" s="1443">
        <f>AZ103+FLOOR(365/4,1)+1</f>
        <v>42277</v>
      </c>
      <c r="BB103" s="1443">
        <f>BA103+FLOOR(365/4,1)+1</f>
        <v>42369</v>
      </c>
      <c r="BC103" s="1444"/>
      <c r="BD103" s="1301"/>
      <c r="BE103" s="1442">
        <f>AY103+365+1</f>
        <v>42460</v>
      </c>
      <c r="BF103" s="1443">
        <f>BE103+FLOOR(365/4,1)</f>
        <v>42551</v>
      </c>
      <c r="BG103" s="1443">
        <f>BF103+FLOOR(365/4,1)+1</f>
        <v>42643</v>
      </c>
      <c r="BH103" s="1443">
        <f>BG103+FLOOR(365/4,1)+1</f>
        <v>42735</v>
      </c>
      <c r="BI103" s="1444"/>
      <c r="BJ103" s="1301"/>
      <c r="BK103" s="1442">
        <f>BE103+365</f>
        <v>42825</v>
      </c>
      <c r="BL103" s="1443">
        <f>BK103+FLOOR(365/4,1)</f>
        <v>42916</v>
      </c>
      <c r="BM103" s="1443">
        <f>BL103+FLOOR(365/4,1)+1</f>
        <v>43008</v>
      </c>
      <c r="BN103" s="1443">
        <f>BM103+FLOOR(365/4,1)+1</f>
        <v>43100</v>
      </c>
      <c r="BO103" s="1298"/>
      <c r="BP103" s="1301"/>
      <c r="BQ103" s="1302">
        <f>BK103+365</f>
        <v>43190</v>
      </c>
      <c r="BR103" s="1303">
        <f>BQ103+FLOOR(365/4,1)</f>
        <v>43281</v>
      </c>
      <c r="BS103" s="1303">
        <f>BR103+FLOOR(365/4,1)+1</f>
        <v>43373</v>
      </c>
      <c r="BT103" s="1303">
        <f>BS103+FLOOR(365/4,1)+1</f>
        <v>43465</v>
      </c>
      <c r="BU103" s="1298"/>
      <c r="BV103" s="1301"/>
      <c r="BW103" s="1302">
        <f>BQ103+365</f>
        <v>43555</v>
      </c>
      <c r="BX103" s="1303">
        <f>BW103+FLOOR(365/4,1)</f>
        <v>43646</v>
      </c>
      <c r="BY103" s="1303">
        <f>BX103+FLOOR(365/4,1)+1</f>
        <v>43738</v>
      </c>
      <c r="BZ103" s="1303">
        <f>BY103+FLOOR(365/4,1)+1</f>
        <v>43830</v>
      </c>
      <c r="CA103" s="1298"/>
      <c r="CB103" s="1301"/>
      <c r="CC103" s="1302">
        <f>BW103+365</f>
        <v>43920</v>
      </c>
      <c r="CD103" s="1303">
        <f>CC103+FLOOR(365/4,1)</f>
        <v>44011</v>
      </c>
      <c r="CE103" s="1303">
        <f>CD103+FLOOR(365/4,1)+1</f>
        <v>44103</v>
      </c>
      <c r="CF103" s="1303">
        <f>CE103+FLOOR(365/4,1)+1</f>
        <v>44195</v>
      </c>
      <c r="CG103" s="1298"/>
      <c r="CH103" s="1301"/>
      <c r="CI103" s="1302">
        <f>CC103+365</f>
        <v>44285</v>
      </c>
      <c r="CJ103" s="1303">
        <f>CI103+FLOOR(365/4,1)</f>
        <v>44376</v>
      </c>
      <c r="CK103" s="1303">
        <f>CJ103+FLOOR(365/4,1)+1</f>
        <v>44468</v>
      </c>
      <c r="CL103" s="1303">
        <f>CK103+FLOOR(365/4,1)+1</f>
        <v>44560</v>
      </c>
      <c r="CM103" s="1298"/>
    </row>
    <row r="104" spans="1:91" s="97" customFormat="1" ht="13.5" customHeight="1">
      <c r="A104" s="1304" t="s">
        <v>181</v>
      </c>
      <c r="B104" s="1305"/>
      <c r="C104" s="1306"/>
      <c r="D104" s="1305"/>
      <c r="E104" s="1305"/>
      <c r="F104" s="1305"/>
      <c r="G104" s="1307"/>
      <c r="H104" s="1305"/>
      <c r="I104" s="1306"/>
      <c r="J104" s="1305"/>
      <c r="K104" s="1305"/>
      <c r="L104" s="1308"/>
      <c r="M104" s="1307"/>
      <c r="N104" s="1305"/>
      <c r="O104" s="1306"/>
      <c r="P104" s="1305"/>
      <c r="Q104" s="1305"/>
      <c r="R104" s="1308"/>
      <c r="S104" s="1307"/>
      <c r="T104" s="1305"/>
      <c r="U104" s="1306"/>
      <c r="V104" s="1305"/>
      <c r="W104" s="1305"/>
      <c r="X104" s="1305"/>
      <c r="Y104" s="1307"/>
      <c r="Z104" s="1305"/>
      <c r="AA104" s="1306"/>
      <c r="AB104" s="1305"/>
      <c r="AC104" s="1305"/>
      <c r="AD104" s="1308"/>
      <c r="AE104" s="1307"/>
      <c r="AF104" s="1305"/>
      <c r="AG104" s="1306"/>
      <c r="AH104" s="1305"/>
      <c r="AI104" s="1305"/>
      <c r="AJ104" s="1305"/>
      <c r="AK104" s="1307"/>
      <c r="AL104" s="1305"/>
      <c r="AM104" s="1306"/>
      <c r="AN104" s="1305"/>
      <c r="AO104" s="1305"/>
      <c r="AP104" s="1308"/>
      <c r="AQ104" s="1307"/>
      <c r="AR104" s="1305"/>
      <c r="AS104" s="1306"/>
      <c r="AT104" s="1305"/>
      <c r="AU104" s="1305"/>
      <c r="AV104" s="1305"/>
      <c r="AW104" s="1307"/>
      <c r="AX104" s="1305"/>
      <c r="AY104" s="1306"/>
      <c r="AZ104" s="1305"/>
      <c r="BA104" s="1305"/>
      <c r="BB104" s="1308"/>
      <c r="BC104" s="1307"/>
      <c r="BD104" s="1305"/>
      <c r="BE104" s="1306"/>
      <c r="BF104" s="1305"/>
      <c r="BG104" s="1305"/>
      <c r="BH104" s="1308"/>
      <c r="BI104" s="1307"/>
      <c r="BJ104" s="1305"/>
      <c r="BK104" s="1306"/>
      <c r="BL104" s="1305"/>
      <c r="BM104" s="1305"/>
      <c r="BN104" s="1305"/>
      <c r="BO104" s="1307"/>
      <c r="BP104" s="1305"/>
      <c r="BQ104" s="1306"/>
      <c r="BR104" s="1305"/>
      <c r="BS104" s="1305"/>
      <c r="BT104" s="1305"/>
      <c r="BU104" s="1307"/>
      <c r="BV104" s="1305"/>
      <c r="BW104" s="1306"/>
      <c r="BX104" s="1305"/>
      <c r="BY104" s="1305"/>
      <c r="BZ104" s="1305"/>
      <c r="CA104" s="1307"/>
      <c r="CB104" s="1305"/>
      <c r="CC104" s="1306"/>
      <c r="CD104" s="1305"/>
      <c r="CE104" s="1305"/>
      <c r="CF104" s="1305"/>
      <c r="CG104" s="1307"/>
      <c r="CH104" s="1305"/>
      <c r="CI104" s="1306"/>
      <c r="CJ104" s="1305"/>
      <c r="CK104" s="1305"/>
      <c r="CL104" s="1305"/>
      <c r="CM104" s="1307"/>
    </row>
    <row r="105" spans="1:91" s="518" customFormat="1">
      <c r="A105" s="1282" t="s">
        <v>182</v>
      </c>
      <c r="C105" s="606"/>
      <c r="D105" s="598"/>
      <c r="E105" s="598"/>
      <c r="F105" s="598"/>
      <c r="G105" s="948">
        <v>656.24900000000002</v>
      </c>
      <c r="H105" s="871"/>
      <c r="I105" s="890"/>
      <c r="J105" s="871"/>
      <c r="K105" s="871"/>
      <c r="L105" s="871"/>
      <c r="M105" s="948">
        <v>614.25800000000004</v>
      </c>
      <c r="N105" s="949"/>
      <c r="O105" s="890"/>
      <c r="P105" s="871"/>
      <c r="Q105" s="871"/>
      <c r="R105" s="871"/>
      <c r="S105" s="948">
        <v>596.34500000000003</v>
      </c>
      <c r="T105" s="745"/>
      <c r="U105" s="624">
        <f t="shared" ref="U105:X113" si="103">IF(ISERROR(U$114*U117),"NM",U$114*U117)</f>
        <v>154.72199582713836</v>
      </c>
      <c r="V105" s="623">
        <f t="shared" si="103"/>
        <v>165.72533109767616</v>
      </c>
      <c r="W105" s="623">
        <f t="shared" si="103"/>
        <v>164.75443701278965</v>
      </c>
      <c r="X105" s="1309">
        <f t="shared" si="103"/>
        <v>184.73323606239578</v>
      </c>
      <c r="Y105" s="600">
        <v>669.93499999999995</v>
      </c>
      <c r="Z105" s="623"/>
      <c r="AA105" s="624">
        <f t="shared" ref="AA105:AD113" si="104">IF(ISERROR(AA$114*AA117),"NM",AA$114*AA117)</f>
        <v>169.49572287527602</v>
      </c>
      <c r="AB105" s="623">
        <f t="shared" si="104"/>
        <v>181.37863678129045</v>
      </c>
      <c r="AC105" s="623">
        <f t="shared" si="104"/>
        <v>169.8699514375173</v>
      </c>
      <c r="AD105" s="1309">
        <f t="shared" si="104"/>
        <v>187.02498825649928</v>
      </c>
      <c r="AE105" s="600">
        <v>725.84900000000005</v>
      </c>
      <c r="AF105" s="623"/>
      <c r="AG105" s="624">
        <f t="shared" ref="AG105:AJ113" si="105">IF(ISERROR(AG$114*AG117),"NM",AG$114*AG117)</f>
        <v>182.8369320893247</v>
      </c>
      <c r="AH105" s="623">
        <f t="shared" si="105"/>
        <v>186.59918500098101</v>
      </c>
      <c r="AI105" s="623">
        <f t="shared" si="105"/>
        <v>179.97098703921148</v>
      </c>
      <c r="AJ105" s="1309">
        <f t="shared" si="105"/>
        <v>202.76909123276471</v>
      </c>
      <c r="AK105" s="600">
        <v>822.95100000000002</v>
      </c>
      <c r="AL105" s="623"/>
      <c r="AM105" s="624">
        <f t="shared" ref="AM105:AP113" si="106">IF(ISERROR(AM$114*AM117),"NM",AM$114*AM117)</f>
        <v>194.66289595812958</v>
      </c>
      <c r="AN105" s="623">
        <f t="shared" si="106"/>
        <v>211.15914557504937</v>
      </c>
      <c r="AO105" s="623">
        <f t="shared" si="106"/>
        <v>202.56575434823534</v>
      </c>
      <c r="AP105" s="1309">
        <f t="shared" si="106"/>
        <v>227.2492041185856</v>
      </c>
      <c r="AQ105" s="600">
        <v>835.63699999999994</v>
      </c>
      <c r="AR105" s="623"/>
      <c r="AS105" s="624">
        <f t="shared" ref="AS105:AV112" si="107">IF(ISERROR(AS$114*AS117),"NM",AS$114*AS117)</f>
        <v>196.23722553592287</v>
      </c>
      <c r="AT105" s="623">
        <f t="shared" si="107"/>
        <v>207.78783538194585</v>
      </c>
      <c r="AU105" s="623">
        <f t="shared" si="107"/>
        <v>207.80058321325598</v>
      </c>
      <c r="AV105" s="380">
        <f t="shared" si="107"/>
        <v>237.53035586887526</v>
      </c>
      <c r="AW105" s="600">
        <v>849.35599999999999</v>
      </c>
      <c r="AX105" s="623"/>
      <c r="AY105" s="624">
        <f t="shared" ref="AY105:BB112" si="108">IF(ISERROR(AY$114*AY117),"NM",AY$114*AY117)</f>
        <v>210.76689531708843</v>
      </c>
      <c r="AZ105" s="623">
        <f t="shared" si="108"/>
        <v>228.67025975675861</v>
      </c>
      <c r="BA105" s="623">
        <f t="shared" si="108"/>
        <v>228.77517673742639</v>
      </c>
      <c r="BB105" s="1309">
        <f t="shared" si="108"/>
        <v>248.10166818872656</v>
      </c>
      <c r="BC105" s="600">
        <v>916.31399999999996</v>
      </c>
      <c r="BD105" s="623"/>
      <c r="BE105" s="624">
        <f t="shared" ref="BE105:BH112" si="109">IF(ISERROR(BE$114*BE117),"NM",BE$114*BE117)</f>
        <v>198.30176255922311</v>
      </c>
      <c r="BF105" s="623">
        <f t="shared" si="109"/>
        <v>213.52272569211212</v>
      </c>
      <c r="BG105" s="623">
        <f t="shared" si="109"/>
        <v>204.86103963995558</v>
      </c>
      <c r="BH105" s="1309">
        <f t="shared" si="109"/>
        <v>225.67847210870912</v>
      </c>
      <c r="BI105" s="600">
        <v>842.36400000000003</v>
      </c>
      <c r="BJ105" s="623"/>
      <c r="BK105" s="624">
        <f t="shared" ref="BK105:BO113" si="110">IF(ISERROR(BK$114*BK117),"NM",BK$114*BK117)</f>
        <v>204.71211900447975</v>
      </c>
      <c r="BL105" s="623">
        <f t="shared" si="110"/>
        <v>217.79125299773057</v>
      </c>
      <c r="BM105" s="623">
        <f t="shared" si="110"/>
        <v>220.70316905985632</v>
      </c>
      <c r="BN105" s="1309">
        <f t="shared" si="110"/>
        <v>255.48649021492145</v>
      </c>
      <c r="BO105" s="615">
        <f t="shared" si="110"/>
        <v>898.69303127698799</v>
      </c>
      <c r="BP105" s="623"/>
      <c r="BQ105" s="624">
        <f t="shared" ref="BQ105:BU113" si="111">IF(ISERROR(BQ$114*BQ117),"NM",BQ$114*BQ117)</f>
        <v>248.33100713710871</v>
      </c>
      <c r="BR105" s="623">
        <f t="shared" si="111"/>
        <v>273.10318432511946</v>
      </c>
      <c r="BS105" s="623">
        <f t="shared" si="111"/>
        <v>271.90664748711004</v>
      </c>
      <c r="BT105" s="1309">
        <f t="shared" si="111"/>
        <v>305.00966086691363</v>
      </c>
      <c r="BU105" s="615">
        <f t="shared" si="111"/>
        <v>1098.3504998162521</v>
      </c>
      <c r="BV105" s="623"/>
      <c r="BW105" s="624">
        <f t="shared" ref="BW105:CA105" si="112">IF(ISERROR(BW$114*BW117),"NM",BW$114*BW117)</f>
        <v>264.15387204779063</v>
      </c>
      <c r="BX105" s="623">
        <f t="shared" si="112"/>
        <v>292.28131187100479</v>
      </c>
      <c r="BY105" s="623">
        <f t="shared" si="112"/>
        <v>292.49173854216446</v>
      </c>
      <c r="BZ105" s="1309">
        <f t="shared" si="112"/>
        <v>328.41141289734003</v>
      </c>
      <c r="CA105" s="615">
        <f t="shared" si="112"/>
        <v>1177.3383353582999</v>
      </c>
      <c r="CB105" s="623"/>
      <c r="CC105" s="624">
        <f t="shared" ref="CC105:CG105" si="113">IF(ISERROR(CC$114*CC117),"NM",CC$114*CC117)</f>
        <v>283.19887059457659</v>
      </c>
      <c r="CD105" s="623">
        <f t="shared" si="113"/>
        <v>313.95266152372926</v>
      </c>
      <c r="CE105" s="623">
        <f t="shared" si="113"/>
        <v>313.4749473304808</v>
      </c>
      <c r="CF105" s="1309">
        <f t="shared" si="113"/>
        <v>350.30284780383471</v>
      </c>
      <c r="CG105" s="615">
        <f t="shared" si="113"/>
        <v>1260.9293272526215</v>
      </c>
      <c r="CH105" s="623"/>
      <c r="CI105" s="624">
        <f t="shared" ref="CI105:CM105" si="114">IF(ISERROR(CI$114*CI117),"NM",CI$114*CI117)</f>
        <v>298.39964838375249</v>
      </c>
      <c r="CJ105" s="623">
        <f t="shared" si="114"/>
        <v>330.83650413311773</v>
      </c>
      <c r="CK105" s="623">
        <f t="shared" si="114"/>
        <v>331.53871337426978</v>
      </c>
      <c r="CL105" s="1309">
        <f t="shared" si="114"/>
        <v>370.2029239703038</v>
      </c>
      <c r="CM105" s="615">
        <f t="shared" si="114"/>
        <v>1330.9777898614436</v>
      </c>
    </row>
    <row r="106" spans="1:91" s="518" customFormat="1">
      <c r="A106" s="1282" t="s">
        <v>184</v>
      </c>
      <c r="C106" s="606"/>
      <c r="D106" s="598"/>
      <c r="E106" s="598"/>
      <c r="F106" s="598"/>
      <c r="G106" s="600">
        <v>1072.6279999999999</v>
      </c>
      <c r="H106" s="745"/>
      <c r="I106" s="606"/>
      <c r="J106" s="598"/>
      <c r="K106" s="598"/>
      <c r="L106" s="1350"/>
      <c r="M106" s="600">
        <v>1045.4100000000001</v>
      </c>
      <c r="N106" s="745"/>
      <c r="O106" s="606"/>
      <c r="P106" s="598"/>
      <c r="Q106" s="598"/>
      <c r="R106" s="1350"/>
      <c r="S106" s="600">
        <v>954.42100000000005</v>
      </c>
      <c r="T106" s="745"/>
      <c r="U106" s="624">
        <f t="shared" si="103"/>
        <v>238.89800417286162</v>
      </c>
      <c r="V106" s="623">
        <f t="shared" si="103"/>
        <v>255.88766890232381</v>
      </c>
      <c r="W106" s="623">
        <f t="shared" si="103"/>
        <v>254.38856298721035</v>
      </c>
      <c r="X106" s="1309">
        <f t="shared" si="103"/>
        <v>285.23676393760422</v>
      </c>
      <c r="Y106" s="600">
        <v>1034.4110000000001</v>
      </c>
      <c r="Z106" s="623"/>
      <c r="AA106" s="624">
        <f t="shared" si="104"/>
        <v>278.502277124724</v>
      </c>
      <c r="AB106" s="623">
        <f t="shared" si="104"/>
        <v>298.02736321870952</v>
      </c>
      <c r="AC106" s="623">
        <f t="shared" si="104"/>
        <v>279.11718058648273</v>
      </c>
      <c r="AD106" s="1309">
        <f t="shared" si="104"/>
        <v>307.30501174350059</v>
      </c>
      <c r="AE106" s="600">
        <v>1192.6590000000001</v>
      </c>
      <c r="AF106" s="623"/>
      <c r="AG106" s="624">
        <f t="shared" si="105"/>
        <v>287.10306791067529</v>
      </c>
      <c r="AH106" s="623">
        <f t="shared" si="105"/>
        <v>293.01081499901898</v>
      </c>
      <c r="AI106" s="623">
        <f t="shared" si="105"/>
        <v>282.60276478838858</v>
      </c>
      <c r="AJ106" s="1309">
        <f t="shared" si="105"/>
        <v>318.40190876723534</v>
      </c>
      <c r="AK106" s="600">
        <f>1292.254</f>
        <v>1292.2539999999999</v>
      </c>
      <c r="AL106" s="623"/>
      <c r="AM106" s="624">
        <f t="shared" si="106"/>
        <v>264.19818280035832</v>
      </c>
      <c r="AN106" s="623">
        <f t="shared" si="106"/>
        <v>286.58703687735067</v>
      </c>
      <c r="AO106" s="623">
        <f t="shared" si="106"/>
        <v>274.92401123991669</v>
      </c>
      <c r="AP106" s="1309">
        <f t="shared" si="106"/>
        <v>308.4246048814145</v>
      </c>
      <c r="AQ106" s="1378">
        <f>AQ114-AQ105</f>
        <v>1134.1338357990403</v>
      </c>
      <c r="AR106" s="623"/>
      <c r="AS106" s="624">
        <f t="shared" si="107"/>
        <v>279.00424208292304</v>
      </c>
      <c r="AT106" s="623">
        <f t="shared" si="107"/>
        <v>295.42655511188121</v>
      </c>
      <c r="AU106" s="623">
        <f t="shared" si="107"/>
        <v>295.44467959872702</v>
      </c>
      <c r="AV106" s="380">
        <f t="shared" si="107"/>
        <v>337.71358482007736</v>
      </c>
      <c r="AW106" s="1378">
        <f>AW114-AW105</f>
        <v>1207.5890616136087</v>
      </c>
      <c r="AX106" s="623"/>
      <c r="AY106" s="624">
        <f t="shared" si="108"/>
        <v>273.3761046829116</v>
      </c>
      <c r="AZ106" s="623">
        <f t="shared" si="108"/>
        <v>296.59774024324133</v>
      </c>
      <c r="BA106" s="623">
        <f t="shared" si="108"/>
        <v>296.73382326257365</v>
      </c>
      <c r="BB106" s="1309">
        <f t="shared" si="108"/>
        <v>321.80133181127343</v>
      </c>
      <c r="BC106" s="1378">
        <f>BC114-BC105</f>
        <v>1188.509</v>
      </c>
      <c r="BD106" s="623"/>
      <c r="BE106" s="624">
        <f t="shared" si="109"/>
        <v>299.71423744077691</v>
      </c>
      <c r="BF106" s="623">
        <f t="shared" si="109"/>
        <v>322.71927430788787</v>
      </c>
      <c r="BG106" s="623">
        <f t="shared" si="109"/>
        <v>309.62796036004437</v>
      </c>
      <c r="BH106" s="1309">
        <f t="shared" si="109"/>
        <v>341.09152789129092</v>
      </c>
      <c r="BI106" s="1378">
        <f>BI114-BI105</f>
        <v>1273.1530000000002</v>
      </c>
      <c r="BJ106" s="623"/>
      <c r="BK106" s="624">
        <f t="shared" si="110"/>
        <v>309.40288099552026</v>
      </c>
      <c r="BL106" s="623">
        <f t="shared" si="110"/>
        <v>329.17074700226948</v>
      </c>
      <c r="BM106" s="623">
        <f t="shared" si="110"/>
        <v>333.5718309401438</v>
      </c>
      <c r="BN106" s="1309">
        <f t="shared" si="110"/>
        <v>386.14350978507861</v>
      </c>
      <c r="BO106" s="615">
        <f t="shared" si="110"/>
        <v>1358.288968723012</v>
      </c>
      <c r="BP106" s="623"/>
      <c r="BQ106" s="624">
        <f t="shared" si="111"/>
        <v>375.32867825504349</v>
      </c>
      <c r="BR106" s="623">
        <f t="shared" si="111"/>
        <v>412.76946597086163</v>
      </c>
      <c r="BS106" s="623">
        <f t="shared" si="111"/>
        <v>410.96101444049924</v>
      </c>
      <c r="BT106" s="1309">
        <f t="shared" si="111"/>
        <v>460.9930680343578</v>
      </c>
      <c r="BU106" s="615">
        <f t="shared" si="111"/>
        <v>1660.0522267007625</v>
      </c>
      <c r="BV106" s="623"/>
      <c r="BW106" s="624">
        <f t="shared" ref="BW106:CA106" si="115">IF(ISERROR(BW$114*BW118),"NM",BW$114*BW118)</f>
        <v>399.2434323632786</v>
      </c>
      <c r="BX106" s="623">
        <f t="shared" si="115"/>
        <v>441.75538015929624</v>
      </c>
      <c r="BY106" s="623">
        <f t="shared" si="115"/>
        <v>442.07342004189684</v>
      </c>
      <c r="BZ106" s="1309">
        <f t="shared" si="115"/>
        <v>496.36258857748811</v>
      </c>
      <c r="CA106" s="615">
        <f t="shared" si="115"/>
        <v>1779.4348211419599</v>
      </c>
      <c r="CB106" s="623"/>
      <c r="CC106" s="624">
        <f t="shared" ref="CC106:CG106" si="116">IF(ISERROR(CC$114*CC118),"NM",CC$114*CC118)</f>
        <v>428.02813474234063</v>
      </c>
      <c r="CD106" s="623">
        <f t="shared" si="116"/>
        <v>474.50956222834856</v>
      </c>
      <c r="CE106" s="623">
        <f t="shared" si="116"/>
        <v>473.78754269964497</v>
      </c>
      <c r="CF106" s="1309">
        <f t="shared" si="116"/>
        <v>529.44940855734058</v>
      </c>
      <c r="CG106" s="615">
        <f t="shared" si="116"/>
        <v>1905.774648227675</v>
      </c>
      <c r="CH106" s="623"/>
      <c r="CI106" s="624">
        <f t="shared" ref="CI106:CM106" si="117">IF(ISERROR(CI$114*CI118),"NM",CI$114*CI118)</f>
        <v>451.00266338390497</v>
      </c>
      <c r="CJ106" s="623">
        <f t="shared" si="117"/>
        <v>500.02788313198488</v>
      </c>
      <c r="CK106" s="623">
        <f t="shared" si="117"/>
        <v>501.08920555554573</v>
      </c>
      <c r="CL106" s="1309">
        <f t="shared" si="117"/>
        <v>559.52647936232347</v>
      </c>
      <c r="CM106" s="615">
        <f t="shared" si="117"/>
        <v>2011.6462314337591</v>
      </c>
    </row>
    <row r="107" spans="1:91" s="224" customFormat="1">
      <c r="A107" s="1346" t="s">
        <v>390</v>
      </c>
      <c r="C107" s="602"/>
      <c r="D107" s="621"/>
      <c r="E107" s="621"/>
      <c r="F107" s="621"/>
      <c r="G107" s="947">
        <v>69.334999999999994</v>
      </c>
      <c r="H107" s="227"/>
      <c r="I107" s="463"/>
      <c r="J107" s="227"/>
      <c r="K107" s="227"/>
      <c r="L107" s="227"/>
      <c r="M107" s="947">
        <v>91.53</v>
      </c>
      <c r="N107" s="950"/>
      <c r="O107" s="463"/>
      <c r="P107" s="227"/>
      <c r="Q107" s="227"/>
      <c r="R107" s="227"/>
      <c r="S107" s="947">
        <v>104.313</v>
      </c>
      <c r="T107" s="623"/>
      <c r="U107" s="624">
        <f t="shared" si="103"/>
        <v>30.379493612212542</v>
      </c>
      <c r="V107" s="623">
        <f t="shared" si="103"/>
        <v>32.539986383633369</v>
      </c>
      <c r="W107" s="623">
        <f t="shared" si="103"/>
        <v>32.349352398515322</v>
      </c>
      <c r="X107" s="1309">
        <f t="shared" si="103"/>
        <v>36.272167605638757</v>
      </c>
      <c r="Y107" s="600">
        <v>131.541</v>
      </c>
      <c r="Z107" s="623"/>
      <c r="AA107" s="624">
        <f t="shared" si="104"/>
        <v>38.297422783746534</v>
      </c>
      <c r="AB107" s="623">
        <f t="shared" si="104"/>
        <v>40.982357660223464</v>
      </c>
      <c r="AC107" s="623">
        <f t="shared" si="104"/>
        <v>38.381979427553141</v>
      </c>
      <c r="AD107" s="1309">
        <f t="shared" si="104"/>
        <v>42.2581462521918</v>
      </c>
      <c r="AE107" s="600">
        <v>164.005</v>
      </c>
      <c r="AF107" s="623"/>
      <c r="AG107" s="624">
        <f t="shared" si="105"/>
        <v>48.083644138511403</v>
      </c>
      <c r="AH107" s="623">
        <f t="shared" si="105"/>
        <v>49.073065849409403</v>
      </c>
      <c r="AI107" s="623">
        <f t="shared" si="105"/>
        <v>47.3299392915998</v>
      </c>
      <c r="AJ107" s="1309">
        <f t="shared" si="105"/>
        <v>53.325532832515059</v>
      </c>
      <c r="AK107" s="600">
        <v>216.42500000000001</v>
      </c>
      <c r="AL107" s="623"/>
      <c r="AM107" s="624">
        <f t="shared" si="106"/>
        <v>59.364895379426507</v>
      </c>
      <c r="AN107" s="623">
        <f t="shared" si="106"/>
        <v>64.395633917663332</v>
      </c>
      <c r="AO107" s="623">
        <f t="shared" si="106"/>
        <v>61.774971317205434</v>
      </c>
      <c r="AP107" s="1309">
        <f t="shared" si="106"/>
        <v>69.302499385704706</v>
      </c>
      <c r="AQ107" s="600">
        <v>254.83799999999999</v>
      </c>
      <c r="AR107" s="623"/>
      <c r="AS107" s="624">
        <f t="shared" si="107"/>
        <v>63.8208346203335</v>
      </c>
      <c r="AT107" s="623">
        <f t="shared" si="107"/>
        <v>67.577357159488969</v>
      </c>
      <c r="AU107" s="623">
        <f t="shared" si="107"/>
        <v>67.581503045834381</v>
      </c>
      <c r="AV107" s="380">
        <f t="shared" si="107"/>
        <v>77.250305174343183</v>
      </c>
      <c r="AW107" s="600">
        <v>276.23</v>
      </c>
      <c r="AX107" s="623"/>
      <c r="AY107" s="624">
        <f t="shared" si="108"/>
        <v>71.975461520992511</v>
      </c>
      <c r="AZ107" s="623">
        <f t="shared" si="108"/>
        <v>78.0893387329956</v>
      </c>
      <c r="BA107" s="623">
        <f t="shared" si="108"/>
        <v>78.125167168450758</v>
      </c>
      <c r="BB107" s="1309">
        <f t="shared" si="108"/>
        <v>84.725032577561166</v>
      </c>
      <c r="BC107" s="600">
        <v>312.91500000000002</v>
      </c>
      <c r="BD107" s="623"/>
      <c r="BE107" s="624">
        <f t="shared" si="109"/>
        <v>79.269479587259283</v>
      </c>
      <c r="BF107" s="623">
        <f t="shared" si="109"/>
        <v>85.353932951614169</v>
      </c>
      <c r="BG107" s="623">
        <f t="shared" si="109"/>
        <v>81.891496022957952</v>
      </c>
      <c r="BH107" s="1309">
        <f t="shared" si="109"/>
        <v>90.213091438168533</v>
      </c>
      <c r="BI107" s="600">
        <v>336.72800000000001</v>
      </c>
      <c r="BJ107" s="623"/>
      <c r="BK107" s="624">
        <f t="shared" si="110"/>
        <v>81.831966238040152</v>
      </c>
      <c r="BL107" s="623">
        <f t="shared" si="110"/>
        <v>87.060241225194588</v>
      </c>
      <c r="BM107" s="623">
        <f t="shared" si="110"/>
        <v>88.224255442050335</v>
      </c>
      <c r="BN107" s="1309">
        <f t="shared" si="110"/>
        <v>102.12859865460781</v>
      </c>
      <c r="BO107" s="615">
        <f t="shared" si="110"/>
        <v>359.24506155989286</v>
      </c>
      <c r="BP107" s="623"/>
      <c r="BQ107" s="624">
        <f t="shared" si="111"/>
        <v>99.268253832386407</v>
      </c>
      <c r="BR107" s="623">
        <f t="shared" si="111"/>
        <v>109.17072554314859</v>
      </c>
      <c r="BS107" s="623">
        <f t="shared" si="111"/>
        <v>108.69241989809582</v>
      </c>
      <c r="BT107" s="1309">
        <f t="shared" si="111"/>
        <v>121.92507405871345</v>
      </c>
      <c r="BU107" s="615">
        <f t="shared" si="111"/>
        <v>439.05647333234435</v>
      </c>
      <c r="BV107" s="623"/>
      <c r="BW107" s="624">
        <f t="shared" ref="BW107:CA107" si="118">IF(ISERROR(BW$114*BW119),"NM",BW$114*BW119)</f>
        <v>105.59331242421142</v>
      </c>
      <c r="BX107" s="623">
        <f t="shared" si="118"/>
        <v>116.83702245549394</v>
      </c>
      <c r="BY107" s="623">
        <f t="shared" si="118"/>
        <v>116.92113876640734</v>
      </c>
      <c r="BZ107" s="1309">
        <f t="shared" si="118"/>
        <v>131.27972971553331</v>
      </c>
      <c r="CA107" s="615">
        <f t="shared" si="118"/>
        <v>470.63120336164599</v>
      </c>
      <c r="CB107" s="623"/>
      <c r="CC107" s="624">
        <f t="shared" ref="CC107:CG107" si="119">IF(ISERROR(CC$114*CC119),"NM",CC$114*CC119)</f>
        <v>113.20639212688407</v>
      </c>
      <c r="CD107" s="623">
        <f t="shared" si="119"/>
        <v>125.49996415986712</v>
      </c>
      <c r="CE107" s="623">
        <f t="shared" si="119"/>
        <v>125.30900188599956</v>
      </c>
      <c r="CF107" s="1309">
        <f t="shared" si="119"/>
        <v>140.03064866885293</v>
      </c>
      <c r="CG107" s="615">
        <f t="shared" si="119"/>
        <v>504.04600684160374</v>
      </c>
      <c r="CH107" s="623"/>
      <c r="CI107" s="624">
        <f t="shared" ref="CI107:CM107" si="120">IF(ISERROR(CI$114*CI119),"NM",CI$114*CI119)</f>
        <v>119.28277656804447</v>
      </c>
      <c r="CJ107" s="623">
        <f t="shared" si="120"/>
        <v>132.24913975874617</v>
      </c>
      <c r="CK107" s="623">
        <f t="shared" si="120"/>
        <v>132.52984206007272</v>
      </c>
      <c r="CL107" s="1309">
        <f t="shared" si="120"/>
        <v>147.9855385352086</v>
      </c>
      <c r="CM107" s="615">
        <f t="shared" si="120"/>
        <v>532.04729692207195</v>
      </c>
    </row>
    <row r="108" spans="1:91" s="224" customFormat="1">
      <c r="A108" s="1346" t="s">
        <v>171</v>
      </c>
      <c r="C108" s="602"/>
      <c r="D108" s="621"/>
      <c r="E108" s="621"/>
      <c r="F108" s="621"/>
      <c r="G108" s="947">
        <v>121.492</v>
      </c>
      <c r="H108" s="227"/>
      <c r="I108" s="463"/>
      <c r="J108" s="227"/>
      <c r="K108" s="227"/>
      <c r="L108" s="227"/>
      <c r="M108" s="947">
        <v>130.39500000000001</v>
      </c>
      <c r="N108" s="950"/>
      <c r="O108" s="463"/>
      <c r="P108" s="227"/>
      <c r="Q108" s="227"/>
      <c r="R108" s="227"/>
      <c r="S108" s="947">
        <v>104.36799999999999</v>
      </c>
      <c r="T108" s="623"/>
      <c r="U108" s="624">
        <f t="shared" si="103"/>
        <v>22.449337446739101</v>
      </c>
      <c r="V108" s="623">
        <f t="shared" si="103"/>
        <v>24.045862783730531</v>
      </c>
      <c r="W108" s="623">
        <f t="shared" si="103"/>
        <v>23.904991223613045</v>
      </c>
      <c r="X108" s="1309">
        <f t="shared" si="103"/>
        <v>26.80380854591732</v>
      </c>
      <c r="Y108" s="600">
        <v>97.203999999999994</v>
      </c>
      <c r="Z108" s="623"/>
      <c r="AA108" s="624">
        <f t="shared" si="104"/>
        <v>23.903868666693075</v>
      </c>
      <c r="AB108" s="623">
        <f t="shared" si="104"/>
        <v>25.579708083573273</v>
      </c>
      <c r="AC108" s="623">
        <f t="shared" si="104"/>
        <v>23.956645871046032</v>
      </c>
      <c r="AD108" s="1309">
        <f t="shared" si="104"/>
        <v>26.376009263448463</v>
      </c>
      <c r="AE108" s="600">
        <v>102.366</v>
      </c>
      <c r="AF108" s="623"/>
      <c r="AG108" s="624">
        <f t="shared" si="105"/>
        <v>26.352080928326096</v>
      </c>
      <c r="AH108" s="623">
        <f t="shared" si="105"/>
        <v>26.89433019967332</v>
      </c>
      <c r="AI108" s="623">
        <f t="shared" si="105"/>
        <v>25.939015498745263</v>
      </c>
      <c r="AJ108" s="1309">
        <f t="shared" si="105"/>
        <v>29.224880558149213</v>
      </c>
      <c r="AK108" s="600">
        <v>118.611</v>
      </c>
      <c r="AL108" s="623"/>
      <c r="AM108" s="624">
        <f t="shared" si="106"/>
        <v>31.124883402555955</v>
      </c>
      <c r="AN108" s="623">
        <f t="shared" si="106"/>
        <v>33.762488496114841</v>
      </c>
      <c r="AO108" s="623">
        <f t="shared" si="106"/>
        <v>32.388480888498322</v>
      </c>
      <c r="AP108" s="1309">
        <f t="shared" si="106"/>
        <v>36.335147212830854</v>
      </c>
      <c r="AQ108" s="600">
        <v>133.61099999999999</v>
      </c>
      <c r="AR108" s="623"/>
      <c r="AS108" s="624">
        <f t="shared" si="107"/>
        <v>31.101537963224754</v>
      </c>
      <c r="AT108" s="623">
        <f t="shared" si="107"/>
        <v>32.932188236858586</v>
      </c>
      <c r="AU108" s="623">
        <f t="shared" si="107"/>
        <v>32.934208634152512</v>
      </c>
      <c r="AV108" s="380">
        <f t="shared" si="107"/>
        <v>37.646065165764156</v>
      </c>
      <c r="AW108" s="600">
        <v>134.614</v>
      </c>
      <c r="AX108" s="623"/>
      <c r="AY108" s="624">
        <f t="shared" si="108"/>
        <v>25.937295966929288</v>
      </c>
      <c r="AZ108" s="623">
        <f t="shared" si="108"/>
        <v>28.140511332306801</v>
      </c>
      <c r="BA108" s="623">
        <f t="shared" si="108"/>
        <v>28.15342257615011</v>
      </c>
      <c r="BB108" s="1309">
        <f t="shared" si="108"/>
        <v>30.531770124613807</v>
      </c>
      <c r="BC108" s="600">
        <v>112.76300000000001</v>
      </c>
      <c r="BD108" s="623"/>
      <c r="BE108" s="624">
        <f t="shared" si="109"/>
        <v>15.514527401103368</v>
      </c>
      <c r="BF108" s="623">
        <f t="shared" si="109"/>
        <v>16.705369310669681</v>
      </c>
      <c r="BG108" s="623">
        <f t="shared" si="109"/>
        <v>16.027705310805818</v>
      </c>
      <c r="BH108" s="1309">
        <f t="shared" si="109"/>
        <v>17.656397977421118</v>
      </c>
      <c r="BI108" s="600">
        <v>65.903999999999996</v>
      </c>
      <c r="BJ108" s="623"/>
      <c r="BK108" s="624">
        <f t="shared" si="110"/>
        <v>16.016054212752721</v>
      </c>
      <c r="BL108" s="623">
        <f t="shared" si="110"/>
        <v>17.039325917967094</v>
      </c>
      <c r="BM108" s="623">
        <f t="shared" si="110"/>
        <v>17.267145383374373</v>
      </c>
      <c r="BN108" s="1309">
        <f t="shared" si="110"/>
        <v>19.988486748156593</v>
      </c>
      <c r="BO108" s="615">
        <f>IF(ISERROR(BO$114*BO122),"NM",BO$114*BO122)</f>
        <v>70.392094395837987</v>
      </c>
      <c r="BP108" s="623"/>
      <c r="BQ108" s="624">
        <f t="shared" si="111"/>
        <v>19.428663492699133</v>
      </c>
      <c r="BR108" s="623">
        <f t="shared" si="111"/>
        <v>21.366763370422611</v>
      </c>
      <c r="BS108" s="623">
        <f t="shared" si="111"/>
        <v>21.273149963662384</v>
      </c>
      <c r="BT108" s="1309">
        <f t="shared" si="111"/>
        <v>23.863029153398145</v>
      </c>
      <c r="BU108" s="615">
        <f>IF(ISERROR(BU$114*BU122),"NM",BU$114*BU122)</f>
        <v>86.030701665641345</v>
      </c>
      <c r="BV108" s="623"/>
      <c r="BW108" s="624">
        <f t="shared" ref="BW108:BZ108" si="121">IF(ISERROR(BW$114*BW120),"NM",BW$114*BW120)</f>
        <v>20.666596368597887</v>
      </c>
      <c r="BX108" s="623">
        <f t="shared" si="121"/>
        <v>22.867201800583473</v>
      </c>
      <c r="BY108" s="623">
        <f t="shared" si="121"/>
        <v>22.883664943994287</v>
      </c>
      <c r="BZ108" s="1309">
        <f t="shared" si="121"/>
        <v>25.693911130563858</v>
      </c>
      <c r="CA108" s="615">
        <f>IF(ISERROR(CA$114*CA122),"NM",CA$114*CA122)</f>
        <v>92.217596391750632</v>
      </c>
      <c r="CB108" s="623"/>
      <c r="CC108" s="624">
        <f t="shared" ref="CC108:CF108" si="122">IF(ISERROR(CC$114*CC120),"NM",CC$114*CC120)</f>
        <v>22.156619190355919</v>
      </c>
      <c r="CD108" s="623">
        <f t="shared" si="122"/>
        <v>24.56270235321055</v>
      </c>
      <c r="CE108" s="623">
        <f t="shared" si="122"/>
        <v>24.52532744617292</v>
      </c>
      <c r="CF108" s="1309">
        <f t="shared" si="122"/>
        <v>27.406630484759461</v>
      </c>
      <c r="CG108" s="615">
        <f>IF(ISERROR(CG$114*CG122),"NM",CG$114*CG122)</f>
        <v>98.765043392319669</v>
      </c>
      <c r="CH108" s="623"/>
      <c r="CI108" s="624">
        <f t="shared" ref="CI108:CL108" si="123">IF(ISERROR(CI$114*CI120),"NM",CI$114*CI120)</f>
        <v>23.34588185995938</v>
      </c>
      <c r="CJ108" s="623">
        <f t="shared" si="123"/>
        <v>25.883642900680691</v>
      </c>
      <c r="CK108" s="623">
        <f t="shared" si="123"/>
        <v>25.938581618181537</v>
      </c>
      <c r="CL108" s="1309">
        <f t="shared" si="123"/>
        <v>28.96355198149363</v>
      </c>
      <c r="CM108" s="615">
        <f>IF(ISERROR(CM$114*CM122),"NM",CM$114*CM122)</f>
        <v>104.25174221008739</v>
      </c>
    </row>
    <row r="109" spans="1:91" s="224" customFormat="1">
      <c r="A109" s="1346" t="s">
        <v>400</v>
      </c>
      <c r="C109" s="602"/>
      <c r="D109" s="621"/>
      <c r="E109" s="621"/>
      <c r="F109" s="621"/>
      <c r="G109" s="947">
        <v>159.37299999999999</v>
      </c>
      <c r="H109" s="227"/>
      <c r="I109" s="463"/>
      <c r="J109" s="227"/>
      <c r="K109" s="227"/>
      <c r="L109" s="227"/>
      <c r="M109" s="947">
        <v>177.499</v>
      </c>
      <c r="N109" s="950"/>
      <c r="O109" s="463"/>
      <c r="P109" s="227"/>
      <c r="Q109" s="227"/>
      <c r="R109" s="227"/>
      <c r="S109" s="947">
        <v>95.418000000000006</v>
      </c>
      <c r="T109" s="623"/>
      <c r="U109" s="624">
        <f t="shared" si="103"/>
        <v>21.175182116776757</v>
      </c>
      <c r="V109" s="623">
        <f t="shared" si="103"/>
        <v>22.681093587217617</v>
      </c>
      <c r="W109" s="623">
        <f t="shared" si="103"/>
        <v>22.548217463472792</v>
      </c>
      <c r="X109" s="1309">
        <f t="shared" si="103"/>
        <v>25.282506832532832</v>
      </c>
      <c r="Y109" s="600">
        <v>91.686999999999998</v>
      </c>
      <c r="Z109" s="623"/>
      <c r="AA109" s="624">
        <f t="shared" si="104"/>
        <v>26.497272388752091</v>
      </c>
      <c r="AB109" s="623">
        <f t="shared" si="104"/>
        <v>28.354928742543681</v>
      </c>
      <c r="AC109" s="623">
        <f t="shared" si="104"/>
        <v>26.555775553204537</v>
      </c>
      <c r="AD109" s="1309">
        <f t="shared" si="104"/>
        <v>29.237623069593656</v>
      </c>
      <c r="AE109" s="600">
        <v>113.47199999999999</v>
      </c>
      <c r="AF109" s="623"/>
      <c r="AG109" s="624">
        <f t="shared" si="105"/>
        <v>23.491390148945374</v>
      </c>
      <c r="AH109" s="623">
        <f t="shared" si="105"/>
        <v>23.974774714507578</v>
      </c>
      <c r="AI109" s="623">
        <f t="shared" si="105"/>
        <v>23.123165674008568</v>
      </c>
      <c r="AJ109" s="1309">
        <f t="shared" si="105"/>
        <v>26.052328585172599</v>
      </c>
      <c r="AK109" s="600">
        <v>105.735</v>
      </c>
      <c r="AL109" s="623"/>
      <c r="AM109" s="624">
        <f t="shared" si="106"/>
        <v>23.097840477308239</v>
      </c>
      <c r="AN109" s="623">
        <f t="shared" si="106"/>
        <v>25.055212683501175</v>
      </c>
      <c r="AO109" s="623">
        <f t="shared" si="106"/>
        <v>24.035558790348656</v>
      </c>
      <c r="AP109" s="1309">
        <f t="shared" si="106"/>
        <v>26.964388048841926</v>
      </c>
      <c r="AQ109" s="600">
        <v>99.153000000000006</v>
      </c>
      <c r="AR109" s="623"/>
      <c r="AS109" s="624">
        <f t="shared" si="107"/>
        <v>24.740248314737467</v>
      </c>
      <c r="AT109" s="623">
        <f t="shared" si="107"/>
        <v>26.19647026751344</v>
      </c>
      <c r="AU109" s="623">
        <f t="shared" si="107"/>
        <v>26.198077426966623</v>
      </c>
      <c r="AV109" s="380">
        <f t="shared" si="107"/>
        <v>29.946203990782468</v>
      </c>
      <c r="AW109" s="600">
        <v>107.081</v>
      </c>
      <c r="AX109" s="623"/>
      <c r="AY109" s="624">
        <f t="shared" si="108"/>
        <v>24.248518380405386</v>
      </c>
      <c r="AZ109" s="623">
        <f t="shared" si="108"/>
        <v>26.308282372437017</v>
      </c>
      <c r="BA109" s="623">
        <f t="shared" si="108"/>
        <v>26.320352965071176</v>
      </c>
      <c r="BB109" s="1309">
        <f t="shared" si="108"/>
        <v>28.543846282086431</v>
      </c>
      <c r="BC109" s="600">
        <v>105.42100000000001</v>
      </c>
      <c r="BD109" s="623"/>
      <c r="BE109" s="624">
        <f t="shared" si="109"/>
        <v>21.149089997385978</v>
      </c>
      <c r="BF109" s="623">
        <f t="shared" si="109"/>
        <v>22.772421605687871</v>
      </c>
      <c r="BG109" s="623">
        <f t="shared" si="109"/>
        <v>21.848643745713215</v>
      </c>
      <c r="BH109" s="1309">
        <f t="shared" si="109"/>
        <v>24.068844651212913</v>
      </c>
      <c r="BI109" s="600">
        <v>89.838999999999999</v>
      </c>
      <c r="BJ109" s="623"/>
      <c r="BK109" s="624">
        <f t="shared" si="110"/>
        <v>21.832761204471527</v>
      </c>
      <c r="BL109" s="623">
        <f t="shared" si="110"/>
        <v>23.22766449903262</v>
      </c>
      <c r="BM109" s="623">
        <f t="shared" si="110"/>
        <v>23.538223387001853</v>
      </c>
      <c r="BN109" s="1309">
        <f t="shared" si="110"/>
        <v>27.247900900819982</v>
      </c>
      <c r="BO109" s="615">
        <f>IF(ISERROR(BO$114*BO125),"NM",BO$114*BO125)</f>
        <v>610.94320787779077</v>
      </c>
      <c r="BP109" s="623"/>
      <c r="BQ109" s="624">
        <f t="shared" si="111"/>
        <v>26.484761160484904</v>
      </c>
      <c r="BR109" s="623">
        <f t="shared" si="111"/>
        <v>29.126739718915346</v>
      </c>
      <c r="BS109" s="623">
        <f t="shared" si="111"/>
        <v>28.999127815996975</v>
      </c>
      <c r="BT109" s="1309">
        <f t="shared" si="111"/>
        <v>32.529598751398034</v>
      </c>
      <c r="BU109" s="615">
        <f>IF(ISERROR(BU$114*BU125),"NM",BU$114*BU125)</f>
        <v>746.67295102803178</v>
      </c>
      <c r="BV109" s="623"/>
      <c r="BW109" s="624">
        <f t="shared" ref="BW109:BZ109" si="124">IF(ISERROR(BW$114*BW121),"NM",BW$114*BW121)</f>
        <v>28.172286221753847</v>
      </c>
      <c r="BX109" s="623">
        <f t="shared" si="124"/>
        <v>31.172107043011327</v>
      </c>
      <c r="BY109" s="623">
        <f t="shared" si="124"/>
        <v>31.194549267168956</v>
      </c>
      <c r="BZ109" s="1309">
        <f t="shared" si="124"/>
        <v>35.025420036093806</v>
      </c>
      <c r="CA109" s="615">
        <f>IF(ISERROR(CA$114*CA125),"NM",CA$114*CA125)</f>
        <v>800.36990866529277</v>
      </c>
      <c r="CB109" s="623"/>
      <c r="CC109" s="624">
        <f t="shared" ref="CC109:CF109" si="125">IF(ISERROR(CC$114*CC121),"NM",CC$114*CC121)</f>
        <v>30.203455199113638</v>
      </c>
      <c r="CD109" s="623">
        <f t="shared" si="125"/>
        <v>33.483379107642669</v>
      </c>
      <c r="CE109" s="623">
        <f t="shared" si="125"/>
        <v>33.432430390214989</v>
      </c>
      <c r="CF109" s="1309">
        <f t="shared" si="125"/>
        <v>37.360164422801425</v>
      </c>
      <c r="CG109" s="615">
        <f>IF(ISERROR(CG$114*CG125),"NM",CG$114*CG125)</f>
        <v>857.19615184316285</v>
      </c>
      <c r="CH109" s="623"/>
      <c r="CI109" s="624">
        <f t="shared" ref="CI109:CL109" si="126">IF(ISERROR(CI$114*CI121),"NM",CI$114*CI121)</f>
        <v>31.824634019435706</v>
      </c>
      <c r="CJ109" s="623">
        <f t="shared" si="126"/>
        <v>35.284058548104099</v>
      </c>
      <c r="CK109" s="623">
        <f t="shared" si="126"/>
        <v>35.358949896756052</v>
      </c>
      <c r="CL109" s="1309">
        <f t="shared" si="126"/>
        <v>39.482528320973024</v>
      </c>
      <c r="CM109" s="615">
        <f>IF(ISERROR(CM$114*CM125),"NM",CM$114*CM125)</f>
        <v>904.81600752662268</v>
      </c>
    </row>
    <row r="110" spans="1:91" s="224" customFormat="1">
      <c r="A110" s="1346" t="s">
        <v>391</v>
      </c>
      <c r="C110" s="602"/>
      <c r="D110" s="621"/>
      <c r="E110" s="621"/>
      <c r="F110" s="621"/>
      <c r="G110" s="947">
        <v>71.790000000000006</v>
      </c>
      <c r="H110" s="227"/>
      <c r="I110" s="463"/>
      <c r="J110" s="227"/>
      <c r="K110" s="227"/>
      <c r="L110" s="227"/>
      <c r="M110" s="947">
        <v>86.587000000000003</v>
      </c>
      <c r="N110" s="950"/>
      <c r="O110" s="463"/>
      <c r="P110" s="227"/>
      <c r="Q110" s="227"/>
      <c r="R110" s="227"/>
      <c r="S110" s="947">
        <v>76.522000000000006</v>
      </c>
      <c r="T110" s="623"/>
      <c r="U110" s="624">
        <f t="shared" si="103"/>
        <v>19.004475945611983</v>
      </c>
      <c r="V110" s="623">
        <f t="shared" si="103"/>
        <v>20.356013710831014</v>
      </c>
      <c r="W110" s="623">
        <f t="shared" si="103"/>
        <v>20.23675895856827</v>
      </c>
      <c r="X110" s="1309">
        <f t="shared" si="103"/>
        <v>22.690751384988729</v>
      </c>
      <c r="Y110" s="600">
        <v>82.287999999999997</v>
      </c>
      <c r="Z110" s="623"/>
      <c r="AA110" s="624">
        <f t="shared" si="104"/>
        <v>21.010866801702157</v>
      </c>
      <c r="AB110" s="623">
        <f t="shared" si="104"/>
        <v>22.48388521809656</v>
      </c>
      <c r="AC110" s="623">
        <f t="shared" si="104"/>
        <v>21.057256565061728</v>
      </c>
      <c r="AD110" s="1309">
        <f t="shared" si="104"/>
        <v>23.183812843105155</v>
      </c>
      <c r="AE110" s="600">
        <v>89.977000000000004</v>
      </c>
      <c r="AF110" s="623"/>
      <c r="AG110" s="624">
        <f t="shared" si="105"/>
        <v>25.394296061138284</v>
      </c>
      <c r="AH110" s="623">
        <f t="shared" si="105"/>
        <v>25.916836902333344</v>
      </c>
      <c r="AI110" s="623">
        <f t="shared" si="105"/>
        <v>24.996243784358818</v>
      </c>
      <c r="AJ110" s="1309">
        <f t="shared" si="105"/>
        <v>28.16268177316147</v>
      </c>
      <c r="AK110" s="600">
        <v>114.3</v>
      </c>
      <c r="AL110" s="623"/>
      <c r="AM110" s="624">
        <f t="shared" si="106"/>
        <v>22.28786809785829</v>
      </c>
      <c r="AN110" s="623">
        <f t="shared" si="106"/>
        <v>24.176601098369776</v>
      </c>
      <c r="AO110" s="623">
        <f t="shared" si="106"/>
        <v>23.192703426274527</v>
      </c>
      <c r="AP110" s="1309">
        <f t="shared" si="106"/>
        <v>26.018827377497406</v>
      </c>
      <c r="AQ110" s="600">
        <v>95.676000000000002</v>
      </c>
      <c r="AR110" s="623"/>
      <c r="AS110" s="624">
        <f t="shared" si="107"/>
        <v>21.674316028556298</v>
      </c>
      <c r="AT110" s="623">
        <f t="shared" si="107"/>
        <v>22.950075851604893</v>
      </c>
      <c r="AU110" s="623">
        <f t="shared" si="107"/>
        <v>22.951483844016831</v>
      </c>
      <c r="AV110" s="380">
        <f t="shared" si="107"/>
        <v>26.235124275821988</v>
      </c>
      <c r="AW110" s="600">
        <v>93.811000000000007</v>
      </c>
      <c r="AX110" s="623"/>
      <c r="AY110" s="624">
        <f t="shared" si="108"/>
        <v>16.70468311682265</v>
      </c>
      <c r="AZ110" s="623">
        <f t="shared" si="108"/>
        <v>18.123644236118665</v>
      </c>
      <c r="BA110" s="623">
        <f t="shared" si="108"/>
        <v>18.131959607054846</v>
      </c>
      <c r="BB110" s="1309">
        <f t="shared" si="108"/>
        <v>19.663713040003838</v>
      </c>
      <c r="BC110" s="600">
        <v>72.623999999999995</v>
      </c>
      <c r="BD110" s="623"/>
      <c r="BE110" s="624">
        <f t="shared" si="109"/>
        <v>15.532418638091777</v>
      </c>
      <c r="BF110" s="623">
        <f t="shared" si="109"/>
        <v>16.724633817643628</v>
      </c>
      <c r="BG110" s="623">
        <f t="shared" si="109"/>
        <v>16.046188340722381</v>
      </c>
      <c r="BH110" s="1309">
        <f t="shared" si="109"/>
        <v>17.676759203542204</v>
      </c>
      <c r="BI110" s="600">
        <v>65.98</v>
      </c>
      <c r="BJ110" s="623"/>
      <c r="BK110" s="624">
        <f t="shared" si="110"/>
        <v>16.034523806710133</v>
      </c>
      <c r="BL110" s="623">
        <f t="shared" si="110"/>
        <v>17.058975541203402</v>
      </c>
      <c r="BM110" s="623">
        <f t="shared" si="110"/>
        <v>17.287057726314657</v>
      </c>
      <c r="BN110" s="1309">
        <f t="shared" si="110"/>
        <v>20.011537321609801</v>
      </c>
      <c r="BO110" s="615">
        <f>IF(ISERROR(BO$114*BO122),"NM",BO$114*BO122)</f>
        <v>70.392094395837987</v>
      </c>
      <c r="BP110" s="623"/>
      <c r="BQ110" s="624">
        <f t="shared" si="111"/>
        <v>19.451068482160245</v>
      </c>
      <c r="BR110" s="623">
        <f t="shared" si="111"/>
        <v>21.39140336217049</v>
      </c>
      <c r="BS110" s="623">
        <f t="shared" si="111"/>
        <v>21.297682001129584</v>
      </c>
      <c r="BT110" s="1309">
        <f t="shared" si="111"/>
        <v>23.890547820181016</v>
      </c>
      <c r="BU110" s="615">
        <f>IF(ISERROR(BU$114*BU122),"NM",BU$114*BU122)</f>
        <v>86.030701665641345</v>
      </c>
      <c r="BV110" s="623"/>
      <c r="BW110" s="624">
        <f t="shared" ref="BW110:BZ110" si="127">IF(ISERROR(BW$114*BW122),"NM",BW$114*BW122)</f>
        <v>20.690428932994791</v>
      </c>
      <c r="BX110" s="623">
        <f t="shared" si="127"/>
        <v>22.893572086709423</v>
      </c>
      <c r="BY110" s="623">
        <f t="shared" si="127"/>
        <v>22.910054215294114</v>
      </c>
      <c r="BZ110" s="1309">
        <f t="shared" si="127"/>
        <v>25.723541156752297</v>
      </c>
      <c r="CA110" s="615">
        <f>IF(ISERROR(CA$114*CA122),"NM",CA$114*CA122)</f>
        <v>92.217596391750632</v>
      </c>
      <c r="CB110" s="623"/>
      <c r="CC110" s="624">
        <f t="shared" ref="CC110:CF110" si="128">IF(ISERROR(CC$114*CC122),"NM",CC$114*CC122)</f>
        <v>22.182170037929165</v>
      </c>
      <c r="CD110" s="623">
        <f t="shared" si="128"/>
        <v>24.591027877895609</v>
      </c>
      <c r="CE110" s="623">
        <f t="shared" si="128"/>
        <v>24.553609870394656</v>
      </c>
      <c r="CF110" s="1309">
        <f t="shared" si="128"/>
        <v>27.438235606100228</v>
      </c>
      <c r="CG110" s="615">
        <f>IF(ISERROR(CG$114*CG122),"NM",CG$114*CG122)</f>
        <v>98.765043392319669</v>
      </c>
      <c r="CH110" s="623"/>
      <c r="CI110" s="624">
        <f t="shared" ref="CI110:CL110" si="129">IF(ISERROR(CI$114*CI122),"NM",CI$114*CI122)</f>
        <v>23.372804156350451</v>
      </c>
      <c r="CJ110" s="623">
        <f t="shared" si="129"/>
        <v>25.913491724127702</v>
      </c>
      <c r="CK110" s="623">
        <f t="shared" si="129"/>
        <v>25.968493796546763</v>
      </c>
      <c r="CL110" s="1309">
        <f t="shared" si="129"/>
        <v>28.996952533062483</v>
      </c>
      <c r="CM110" s="615">
        <f>IF(ISERROR(CM$114*CM122),"NM",CM$114*CM122)</f>
        <v>104.25174221008739</v>
      </c>
    </row>
    <row r="111" spans="1:91" s="50" customFormat="1">
      <c r="A111" s="1347" t="s">
        <v>401</v>
      </c>
      <c r="C111" s="602"/>
      <c r="D111" s="621"/>
      <c r="E111" s="621"/>
      <c r="F111" s="621"/>
      <c r="G111" s="947">
        <v>79.518000000000001</v>
      </c>
      <c r="H111" s="227"/>
      <c r="I111" s="463"/>
      <c r="J111" s="227"/>
      <c r="K111" s="227"/>
      <c r="L111" s="227"/>
      <c r="M111" s="947">
        <v>81.522999999999996</v>
      </c>
      <c r="N111" s="950"/>
      <c r="O111" s="463"/>
      <c r="P111" s="227"/>
      <c r="Q111" s="227"/>
      <c r="R111" s="227"/>
      <c r="S111" s="947">
        <v>68.858000000000004</v>
      </c>
      <c r="T111" s="623"/>
      <c r="U111" s="624">
        <f t="shared" si="103"/>
        <v>17.477891437536744</v>
      </c>
      <c r="V111" s="623">
        <f t="shared" si="103"/>
        <v>18.720863377506678</v>
      </c>
      <c r="W111" s="623">
        <f t="shared" si="103"/>
        <v>18.611188076834164</v>
      </c>
      <c r="X111" s="623">
        <f t="shared" si="103"/>
        <v>20.868057108122411</v>
      </c>
      <c r="Y111" s="600">
        <v>75.677999999999997</v>
      </c>
      <c r="Z111" s="623"/>
      <c r="AA111" s="624">
        <f t="shared" si="104"/>
        <v>19.940906793195545</v>
      </c>
      <c r="AB111" s="623">
        <f t="shared" si="104"/>
        <v>21.338913035546369</v>
      </c>
      <c r="AC111" s="623">
        <f t="shared" si="104"/>
        <v>19.984934198444563</v>
      </c>
      <c r="AD111" s="623">
        <f t="shared" si="104"/>
        <v>22.003197458650153</v>
      </c>
      <c r="AE111" s="600">
        <v>85.394999999999996</v>
      </c>
      <c r="AF111" s="623"/>
      <c r="AG111" s="624">
        <f t="shared" si="105"/>
        <v>18.750232861590245</v>
      </c>
      <c r="AH111" s="623">
        <f t="shared" si="105"/>
        <v>19.136058183485762</v>
      </c>
      <c r="AI111" s="623">
        <f t="shared" si="105"/>
        <v>18.456325408407366</v>
      </c>
      <c r="AJ111" s="623">
        <f t="shared" si="105"/>
        <v>20.79430908351673</v>
      </c>
      <c r="AK111" s="600">
        <v>84.394999999999996</v>
      </c>
      <c r="AL111" s="623"/>
      <c r="AM111" s="624">
        <f t="shared" si="106"/>
        <v>19.036563956361903</v>
      </c>
      <c r="AN111" s="623">
        <f t="shared" si="106"/>
        <v>20.649772828689322</v>
      </c>
      <c r="AO111" s="623">
        <f t="shared" si="106"/>
        <v>19.809403939250469</v>
      </c>
      <c r="AP111" s="623">
        <f t="shared" si="106"/>
        <v>22.223259275698297</v>
      </c>
      <c r="AQ111" s="600">
        <v>81.718999999999994</v>
      </c>
      <c r="AR111" s="623"/>
      <c r="AS111" s="624">
        <f t="shared" si="107"/>
        <v>19.626125394268723</v>
      </c>
      <c r="AT111" s="623">
        <f t="shared" si="107"/>
        <v>20.781327811135466</v>
      </c>
      <c r="AU111" s="623">
        <f t="shared" si="107"/>
        <v>20.782602750358205</v>
      </c>
      <c r="AV111" s="380">
        <f t="shared" si="107"/>
        <v>23.755944044237609</v>
      </c>
      <c r="AW111" s="600">
        <v>84.945999999999998</v>
      </c>
      <c r="AX111" s="623"/>
      <c r="AY111" s="624">
        <f t="shared" si="108"/>
        <v>17.170925580440731</v>
      </c>
      <c r="AZ111" s="623">
        <f t="shared" si="108"/>
        <v>18.629491158163891</v>
      </c>
      <c r="BA111" s="623">
        <f t="shared" si="108"/>
        <v>18.638038618449155</v>
      </c>
      <c r="BB111" s="623">
        <f t="shared" si="108"/>
        <v>20.212544642946224</v>
      </c>
      <c r="BC111" s="600">
        <v>74.650999999999996</v>
      </c>
      <c r="BD111" s="623"/>
      <c r="BE111" s="624">
        <f t="shared" si="109"/>
        <v>16.738664668731094</v>
      </c>
      <c r="BF111" s="623">
        <f t="shared" si="109"/>
        <v>18.023467156255418</v>
      </c>
      <c r="BG111" s="623">
        <f t="shared" si="109"/>
        <v>17.292333673518101</v>
      </c>
      <c r="BH111" s="623">
        <f t="shared" si="109"/>
        <v>19.049534501495376</v>
      </c>
      <c r="BI111" s="600">
        <v>71.103999999999999</v>
      </c>
      <c r="BJ111" s="623"/>
      <c r="BK111" s="624">
        <f t="shared" si="110"/>
        <v>17.279763272996622</v>
      </c>
      <c r="BL111" s="623">
        <f t="shared" si="110"/>
        <v>18.383773823609072</v>
      </c>
      <c r="BM111" s="623">
        <f t="shared" si="110"/>
        <v>18.629568847709567</v>
      </c>
      <c r="BN111" s="623">
        <f t="shared" si="110"/>
        <v>21.565631247586285</v>
      </c>
      <c r="BO111" s="615">
        <f>IF(ISERROR(BO$114*BO123),"NM",BO$114*BO123)</f>
        <v>75.85873719190154</v>
      </c>
      <c r="BP111" s="623"/>
      <c r="BQ111" s="624">
        <f t="shared" si="111"/>
        <v>20.961636455827858</v>
      </c>
      <c r="BR111" s="623">
        <f t="shared" si="111"/>
        <v>23.052657542645807</v>
      </c>
      <c r="BS111" s="623">
        <f t="shared" si="111"/>
        <v>22.95165779036553</v>
      </c>
      <c r="BT111" s="623">
        <f t="shared" si="111"/>
        <v>25.745885301699772</v>
      </c>
      <c r="BU111" s="615">
        <f>IF(ISERROR(BU$114*BU123),"NM",BU$114*BU123)</f>
        <v>92.711837090538978</v>
      </c>
      <c r="BV111" s="623"/>
      <c r="BW111" s="624">
        <f t="shared" ref="BW111:BZ111" si="130">IF(ISERROR(BW$114*BW123),"NM",BW$114*BW123)</f>
        <v>22.297245511543824</v>
      </c>
      <c r="BX111" s="623">
        <f t="shared" si="130"/>
        <v>24.671484535516619</v>
      </c>
      <c r="BY111" s="623">
        <f t="shared" si="130"/>
        <v>24.689246664508527</v>
      </c>
      <c r="BZ111" s="623">
        <f t="shared" si="130"/>
        <v>27.721228711878073</v>
      </c>
      <c r="CA111" s="615">
        <f>IF(ISERROR(CA$114*CA123),"NM",CA$114*CA123)</f>
        <v>99.379205423447047</v>
      </c>
      <c r="CB111" s="623"/>
      <c r="CC111" s="624">
        <f t="shared" ref="CC111:CF111" si="131">IF(ISERROR(CC$114*CC123),"NM",CC$114*CC123)</f>
        <v>23.904835076946274</v>
      </c>
      <c r="CD111" s="623">
        <f t="shared" si="131"/>
        <v>26.500764568503932</v>
      </c>
      <c r="CE111" s="623">
        <f t="shared" si="131"/>
        <v>26.460440682396811</v>
      </c>
      <c r="CF111" s="623">
        <f t="shared" si="131"/>
        <v>29.569086155443323</v>
      </c>
      <c r="CG111" s="615">
        <f>IF(ISERROR(CG$114*CG123),"NM",CG$114*CG123)</f>
        <v>106.43512648329035</v>
      </c>
      <c r="CH111" s="623"/>
      <c r="CI111" s="624">
        <f t="shared" ref="CI111:CL111" si="132">IF(ISERROR(CI$114*CI123),"NM",CI$114*CI123)</f>
        <v>25.187933718295579</v>
      </c>
      <c r="CJ111" s="623">
        <f t="shared" si="132"/>
        <v>27.925930820739254</v>
      </c>
      <c r="CK111" s="623">
        <f t="shared" si="132"/>
        <v>27.985204348433783</v>
      </c>
      <c r="CL111" s="623">
        <f t="shared" si="132"/>
        <v>31.248852878309709</v>
      </c>
      <c r="CM111" s="615">
        <f>IF(ISERROR(CM$114*CM123),"NM",CM$114*CM123)</f>
        <v>112.34792176577831</v>
      </c>
    </row>
    <row r="112" spans="1:91" s="50" customFormat="1">
      <c r="A112" s="1347" t="s">
        <v>402</v>
      </c>
      <c r="C112" s="602"/>
      <c r="D112" s="621"/>
      <c r="E112" s="621"/>
      <c r="F112" s="621"/>
      <c r="G112" s="947">
        <v>77.509</v>
      </c>
      <c r="H112" s="227"/>
      <c r="I112" s="463"/>
      <c r="J112" s="227"/>
      <c r="K112" s="227"/>
      <c r="L112" s="227"/>
      <c r="M112" s="947">
        <v>86.629000000000005</v>
      </c>
      <c r="N112" s="950"/>
      <c r="O112" s="463"/>
      <c r="P112" s="227"/>
      <c r="Q112" s="227"/>
      <c r="R112" s="227"/>
      <c r="S112" s="947">
        <v>68.861000000000004</v>
      </c>
      <c r="T112" s="623"/>
      <c r="U112" s="624">
        <f t="shared" si="103"/>
        <v>15.573702440701595</v>
      </c>
      <c r="V112" s="623">
        <f t="shared" si="103"/>
        <v>16.681254527543118</v>
      </c>
      <c r="W112" s="623">
        <f t="shared" si="103"/>
        <v>16.583528179724073</v>
      </c>
      <c r="X112" s="623">
        <f t="shared" si="103"/>
        <v>18.594514852031221</v>
      </c>
      <c r="Y112" s="600">
        <v>67.433000000000007</v>
      </c>
      <c r="Z112" s="623"/>
      <c r="AA112" s="624">
        <f t="shared" si="104"/>
        <v>17.496017816970269</v>
      </c>
      <c r="AB112" s="623">
        <f t="shared" si="104"/>
        <v>18.722619113394362</v>
      </c>
      <c r="AC112" s="623">
        <f t="shared" si="104"/>
        <v>17.534647166912098</v>
      </c>
      <c r="AD112" s="623">
        <f t="shared" si="104"/>
        <v>19.305457808880643</v>
      </c>
      <c r="AE112" s="600">
        <v>74.924999999999997</v>
      </c>
      <c r="AF112" s="623"/>
      <c r="AG112" s="624">
        <f t="shared" si="105"/>
        <v>15.462971229738962</v>
      </c>
      <c r="AH112" s="623">
        <f t="shared" si="105"/>
        <v>15.781154256915997</v>
      </c>
      <c r="AI112" s="623">
        <f t="shared" si="105"/>
        <v>15.220591173644699</v>
      </c>
      <c r="AJ112" s="623">
        <f t="shared" si="105"/>
        <v>17.148683190990948</v>
      </c>
      <c r="AK112" s="600">
        <v>69.599000000000004</v>
      </c>
      <c r="AL112" s="623"/>
      <c r="AM112" s="624">
        <f t="shared" si="106"/>
        <v>18.198171493422485</v>
      </c>
      <c r="AN112" s="623">
        <f t="shared" si="106"/>
        <v>19.740332766886649</v>
      </c>
      <c r="AO112" s="623">
        <f t="shared" si="106"/>
        <v>18.936974702752686</v>
      </c>
      <c r="AP112" s="623">
        <f t="shared" si="106"/>
        <v>21.244521036938181</v>
      </c>
      <c r="AQ112" s="600">
        <v>78.12</v>
      </c>
      <c r="AR112" s="623"/>
      <c r="AS112" s="624">
        <f t="shared" si="107"/>
        <v>19.738643029790222</v>
      </c>
      <c r="AT112" s="623">
        <f t="shared" si="107"/>
        <v>20.900468284424651</v>
      </c>
      <c r="AU112" s="623">
        <f t="shared" si="107"/>
        <v>20.901750532942724</v>
      </c>
      <c r="AV112" s="380">
        <f t="shared" si="107"/>
        <v>23.892138152842417</v>
      </c>
      <c r="AW112" s="600">
        <v>85.433000000000007</v>
      </c>
      <c r="AX112" s="623"/>
      <c r="AY112" s="624">
        <f t="shared" si="108"/>
        <v>17.192317069891391</v>
      </c>
      <c r="AZ112" s="623">
        <f t="shared" si="108"/>
        <v>18.652699724394875</v>
      </c>
      <c r="BA112" s="623">
        <f t="shared" si="108"/>
        <v>18.661257833081454</v>
      </c>
      <c r="BB112" s="623">
        <f t="shared" si="108"/>
        <v>20.237725372632283</v>
      </c>
      <c r="BC112" s="600">
        <v>74.744</v>
      </c>
      <c r="BD112" s="623"/>
      <c r="BE112" s="624">
        <f t="shared" si="109"/>
        <v>16.701940550702261</v>
      </c>
      <c r="BF112" s="623">
        <f t="shared" si="109"/>
        <v>17.983924220887847</v>
      </c>
      <c r="BG112" s="623">
        <f t="shared" si="109"/>
        <v>17.25439482263673</v>
      </c>
      <c r="BH112" s="623">
        <f t="shared" si="109"/>
        <v>19.007740405773148</v>
      </c>
      <c r="BI112" s="600">
        <v>70.947999999999993</v>
      </c>
      <c r="BJ112" s="623"/>
      <c r="BK112" s="624">
        <f t="shared" si="110"/>
        <v>17.241852001189304</v>
      </c>
      <c r="BL112" s="623">
        <f t="shared" si="110"/>
        <v>18.343440386439813</v>
      </c>
      <c r="BM112" s="623">
        <f t="shared" si="110"/>
        <v>18.588696143779512</v>
      </c>
      <c r="BN112" s="623">
        <f t="shared" si="110"/>
        <v>21.518316912603392</v>
      </c>
      <c r="BO112" s="615">
        <f>IF(ISERROR(BO$114*BO124),"NM",BO$114*BO124)</f>
        <v>75.692305444012021</v>
      </c>
      <c r="BP112" s="623"/>
      <c r="BQ112" s="624">
        <f t="shared" si="111"/>
        <v>20.915647266933995</v>
      </c>
      <c r="BR112" s="623">
        <f t="shared" si="111"/>
        <v>23.002080717479114</v>
      </c>
      <c r="BS112" s="623">
        <f t="shared" si="111"/>
        <v>22.901302555564438</v>
      </c>
      <c r="BT112" s="623">
        <f t="shared" si="111"/>
        <v>25.689399617250725</v>
      </c>
      <c r="BU112" s="615">
        <f>IF(ISERROR(BU$114*BU124),"NM",BU$114*BU124)</f>
        <v>92.50843015722829</v>
      </c>
      <c r="BV112" s="623"/>
      <c r="BW112" s="624">
        <f t="shared" ref="BW112:BZ112" si="133">IF(ISERROR(BW$114*BW124),"NM",BW$114*BW124)</f>
        <v>22.248326037255445</v>
      </c>
      <c r="BX112" s="623">
        <f t="shared" si="133"/>
        <v>24.617356053468626</v>
      </c>
      <c r="BY112" s="623">
        <f t="shared" si="133"/>
        <v>24.6350792128931</v>
      </c>
      <c r="BZ112" s="623">
        <f t="shared" si="133"/>
        <v>27.660409184438649</v>
      </c>
      <c r="CA112" s="615">
        <f>IF(ISERROR(CA$114*CA124),"NM",CA$114*CA124)</f>
        <v>99.161170488055816</v>
      </c>
      <c r="CB112" s="623"/>
      <c r="CC112" s="624">
        <f t="shared" ref="CC112:CF112" si="134">IF(ISERROR(CC$114*CC124),"NM",CC$114*CC124)</f>
        <v>23.852388600348565</v>
      </c>
      <c r="CD112" s="623">
        <f t="shared" si="134"/>
        <v>26.442622702045128</v>
      </c>
      <c r="CE112" s="623">
        <f t="shared" si="134"/>
        <v>26.402387285310095</v>
      </c>
      <c r="CF112" s="623">
        <f t="shared" si="134"/>
        <v>29.50421248532281</v>
      </c>
      <c r="CG112" s="615">
        <f>IF(ISERROR(CG$114*CG124),"NM",CG$114*CG124)</f>
        <v>106.20161107302661</v>
      </c>
      <c r="CH112" s="623"/>
      <c r="CI112" s="624">
        <f t="shared" ref="CI112:CL112" si="135">IF(ISERROR(CI$114*CI124),"NM",CI$114*CI124)</f>
        <v>25.132672162545493</v>
      </c>
      <c r="CJ112" s="623">
        <f t="shared" si="135"/>
        <v>27.864662183137497</v>
      </c>
      <c r="CK112" s="623">
        <f t="shared" si="135"/>
        <v>27.923805666526214</v>
      </c>
      <c r="CL112" s="623">
        <f t="shared" si="135"/>
        <v>31.180293851405228</v>
      </c>
      <c r="CM112" s="615">
        <f>IF(ISERROR(CM$114*CM124),"NM",CM$114*CM124)</f>
        <v>112.10143386361443</v>
      </c>
    </row>
    <row r="113" spans="1:91" s="50" customFormat="1">
      <c r="A113" s="1347" t="s">
        <v>392</v>
      </c>
      <c r="C113" s="602"/>
      <c r="D113" s="621"/>
      <c r="E113" s="621"/>
      <c r="F113" s="621"/>
      <c r="G113" s="947">
        <v>493.61099999999999</v>
      </c>
      <c r="H113" s="227"/>
      <c r="I113" s="463"/>
      <c r="J113" s="227"/>
      <c r="K113" s="227"/>
      <c r="L113" s="227"/>
      <c r="M113" s="947">
        <v>542.154</v>
      </c>
      <c r="N113" s="950"/>
      <c r="O113" s="463"/>
      <c r="P113" s="227"/>
      <c r="Q113" s="227"/>
      <c r="R113" s="227"/>
      <c r="S113" s="947">
        <v>436.08100000000002</v>
      </c>
      <c r="T113" s="623"/>
      <c r="U113" s="624">
        <f t="shared" si="103"/>
        <v>112.83792117328288</v>
      </c>
      <c r="V113" s="623">
        <f t="shared" si="103"/>
        <v>120.86259453186148</v>
      </c>
      <c r="W113" s="623">
        <f t="shared" si="103"/>
        <v>120.15452668648268</v>
      </c>
      <c r="X113" s="623">
        <f t="shared" si="103"/>
        <v>134.72495760837296</v>
      </c>
      <c r="Y113" s="600">
        <v>488.58</v>
      </c>
      <c r="Z113" s="623"/>
      <c r="AA113" s="624">
        <f t="shared" si="104"/>
        <v>131.35592187366433</v>
      </c>
      <c r="AB113" s="623">
        <f t="shared" si="104"/>
        <v>140.56495136533181</v>
      </c>
      <c r="AC113" s="623">
        <f t="shared" si="104"/>
        <v>131.64594180426064</v>
      </c>
      <c r="AD113" s="623">
        <f t="shared" si="104"/>
        <v>144.94076504763072</v>
      </c>
      <c r="AE113" s="600">
        <v>562.51900000000001</v>
      </c>
      <c r="AF113" s="623"/>
      <c r="AG113" s="624">
        <f t="shared" si="105"/>
        <v>129.56845254242495</v>
      </c>
      <c r="AH113" s="623">
        <f t="shared" si="105"/>
        <v>132.23459489269362</v>
      </c>
      <c r="AI113" s="623">
        <f t="shared" si="105"/>
        <v>127.53748395762408</v>
      </c>
      <c r="AJ113" s="623">
        <f t="shared" si="105"/>
        <v>143.69349274372934</v>
      </c>
      <c r="AK113" s="600">
        <v>583.18899999999996</v>
      </c>
      <c r="AL113" s="623"/>
      <c r="AM113" s="624">
        <f t="shared" si="106"/>
        <v>91.087959993424917</v>
      </c>
      <c r="AN113" s="623">
        <f t="shared" si="106"/>
        <v>98.806995086125568</v>
      </c>
      <c r="AO113" s="623">
        <f t="shared" si="106"/>
        <v>94.785918175586602</v>
      </c>
      <c r="AP113" s="623">
        <f t="shared" si="106"/>
        <v>106.33596254390312</v>
      </c>
      <c r="AQ113" s="1378">
        <f>AQ106-SUM(AQ107:AQ112)</f>
        <v>391.01683579904022</v>
      </c>
      <c r="AR113" s="623"/>
      <c r="AS113" s="624">
        <f>IF(ISERROR(AS$114*AS125),"NM",AS$114*AS125)</f>
        <v>98.302536732012086</v>
      </c>
      <c r="AT113" s="623">
        <f>IF(ISERROR(AT$114*AT125),"NM",AT$114*AT125)</f>
        <v>104.08866750085524</v>
      </c>
      <c r="AU113" s="623">
        <f>IF(ISERROR(AU$114*AU125),"NM",AU$114*AU125)</f>
        <v>104.09505336445575</v>
      </c>
      <c r="AV113" s="380">
        <f>IF(ISERROR(AV$114*AV125),"NM",AV$114*AV125)</f>
        <v>118.98780401628554</v>
      </c>
      <c r="AW113" s="1378">
        <f>AW106-SUM(AW107:AW112)</f>
        <v>425.47406161360857</v>
      </c>
      <c r="AX113" s="623"/>
      <c r="AY113" s="624">
        <f>IF(ISERROR(AY$114*AY125),"NM",AY$114*AY125)</f>
        <v>100.14690304742965</v>
      </c>
      <c r="AZ113" s="623">
        <f>IF(ISERROR(AZ$114*AZ125),"NM",AZ$114*AZ125)</f>
        <v>108.65377268682448</v>
      </c>
      <c r="BA113" s="623">
        <f>IF(ISERROR(BA$114*BA125),"NM",BA$114*BA125)</f>
        <v>108.70362449431616</v>
      </c>
      <c r="BB113" s="623">
        <f>IF(ISERROR(BB$114*BB125),"NM",BB$114*BB125)</f>
        <v>117.88669977142972</v>
      </c>
      <c r="BC113" s="1378">
        <f>BC106-SUM(BC107:BC112)</f>
        <v>435.39099999999996</v>
      </c>
      <c r="BD113" s="623"/>
      <c r="BE113" s="624">
        <f>IF(ISERROR(BE$114*BE125),"NM",BE$114*BE125)</f>
        <v>134.80811659750316</v>
      </c>
      <c r="BF113" s="623">
        <f>IF(ISERROR(BF$114*BF125),"NM",BF$114*BF125)</f>
        <v>145.15552524512924</v>
      </c>
      <c r="BG113" s="623">
        <f>IF(ISERROR(BG$114*BG125),"NM",BG$114*BG125)</f>
        <v>139.26719844369015</v>
      </c>
      <c r="BH113" s="623">
        <f>IF(ISERROR(BH$114*BH125),"NM",BH$114*BH125)</f>
        <v>153.4191597136776</v>
      </c>
      <c r="BI113" s="1378">
        <f>BI106-SUM(BI107:BI112)</f>
        <v>572.6500000000002</v>
      </c>
      <c r="BJ113" s="623"/>
      <c r="BK113" s="624">
        <f t="shared" si="110"/>
        <v>139.16596025935982</v>
      </c>
      <c r="BL113" s="623">
        <f t="shared" si="110"/>
        <v>148.05732560882285</v>
      </c>
      <c r="BM113" s="623">
        <f t="shared" si="110"/>
        <v>150.03688400991348</v>
      </c>
      <c r="BN113" s="623">
        <f t="shared" si="110"/>
        <v>173.68303799969468</v>
      </c>
      <c r="BO113" s="615">
        <f>IF(ISERROR(BO$114*BO125),"NM",BO$114*BO125)</f>
        <v>610.94320787779077</v>
      </c>
      <c r="BP113" s="623"/>
      <c r="BQ113" s="624">
        <f t="shared" si="111"/>
        <v>168.8186475645509</v>
      </c>
      <c r="BR113" s="623">
        <f t="shared" si="111"/>
        <v>185.65909571607966</v>
      </c>
      <c r="BS113" s="623">
        <f t="shared" si="111"/>
        <v>184.84567441568447</v>
      </c>
      <c r="BT113" s="623">
        <f t="shared" si="111"/>
        <v>207.34953333171666</v>
      </c>
      <c r="BU113" s="615">
        <f>IF(ISERROR(BU$114*BU125),"NM",BU$114*BU125)</f>
        <v>746.67295102803178</v>
      </c>
      <c r="BV113" s="623"/>
      <c r="BW113" s="624">
        <f t="shared" ref="BW113:BZ113" si="136">IF(ISERROR(BW$114*BW125),"NM",BW$114*BW125)</f>
        <v>179.57523686692136</v>
      </c>
      <c r="BX113" s="623">
        <f t="shared" si="136"/>
        <v>198.69663618451281</v>
      </c>
      <c r="BY113" s="623">
        <f t="shared" si="136"/>
        <v>198.83968697163047</v>
      </c>
      <c r="BZ113" s="623">
        <f t="shared" si="136"/>
        <v>223.2583486422281</v>
      </c>
      <c r="CA113" s="615">
        <f>IF(ISERROR(CA$114*CA125),"NM",CA$114*CA125)</f>
        <v>800.36990866529277</v>
      </c>
      <c r="CB113" s="623"/>
      <c r="CC113" s="624">
        <f t="shared" ref="CC113:CF113" si="137">IF(ISERROR(CC$114*CC125),"NM",CC$114*CC125)</f>
        <v>192.52227451076297</v>
      </c>
      <c r="CD113" s="623">
        <f t="shared" si="137"/>
        <v>213.42910145918347</v>
      </c>
      <c r="CE113" s="623">
        <f t="shared" si="137"/>
        <v>213.10434513915587</v>
      </c>
      <c r="CF113" s="623">
        <f t="shared" si="137"/>
        <v>238.14043073406035</v>
      </c>
      <c r="CG113" s="615">
        <f>IF(ISERROR(CG$114*CG125),"NM",CG$114*CG125)</f>
        <v>857.19615184316285</v>
      </c>
      <c r="CH113" s="623"/>
      <c r="CI113" s="624">
        <f t="shared" ref="CI113:CL113" si="138">IF(ISERROR(CI$114*CI125),"NM",CI$114*CI125)</f>
        <v>202.85596089927387</v>
      </c>
      <c r="CJ113" s="623">
        <f t="shared" si="138"/>
        <v>224.90695719644944</v>
      </c>
      <c r="CK113" s="623">
        <f t="shared" si="138"/>
        <v>225.38432816902863</v>
      </c>
      <c r="CL113" s="623">
        <f t="shared" si="138"/>
        <v>251.66876126187083</v>
      </c>
      <c r="CM113" s="615">
        <f>IF(ISERROR(CM$114*CM125),"NM",CM$114*CM125)</f>
        <v>904.81600752662268</v>
      </c>
    </row>
    <row r="114" spans="1:91" s="50" customFormat="1">
      <c r="A114" s="1310" t="s">
        <v>206</v>
      </c>
      <c r="B114" s="1311"/>
      <c r="C114" s="1312"/>
      <c r="D114" s="1313"/>
      <c r="E114" s="1313"/>
      <c r="F114" s="1313"/>
      <c r="G114" s="1314">
        <f>SUM(G105:G106)</f>
        <v>1728.877</v>
      </c>
      <c r="H114" s="1315"/>
      <c r="I114" s="1312"/>
      <c r="J114" s="1313"/>
      <c r="K114" s="1313"/>
      <c r="L114" s="1316"/>
      <c r="M114" s="1314">
        <f>SUM(M105:M106)</f>
        <v>1659.6680000000001</v>
      </c>
      <c r="N114" s="1315"/>
      <c r="O114" s="1312"/>
      <c r="P114" s="1313"/>
      <c r="Q114" s="1313"/>
      <c r="R114" s="1316"/>
      <c r="S114" s="1314">
        <f>SUM(S105:S106)</f>
        <v>1550.7660000000001</v>
      </c>
      <c r="T114" s="1315"/>
      <c r="U114" s="1317">
        <f>ProFormaRevBuild!U17</f>
        <v>393.62</v>
      </c>
      <c r="V114" s="1318">
        <f>ProFormaRevBuild!V17</f>
        <v>421.613</v>
      </c>
      <c r="W114" s="1318">
        <f>ProFormaRevBuild!W17</f>
        <v>419.14300000000003</v>
      </c>
      <c r="X114" s="1318">
        <f>ProFormaRevBuild!X17</f>
        <v>469.97</v>
      </c>
      <c r="Y114" s="1314">
        <f>SUM(Y105:Y106)</f>
        <v>1704.346</v>
      </c>
      <c r="Z114" s="1315"/>
      <c r="AA114" s="1317">
        <f>ProFormaRevBuild!AA17</f>
        <v>447.99800000000005</v>
      </c>
      <c r="AB114" s="1318">
        <f>ProFormaRevBuild!AB17</f>
        <v>479.40600000000001</v>
      </c>
      <c r="AC114" s="1318">
        <f>ProFormaRevBuild!AC17</f>
        <v>448.98713202400006</v>
      </c>
      <c r="AD114" s="1318">
        <f>ProFormaRevBuild!AD17</f>
        <v>494.32999999999993</v>
      </c>
      <c r="AE114" s="1314">
        <f>SUM(AE105:AE106)</f>
        <v>1918.5080000000003</v>
      </c>
      <c r="AF114" s="1315"/>
      <c r="AG114" s="1317">
        <f>ProFormaRevBuild!AG17</f>
        <v>469.94</v>
      </c>
      <c r="AH114" s="1318">
        <f>ProFormaRevBuild!AH17</f>
        <v>479.61</v>
      </c>
      <c r="AI114" s="1318">
        <f>ProFormaRevBuild!AI17</f>
        <v>462.57375182760006</v>
      </c>
      <c r="AJ114" s="1318">
        <f>ProFormaRevBuild!AJ17</f>
        <v>521.17100000000005</v>
      </c>
      <c r="AK114" s="1314">
        <f>SUM(AK105:AK106)</f>
        <v>2115.2049999999999</v>
      </c>
      <c r="AL114" s="1315"/>
      <c r="AM114" s="1317">
        <f>ProFormaRevBuild!AM17</f>
        <v>458.86107875848791</v>
      </c>
      <c r="AN114" s="1318">
        <f>ProFormaRevBuild!AN17</f>
        <v>497.74618245240003</v>
      </c>
      <c r="AO114" s="1318">
        <f>ProFormaRevBuild!AO17</f>
        <v>477.48976558815207</v>
      </c>
      <c r="AP114" s="1318">
        <f>ProFormaRevBuild!AP17</f>
        <v>535.67380900000012</v>
      </c>
      <c r="AQ114" s="1319">
        <f>ProFormaRevBuild!AQ17</f>
        <v>1969.7708357990402</v>
      </c>
      <c r="AR114" s="1315"/>
      <c r="AS114" s="1317">
        <f>ProFormaRevBuild!AS17</f>
        <v>475.24146761884595</v>
      </c>
      <c r="AT114" s="1318">
        <f>ProFormaRevBuild!AT17</f>
        <v>503.21439049382712</v>
      </c>
      <c r="AU114" s="1318">
        <f>ProFormaRevBuild!AU17</f>
        <v>503.24526281198303</v>
      </c>
      <c r="AV114" s="1318">
        <f>ProFormaRevBuild!AV17</f>
        <v>575.24394068895265</v>
      </c>
      <c r="AW114" s="1319">
        <f>ProFormaRevBuild!AW17</f>
        <v>2056.9450616136087</v>
      </c>
      <c r="AX114" s="1320"/>
      <c r="AY114" s="1317">
        <f>ProFormaRevBuild!AY17</f>
        <v>484.14300000000003</v>
      </c>
      <c r="AZ114" s="1318">
        <f>ProFormaRevBuild!AZ17</f>
        <v>525.26799999999992</v>
      </c>
      <c r="BA114" s="1318">
        <f>ProFormaRevBuild!BA17</f>
        <v>525.50900000000001</v>
      </c>
      <c r="BB114" s="1318">
        <f>ProFormaRevBuild!BB17</f>
        <v>569.90300000000002</v>
      </c>
      <c r="BC114" s="1319">
        <f>ProFormaRevBuild!BC17</f>
        <v>2104.8229999999999</v>
      </c>
      <c r="BD114" s="1320"/>
      <c r="BE114" s="1317">
        <f>ProFormaRevBuild!BE17</f>
        <v>498.01600000000002</v>
      </c>
      <c r="BF114" s="1318">
        <f>ProFormaRevBuild!BF17</f>
        <v>536.24199999999996</v>
      </c>
      <c r="BG114" s="1318">
        <f>ProFormaRevBuild!BG17</f>
        <v>514.48899999999992</v>
      </c>
      <c r="BH114" s="1318">
        <f>ProFormaRevBuild!BH17</f>
        <v>566.77</v>
      </c>
      <c r="BI114" s="1319">
        <f>ProFormaRevBuild!BI17</f>
        <v>2115.5170000000003</v>
      </c>
      <c r="BJ114" s="1320"/>
      <c r="BK114" s="1317">
        <f>ProFormaRevBuild!BK17</f>
        <v>514.11500000000001</v>
      </c>
      <c r="BL114" s="1318">
        <f>ProFormaRevBuild!BL17</f>
        <v>546.96199999999999</v>
      </c>
      <c r="BM114" s="1318">
        <f>ProFormaRevBuild!BM17</f>
        <v>554.27500000000009</v>
      </c>
      <c r="BN114" s="1318">
        <f>ProFormaRevBuild!BN17</f>
        <v>641.63</v>
      </c>
      <c r="BO114" s="1319">
        <f>ProFormaRevBuild!BO17</f>
        <v>2256.982</v>
      </c>
      <c r="BP114" s="1320"/>
      <c r="BQ114" s="1317">
        <f>ProFormaRevBuild!BQ17</f>
        <v>623.65968539215214</v>
      </c>
      <c r="BR114" s="1318">
        <f>ProFormaRevBuild!BR17</f>
        <v>685.87265029598109</v>
      </c>
      <c r="BS114" s="1318">
        <f>ProFormaRevBuild!BS17</f>
        <v>682.86766192760922</v>
      </c>
      <c r="BT114" s="1318">
        <f>ProFormaRevBuild!BT17</f>
        <v>766.00272890127144</v>
      </c>
      <c r="BU114" s="1319">
        <f>ProFormaRevBuild!BU17</f>
        <v>2758.4027265170143</v>
      </c>
      <c r="BV114" s="1320"/>
      <c r="BW114" s="1317">
        <f>ProFormaRevBuild!BW17</f>
        <v>663.39730441106917</v>
      </c>
      <c r="BX114" s="1318">
        <f>ProFormaRevBuild!BX17</f>
        <v>734.03669203030097</v>
      </c>
      <c r="BY114" s="1318">
        <f>ProFormaRevBuild!BY17</f>
        <v>734.56515858406124</v>
      </c>
      <c r="BZ114" s="1318">
        <f>ProFormaRevBuild!BZ17</f>
        <v>824.77400147482808</v>
      </c>
      <c r="CA114" s="1319">
        <f>ProFormaRevBuild!CA17</f>
        <v>2956.7731565002596</v>
      </c>
      <c r="CB114" s="1320"/>
      <c r="CC114" s="1317">
        <f>ProFormaRevBuild!CC17</f>
        <v>711.22700533691716</v>
      </c>
      <c r="CD114" s="1318">
        <f>ProFormaRevBuild!CD17</f>
        <v>788.46222375207776</v>
      </c>
      <c r="CE114" s="1318">
        <f>ProFormaRevBuild!CE17</f>
        <v>787.26249003012572</v>
      </c>
      <c r="CF114" s="1318">
        <f>ProFormaRevBuild!CF17</f>
        <v>879.75225636117523</v>
      </c>
      <c r="CG114" s="1319">
        <f>ProFormaRevBuild!CG17</f>
        <v>3166.7039754802963</v>
      </c>
      <c r="CH114" s="1320"/>
      <c r="CI114" s="1317">
        <f>ProFormaRevBuild!CI17</f>
        <v>749.40231176765747</v>
      </c>
      <c r="CJ114" s="1318">
        <f>ProFormaRevBuild!CJ17</f>
        <v>830.86438726510255</v>
      </c>
      <c r="CK114" s="1318">
        <f>ProFormaRevBuild!CK17</f>
        <v>832.62791892981545</v>
      </c>
      <c r="CL114" s="1318">
        <f>ProFormaRevBuild!CL17</f>
        <v>929.72940333262727</v>
      </c>
      <c r="CM114" s="1319">
        <f>ProFormaRevBuild!CM17</f>
        <v>3342.6240212952025</v>
      </c>
    </row>
    <row r="115" spans="1:91" s="1322" customFormat="1">
      <c r="A115" s="1321" t="s">
        <v>174</v>
      </c>
      <c r="B115" s="1321"/>
      <c r="C115" s="1321"/>
      <c r="D115" s="1321"/>
      <c r="E115" s="1321"/>
      <c r="F115" s="1321"/>
      <c r="G115" s="1321">
        <f>ProFormaRevBuild!G17-ProFormaRevBuild!G114</f>
        <v>27.675999999999931</v>
      </c>
      <c r="H115" s="1321"/>
      <c r="I115" s="1321"/>
      <c r="J115" s="1321"/>
      <c r="K115" s="1321"/>
      <c r="L115" s="1321"/>
      <c r="M115" s="1321">
        <f>ProFormaRevBuild!M17-ProFormaRevBuild!M114</f>
        <v>282.63399999999979</v>
      </c>
      <c r="N115" s="1321"/>
      <c r="O115" s="1321"/>
      <c r="P115" s="1321"/>
      <c r="Q115" s="1321"/>
      <c r="R115" s="1321"/>
      <c r="S115" s="1351">
        <f>ProFormaRevBuild!S17-ProFormaRevBuild!S114</f>
        <v>0</v>
      </c>
      <c r="T115" s="1321"/>
      <c r="U115" s="1321"/>
      <c r="V115" s="1321"/>
      <c r="W115" s="1321"/>
      <c r="X115" s="1321"/>
      <c r="Y115" s="1351">
        <f>ProFormaRevBuild!Y17-ProFormaRevBuild!Y114</f>
        <v>0</v>
      </c>
      <c r="Z115" s="1321"/>
      <c r="AA115" s="1321"/>
      <c r="AB115" s="1321"/>
      <c r="AC115" s="1321"/>
      <c r="AD115" s="1321"/>
      <c r="AE115" s="1351">
        <f>ProFormaRevBuild!AE17-ProFormaRevBuild!AE114</f>
        <v>-47.786867976000167</v>
      </c>
      <c r="AF115" s="1321"/>
      <c r="AG115" s="1321"/>
      <c r="AH115" s="1321"/>
      <c r="AI115" s="1321"/>
      <c r="AJ115" s="1321"/>
      <c r="AK115" s="1351">
        <f>ProFormaRevBuild!AK17-ProFormaRevBuild!AK114</f>
        <v>-181.91024817239986</v>
      </c>
      <c r="AL115" s="1321"/>
      <c r="AM115" s="1321"/>
      <c r="AN115" s="1321"/>
      <c r="AO115" s="1321"/>
      <c r="AP115" s="1321"/>
      <c r="AQ115" s="1351">
        <f>ProFormaRevBuild!AQ17-ProFormaRevBuild!AQ114</f>
        <v>0</v>
      </c>
      <c r="AR115" s="1321"/>
      <c r="AS115" s="1321"/>
      <c r="AT115" s="1321"/>
      <c r="AU115" s="1321"/>
      <c r="AV115" s="1321"/>
      <c r="AW115" s="1351">
        <f>ProFormaRevBuild!AW17-ProFormaRevBuild!AW114</f>
        <v>0</v>
      </c>
      <c r="AX115" s="1321"/>
      <c r="AY115" s="1321"/>
      <c r="AZ115" s="1321"/>
      <c r="BA115" s="1321"/>
      <c r="BB115" s="1321"/>
      <c r="BC115" s="1351">
        <f>ProFormaRevBuild!BC17-ProFormaRevBuild!BC114</f>
        <v>0</v>
      </c>
      <c r="BD115" s="1321"/>
      <c r="BE115" s="1321"/>
      <c r="BF115" s="1321"/>
      <c r="BG115" s="1321"/>
      <c r="BH115" s="1321"/>
      <c r="BI115" s="1351">
        <f>ProFormaRevBuild!BI17-ProFormaRevBuild!BI114</f>
        <v>0</v>
      </c>
      <c r="BJ115" s="1321"/>
      <c r="BK115" s="1321"/>
      <c r="BL115" s="1321"/>
      <c r="BM115" s="1321"/>
      <c r="BN115" s="1321"/>
      <c r="BO115" s="1321"/>
      <c r="BP115" s="1321"/>
      <c r="BQ115" s="1321"/>
      <c r="BR115" s="1321"/>
      <c r="BS115" s="1321"/>
      <c r="BT115" s="1321"/>
      <c r="BU115" s="1321"/>
      <c r="BV115" s="1321"/>
      <c r="BW115" s="1321"/>
      <c r="BX115" s="1321"/>
      <c r="BY115" s="1321"/>
      <c r="BZ115" s="1321"/>
      <c r="CA115" s="1321"/>
      <c r="CB115" s="1321"/>
      <c r="CC115" s="1321"/>
      <c r="CD115" s="1321"/>
      <c r="CE115" s="1321"/>
      <c r="CF115" s="1321"/>
      <c r="CG115" s="1321"/>
      <c r="CH115" s="1321"/>
      <c r="CI115" s="1321"/>
      <c r="CJ115" s="1321"/>
      <c r="CK115" s="1321"/>
      <c r="CL115" s="1321"/>
      <c r="CM115" s="1321"/>
    </row>
    <row r="116" spans="1:91" s="97" customFormat="1" ht="13.5" customHeight="1">
      <c r="A116" s="1323" t="s">
        <v>183</v>
      </c>
      <c r="B116" s="1324"/>
      <c r="C116" s="1325"/>
      <c r="D116" s="1324"/>
      <c r="E116" s="1324"/>
      <c r="F116" s="1324"/>
      <c r="G116" s="1326"/>
      <c r="H116" s="1324"/>
      <c r="I116" s="1325"/>
      <c r="J116" s="1324"/>
      <c r="K116" s="1324"/>
      <c r="L116" s="1327"/>
      <c r="M116" s="1326"/>
      <c r="N116" s="1324"/>
      <c r="O116" s="1325"/>
      <c r="P116" s="1324"/>
      <c r="Q116" s="1324"/>
      <c r="R116" s="1327"/>
      <c r="S116" s="1326"/>
      <c r="T116" s="1324"/>
      <c r="U116" s="1325"/>
      <c r="V116" s="1324"/>
      <c r="W116" s="1324"/>
      <c r="X116" s="1324"/>
      <c r="Y116" s="1326"/>
      <c r="Z116" s="1324"/>
      <c r="AA116" s="1325"/>
      <c r="AB116" s="1324"/>
      <c r="AC116" s="1324"/>
      <c r="AD116" s="1327"/>
      <c r="AE116" s="1326"/>
      <c r="AF116" s="1324"/>
      <c r="AG116" s="1325"/>
      <c r="AH116" s="1324"/>
      <c r="AI116" s="1324"/>
      <c r="AJ116" s="1324"/>
      <c r="AK116" s="1326"/>
      <c r="AL116" s="1324"/>
      <c r="AM116" s="1325"/>
      <c r="AN116" s="1324"/>
      <c r="AO116" s="1324"/>
      <c r="AP116" s="1327"/>
      <c r="AQ116" s="1326"/>
      <c r="AR116" s="1324"/>
      <c r="AS116" s="1325"/>
      <c r="AT116" s="1324"/>
      <c r="AU116" s="1324"/>
      <c r="AV116" s="1324"/>
      <c r="AW116" s="1326"/>
      <c r="AX116" s="1324"/>
      <c r="AY116" s="1325"/>
      <c r="AZ116" s="1324"/>
      <c r="BA116" s="1324"/>
      <c r="BB116" s="1327"/>
      <c r="BC116" s="1326"/>
      <c r="BD116" s="1324"/>
      <c r="BE116" s="1325"/>
      <c r="BF116" s="1324"/>
      <c r="BG116" s="1324"/>
      <c r="BH116" s="1327"/>
      <c r="BI116" s="1326"/>
      <c r="BJ116" s="1324"/>
      <c r="BK116" s="1325"/>
      <c r="BL116" s="1324"/>
      <c r="BM116" s="1324"/>
      <c r="BN116" s="1324"/>
      <c r="BO116" s="1326"/>
      <c r="BP116" s="1324"/>
      <c r="BQ116" s="1325"/>
      <c r="BR116" s="1324"/>
      <c r="BS116" s="1324"/>
      <c r="BT116" s="1324"/>
      <c r="BU116" s="1326"/>
      <c r="BV116" s="1324"/>
      <c r="BW116" s="1325"/>
      <c r="BX116" s="1324"/>
      <c r="BY116" s="1324"/>
      <c r="BZ116" s="1324"/>
      <c r="CA116" s="1326"/>
      <c r="CB116" s="1324"/>
      <c r="CC116" s="1325"/>
      <c r="CD116" s="1324"/>
      <c r="CE116" s="1324"/>
      <c r="CF116" s="1324"/>
      <c r="CG116" s="1326"/>
      <c r="CH116" s="1324"/>
      <c r="CI116" s="1325"/>
      <c r="CJ116" s="1324"/>
      <c r="CK116" s="1324"/>
      <c r="CL116" s="1324"/>
      <c r="CM116" s="1326"/>
    </row>
    <row r="117" spans="1:91" s="224" customFormat="1">
      <c r="A117" s="1328" t="str">
        <f t="shared" ref="A117:A123" si="139">A105</f>
        <v>United States</v>
      </c>
      <c r="B117" s="45"/>
      <c r="C117" s="1329" t="str">
        <f t="shared" ref="C117:G126" si="140">IF(ISERROR(C105/C$114),"NM",C105/C$114)</f>
        <v>NM</v>
      </c>
      <c r="D117" s="1330" t="str">
        <f t="shared" si="140"/>
        <v>NM</v>
      </c>
      <c r="E117" s="1330" t="str">
        <f t="shared" si="140"/>
        <v>NM</v>
      </c>
      <c r="F117" s="1330" t="str">
        <f t="shared" si="140"/>
        <v>NM</v>
      </c>
      <c r="G117" s="1331">
        <f t="shared" si="140"/>
        <v>0.3795810806668144</v>
      </c>
      <c r="H117" s="1330"/>
      <c r="I117" s="1329" t="str">
        <f t="shared" ref="I117:M126" si="141">IF(ISERROR(I105/I$114),"NM",I105/I$114)</f>
        <v>NM</v>
      </c>
      <c r="J117" s="1330" t="str">
        <f t="shared" si="141"/>
        <v>NM</v>
      </c>
      <c r="K117" s="1330" t="str">
        <f t="shared" si="141"/>
        <v>NM</v>
      </c>
      <c r="L117" s="1330" t="str">
        <f t="shared" si="141"/>
        <v>NM</v>
      </c>
      <c r="M117" s="1331">
        <f t="shared" si="141"/>
        <v>0.37010896155134643</v>
      </c>
      <c r="N117" s="1330"/>
      <c r="O117" s="1329" t="str">
        <f t="shared" ref="O117:S126" si="142">IF(ISERROR(O105/O$114),"NM",O105/O$114)</f>
        <v>NM</v>
      </c>
      <c r="P117" s="1330" t="str">
        <f t="shared" si="142"/>
        <v>NM</v>
      </c>
      <c r="Q117" s="1330" t="str">
        <f t="shared" si="142"/>
        <v>NM</v>
      </c>
      <c r="R117" s="1330" t="str">
        <f t="shared" si="142"/>
        <v>NM</v>
      </c>
      <c r="S117" s="1331">
        <f t="shared" si="142"/>
        <v>0.38454866820655081</v>
      </c>
      <c r="T117" s="1330"/>
      <c r="U117" s="1332">
        <f t="shared" ref="U117:U125" si="143">Y117</f>
        <v>0.39307452829413742</v>
      </c>
      <c r="V117" s="1333">
        <f t="shared" ref="V117:V125" si="144">Y117</f>
        <v>0.39307452829413742</v>
      </c>
      <c r="W117" s="1333">
        <f t="shared" ref="W117:W125" si="145">Y117</f>
        <v>0.39307452829413742</v>
      </c>
      <c r="X117" s="1333">
        <f t="shared" ref="X117:X125" si="146">Y117</f>
        <v>0.39307452829413742</v>
      </c>
      <c r="Y117" s="1331">
        <f t="shared" ref="Y117:Y126" si="147">IF(ISERROR(Y105/Y$114),"NM",Y105/Y$114)</f>
        <v>0.39307452829413742</v>
      </c>
      <c r="Z117" s="1330"/>
      <c r="AA117" s="1332">
        <f t="shared" ref="AA117:AA125" si="148">AE117</f>
        <v>0.37834035615175959</v>
      </c>
      <c r="AB117" s="1333">
        <f t="shared" ref="AB117:AB125" si="149">AE117</f>
        <v>0.37834035615175959</v>
      </c>
      <c r="AC117" s="1333">
        <f t="shared" ref="AC117:AC125" si="150">AE117</f>
        <v>0.37834035615175959</v>
      </c>
      <c r="AD117" s="1333">
        <f t="shared" ref="AD117:AD125" si="151">AE117</f>
        <v>0.37834035615175959</v>
      </c>
      <c r="AE117" s="1331">
        <f t="shared" ref="AE117:AE126" si="152">IF(ISERROR(AE105/AE$114),"NM",AE105/AE$114)</f>
        <v>0.37834035615175959</v>
      </c>
      <c r="AF117" s="1330"/>
      <c r="AG117" s="1332">
        <f t="shared" ref="AG117:AG125" si="153">AK117</f>
        <v>0.38906441692412796</v>
      </c>
      <c r="AH117" s="1333">
        <f t="shared" ref="AH117:AH125" si="154">AK117</f>
        <v>0.38906441692412796</v>
      </c>
      <c r="AI117" s="1333">
        <f t="shared" ref="AI117:AI125" si="155">AK117</f>
        <v>0.38906441692412796</v>
      </c>
      <c r="AJ117" s="1333">
        <f t="shared" ref="AJ117:AJ125" si="156">AK117</f>
        <v>0.38906441692412796</v>
      </c>
      <c r="AK117" s="1331">
        <f t="shared" ref="AK117:AK126" si="157">IF(ISERROR(AK105/AK$114),"NM",AK105/AK$114)</f>
        <v>0.38906441692412796</v>
      </c>
      <c r="AL117" s="1330"/>
      <c r="AM117" s="1332">
        <f t="shared" ref="AM117:AM125" si="158">AQ117</f>
        <v>0.42423056774572593</v>
      </c>
      <c r="AN117" s="1333">
        <f t="shared" ref="AN117:AN125" si="159">AQ117</f>
        <v>0.42423056774572593</v>
      </c>
      <c r="AO117" s="1333">
        <f t="shared" ref="AO117:AO125" si="160">AQ117</f>
        <v>0.42423056774572593</v>
      </c>
      <c r="AP117" s="1333">
        <f t="shared" ref="AP117:AP125" si="161">AQ117</f>
        <v>0.42423056774572593</v>
      </c>
      <c r="AQ117" s="1331">
        <f t="shared" ref="AQ117:AQ126" si="162">IF(ISERROR(AQ105/AQ$114),"NM",AQ105/AQ$114)</f>
        <v>0.42423056774572593</v>
      </c>
      <c r="AR117" s="1330"/>
      <c r="AS117" s="1332">
        <f t="shared" ref="AS117:AS125" si="163">AW117</f>
        <v>0.41292109150144579</v>
      </c>
      <c r="AT117" s="1333">
        <f t="shared" ref="AT117:AT125" si="164">AW117</f>
        <v>0.41292109150144579</v>
      </c>
      <c r="AU117" s="1333">
        <f t="shared" ref="AU117:AU125" si="165">AW117</f>
        <v>0.41292109150144579</v>
      </c>
      <c r="AV117" s="1333">
        <f t="shared" ref="AV117:AV125" si="166">AW117</f>
        <v>0.41292109150144579</v>
      </c>
      <c r="AW117" s="1400">
        <f t="shared" ref="AW117:AW126" si="167">IF(ISERROR(AW105/AW$114),"NM",AW105/AW$114)</f>
        <v>0.41292109150144579</v>
      </c>
      <c r="AX117" s="1333"/>
      <c r="AY117" s="1332">
        <f t="shared" ref="AY117:AY125" si="168">BC117</f>
        <v>0.43534016874578052</v>
      </c>
      <c r="AZ117" s="1333">
        <f t="shared" ref="AZ117:AZ125" si="169">BC117</f>
        <v>0.43534016874578052</v>
      </c>
      <c r="BA117" s="1333">
        <f t="shared" ref="BA117:BA125" si="170">BC117</f>
        <v>0.43534016874578052</v>
      </c>
      <c r="BB117" s="1333">
        <f t="shared" ref="BB117:BB125" si="171">BC117</f>
        <v>0.43534016874578052</v>
      </c>
      <c r="BC117" s="1400">
        <f t="shared" ref="BC117:BC126" si="172">IF(ISERROR(BC105/BC$114),"NM",BC105/BC$114)</f>
        <v>0.43534016874578052</v>
      </c>
      <c r="BD117" s="1333"/>
      <c r="BE117" s="1332">
        <f t="shared" ref="BE117:BE125" si="173">BI117</f>
        <v>0.39818351731515272</v>
      </c>
      <c r="BF117" s="1333">
        <f t="shared" ref="BF117:BF125" si="174">BI117</f>
        <v>0.39818351731515272</v>
      </c>
      <c r="BG117" s="1333">
        <f t="shared" ref="BG117:BG125" si="175">BI117</f>
        <v>0.39818351731515272</v>
      </c>
      <c r="BH117" s="1333">
        <f t="shared" ref="BH117:BH125" si="176">BI117</f>
        <v>0.39818351731515272</v>
      </c>
      <c r="BI117" s="1400">
        <f t="shared" ref="BI117:BI126" si="177">IF(ISERROR(BI105/BI$114),"NM",BI105/BI$114)</f>
        <v>0.39818351731515272</v>
      </c>
      <c r="BJ117" s="1333"/>
      <c r="BK117" s="1332">
        <f t="shared" ref="BK117:BK125" si="178">BO117</f>
        <v>0.39818351731515272</v>
      </c>
      <c r="BL117" s="1333">
        <f t="shared" ref="BL117:BL125" si="179">BO117</f>
        <v>0.39818351731515272</v>
      </c>
      <c r="BM117" s="1333">
        <f t="shared" ref="BM117:BM125" si="180">BI117</f>
        <v>0.39818351731515272</v>
      </c>
      <c r="BN117" s="1333">
        <f t="shared" ref="BN117:BN126" si="181">BI117</f>
        <v>0.39818351731515272</v>
      </c>
      <c r="BO117" s="1335">
        <f t="shared" ref="BO117:BO126" si="182">BI117</f>
        <v>0.39818351731515272</v>
      </c>
      <c r="BP117" s="1333"/>
      <c r="BQ117" s="1334">
        <f t="shared" ref="BQ117:BQ126" si="183">BO117</f>
        <v>0.39818351731515272</v>
      </c>
      <c r="BR117" s="1333">
        <f t="shared" ref="BR117:BR126" si="184">BO117</f>
        <v>0.39818351731515272</v>
      </c>
      <c r="BS117" s="1333">
        <f t="shared" ref="BS117:BS126" si="185">BO117</f>
        <v>0.39818351731515272</v>
      </c>
      <c r="BT117" s="1333">
        <f t="shared" ref="BT117:BT126" si="186">BO117</f>
        <v>0.39818351731515272</v>
      </c>
      <c r="BU117" s="1335">
        <f t="shared" ref="BU117:BU126" si="187">BO117</f>
        <v>0.39818351731515272</v>
      </c>
      <c r="BV117" s="1333"/>
      <c r="BW117" s="1334">
        <f t="shared" ref="BW117:BW126" si="188">BU117</f>
        <v>0.39818351731515272</v>
      </c>
      <c r="BX117" s="1333">
        <f t="shared" ref="BX117:BX126" si="189">BU117</f>
        <v>0.39818351731515272</v>
      </c>
      <c r="BY117" s="1333">
        <f t="shared" ref="BY117:BY126" si="190">BU117</f>
        <v>0.39818351731515272</v>
      </c>
      <c r="BZ117" s="1333">
        <f t="shared" ref="BZ117:BZ126" si="191">BU117</f>
        <v>0.39818351731515272</v>
      </c>
      <c r="CA117" s="1335">
        <f t="shared" ref="CA117:CA126" si="192">BU117</f>
        <v>0.39818351731515272</v>
      </c>
      <c r="CB117" s="1333"/>
      <c r="CC117" s="1334">
        <f t="shared" ref="CC117:CC126" si="193">CA117</f>
        <v>0.39818351731515272</v>
      </c>
      <c r="CD117" s="1333">
        <f t="shared" ref="CD117:CD126" si="194">CA117</f>
        <v>0.39818351731515272</v>
      </c>
      <c r="CE117" s="1333">
        <f t="shared" ref="CE117:CE126" si="195">CA117</f>
        <v>0.39818351731515272</v>
      </c>
      <c r="CF117" s="1333">
        <f t="shared" ref="CF117:CF126" si="196">CA117</f>
        <v>0.39818351731515272</v>
      </c>
      <c r="CG117" s="1335">
        <f t="shared" ref="CG117:CG126" si="197">CA117</f>
        <v>0.39818351731515272</v>
      </c>
      <c r="CH117" s="1333"/>
      <c r="CI117" s="1334">
        <f t="shared" ref="CI117:CI126" si="198">CG117</f>
        <v>0.39818351731515272</v>
      </c>
      <c r="CJ117" s="1333">
        <f t="shared" ref="CJ117:CJ126" si="199">CG117</f>
        <v>0.39818351731515272</v>
      </c>
      <c r="CK117" s="1333">
        <f t="shared" ref="CK117:CK126" si="200">CG117</f>
        <v>0.39818351731515272</v>
      </c>
      <c r="CL117" s="1333">
        <f t="shared" ref="CL117:CL126" si="201">CG117</f>
        <v>0.39818351731515272</v>
      </c>
      <c r="CM117" s="1335">
        <f t="shared" ref="CM117:CM126" si="202">CG117</f>
        <v>0.39818351731515272</v>
      </c>
    </row>
    <row r="118" spans="1:91" s="224" customFormat="1">
      <c r="A118" s="1282" t="str">
        <f t="shared" si="139"/>
        <v>Total International</v>
      </c>
      <c r="B118" s="45"/>
      <c r="C118" s="1329" t="str">
        <f t="shared" si="140"/>
        <v>NM</v>
      </c>
      <c r="D118" s="1330" t="str">
        <f t="shared" si="140"/>
        <v>NM</v>
      </c>
      <c r="E118" s="1330" t="str">
        <f t="shared" si="140"/>
        <v>NM</v>
      </c>
      <c r="F118" s="1330" t="str">
        <f t="shared" si="140"/>
        <v>NM</v>
      </c>
      <c r="G118" s="1331">
        <f t="shared" si="140"/>
        <v>0.6204189193331856</v>
      </c>
      <c r="H118" s="1330"/>
      <c r="I118" s="1329" t="str">
        <f t="shared" si="141"/>
        <v>NM</v>
      </c>
      <c r="J118" s="1330" t="str">
        <f t="shared" si="141"/>
        <v>NM</v>
      </c>
      <c r="K118" s="1330" t="str">
        <f t="shared" si="141"/>
        <v>NM</v>
      </c>
      <c r="L118" s="1330" t="str">
        <f t="shared" si="141"/>
        <v>NM</v>
      </c>
      <c r="M118" s="1331">
        <f t="shared" si="141"/>
        <v>0.62989103844865357</v>
      </c>
      <c r="N118" s="1330"/>
      <c r="O118" s="1329" t="str">
        <f t="shared" si="142"/>
        <v>NM</v>
      </c>
      <c r="P118" s="1330" t="str">
        <f t="shared" si="142"/>
        <v>NM</v>
      </c>
      <c r="Q118" s="1330" t="str">
        <f t="shared" si="142"/>
        <v>NM</v>
      </c>
      <c r="R118" s="1330" t="str">
        <f t="shared" si="142"/>
        <v>NM</v>
      </c>
      <c r="S118" s="1331">
        <f t="shared" si="142"/>
        <v>0.61545133179344913</v>
      </c>
      <c r="T118" s="1330"/>
      <c r="U118" s="1332">
        <f t="shared" si="143"/>
        <v>0.60692547170586253</v>
      </c>
      <c r="V118" s="1333">
        <f t="shared" si="144"/>
        <v>0.60692547170586253</v>
      </c>
      <c r="W118" s="1333">
        <f t="shared" si="145"/>
        <v>0.60692547170586253</v>
      </c>
      <c r="X118" s="1333">
        <f t="shared" si="146"/>
        <v>0.60692547170586253</v>
      </c>
      <c r="Y118" s="1331">
        <f t="shared" si="147"/>
        <v>0.60692547170586253</v>
      </c>
      <c r="Z118" s="1330"/>
      <c r="AA118" s="1332">
        <f t="shared" si="148"/>
        <v>0.62165964384824035</v>
      </c>
      <c r="AB118" s="1333">
        <f t="shared" si="149"/>
        <v>0.62165964384824035</v>
      </c>
      <c r="AC118" s="1333">
        <f t="shared" si="150"/>
        <v>0.62165964384824035</v>
      </c>
      <c r="AD118" s="1333">
        <f t="shared" si="151"/>
        <v>0.62165964384824035</v>
      </c>
      <c r="AE118" s="1331">
        <f t="shared" si="152"/>
        <v>0.62165964384824035</v>
      </c>
      <c r="AF118" s="1330"/>
      <c r="AG118" s="1332">
        <f t="shared" si="153"/>
        <v>0.61093558307587204</v>
      </c>
      <c r="AH118" s="1333">
        <f t="shared" si="154"/>
        <v>0.61093558307587204</v>
      </c>
      <c r="AI118" s="1333">
        <f t="shared" si="155"/>
        <v>0.61093558307587204</v>
      </c>
      <c r="AJ118" s="1333">
        <f t="shared" si="156"/>
        <v>0.61093558307587204</v>
      </c>
      <c r="AK118" s="1331">
        <f t="shared" si="157"/>
        <v>0.61093558307587204</v>
      </c>
      <c r="AL118" s="1330"/>
      <c r="AM118" s="1332">
        <f t="shared" si="158"/>
        <v>0.57576943225427402</v>
      </c>
      <c r="AN118" s="1333">
        <f t="shared" si="159"/>
        <v>0.57576943225427402</v>
      </c>
      <c r="AO118" s="1333">
        <f t="shared" si="160"/>
        <v>0.57576943225427402</v>
      </c>
      <c r="AP118" s="1333">
        <f t="shared" si="161"/>
        <v>0.57576943225427402</v>
      </c>
      <c r="AQ118" s="1331">
        <f t="shared" si="162"/>
        <v>0.57576943225427402</v>
      </c>
      <c r="AR118" s="1330"/>
      <c r="AS118" s="1332">
        <f t="shared" si="163"/>
        <v>0.58707890849855415</v>
      </c>
      <c r="AT118" s="1333">
        <f t="shared" si="164"/>
        <v>0.58707890849855415</v>
      </c>
      <c r="AU118" s="1333">
        <f t="shared" si="165"/>
        <v>0.58707890849855415</v>
      </c>
      <c r="AV118" s="1333">
        <f t="shared" si="166"/>
        <v>0.58707890849855415</v>
      </c>
      <c r="AW118" s="1400">
        <f t="shared" si="167"/>
        <v>0.58707890849855415</v>
      </c>
      <c r="AX118" s="1333"/>
      <c r="AY118" s="1332">
        <f t="shared" si="168"/>
        <v>0.56465983125421948</v>
      </c>
      <c r="AZ118" s="1333">
        <f t="shared" si="169"/>
        <v>0.56465983125421948</v>
      </c>
      <c r="BA118" s="1333">
        <f t="shared" si="170"/>
        <v>0.56465983125421948</v>
      </c>
      <c r="BB118" s="1333">
        <f t="shared" si="171"/>
        <v>0.56465983125421948</v>
      </c>
      <c r="BC118" s="1400">
        <f t="shared" si="172"/>
        <v>0.56465983125421948</v>
      </c>
      <c r="BD118" s="1333"/>
      <c r="BE118" s="1332">
        <f t="shared" si="173"/>
        <v>0.60181648268484733</v>
      </c>
      <c r="BF118" s="1333">
        <f t="shared" si="174"/>
        <v>0.60181648268484733</v>
      </c>
      <c r="BG118" s="1333">
        <f t="shared" si="175"/>
        <v>0.60181648268484733</v>
      </c>
      <c r="BH118" s="1333">
        <f t="shared" si="176"/>
        <v>0.60181648268484733</v>
      </c>
      <c r="BI118" s="1400">
        <f t="shared" si="177"/>
        <v>0.60181648268484733</v>
      </c>
      <c r="BJ118" s="1333"/>
      <c r="BK118" s="1332">
        <f t="shared" si="178"/>
        <v>0.60181648268484733</v>
      </c>
      <c r="BL118" s="1333">
        <f t="shared" si="179"/>
        <v>0.60181648268484733</v>
      </c>
      <c r="BM118" s="1333">
        <f t="shared" si="180"/>
        <v>0.60181648268484733</v>
      </c>
      <c r="BN118" s="1333">
        <f t="shared" si="181"/>
        <v>0.60181648268484733</v>
      </c>
      <c r="BO118" s="1335">
        <f t="shared" si="182"/>
        <v>0.60181648268484733</v>
      </c>
      <c r="BP118" s="1333"/>
      <c r="BQ118" s="1332">
        <f t="shared" si="183"/>
        <v>0.60181648268484733</v>
      </c>
      <c r="BR118" s="1333">
        <f t="shared" si="184"/>
        <v>0.60181648268484733</v>
      </c>
      <c r="BS118" s="1333">
        <f t="shared" si="185"/>
        <v>0.60181648268484733</v>
      </c>
      <c r="BT118" s="1333">
        <f t="shared" si="186"/>
        <v>0.60181648268484733</v>
      </c>
      <c r="BU118" s="1335">
        <f t="shared" si="187"/>
        <v>0.60181648268484733</v>
      </c>
      <c r="BV118" s="1333"/>
      <c r="BW118" s="1332">
        <f t="shared" si="188"/>
        <v>0.60181648268484733</v>
      </c>
      <c r="BX118" s="1333">
        <f t="shared" si="189"/>
        <v>0.60181648268484733</v>
      </c>
      <c r="BY118" s="1333">
        <f t="shared" si="190"/>
        <v>0.60181648268484733</v>
      </c>
      <c r="BZ118" s="1333">
        <f t="shared" si="191"/>
        <v>0.60181648268484733</v>
      </c>
      <c r="CA118" s="1335">
        <f t="shared" si="192"/>
        <v>0.60181648268484733</v>
      </c>
      <c r="CB118" s="1333"/>
      <c r="CC118" s="1332">
        <f t="shared" si="193"/>
        <v>0.60181648268484733</v>
      </c>
      <c r="CD118" s="1333">
        <f t="shared" si="194"/>
        <v>0.60181648268484733</v>
      </c>
      <c r="CE118" s="1333">
        <f t="shared" si="195"/>
        <v>0.60181648268484733</v>
      </c>
      <c r="CF118" s="1333">
        <f t="shared" si="196"/>
        <v>0.60181648268484733</v>
      </c>
      <c r="CG118" s="1335">
        <f t="shared" si="197"/>
        <v>0.60181648268484733</v>
      </c>
      <c r="CH118" s="1333"/>
      <c r="CI118" s="1332">
        <f t="shared" si="198"/>
        <v>0.60181648268484733</v>
      </c>
      <c r="CJ118" s="1333">
        <f t="shared" si="199"/>
        <v>0.60181648268484733</v>
      </c>
      <c r="CK118" s="1333">
        <f t="shared" si="200"/>
        <v>0.60181648268484733</v>
      </c>
      <c r="CL118" s="1333">
        <f t="shared" si="201"/>
        <v>0.60181648268484733</v>
      </c>
      <c r="CM118" s="1335">
        <f t="shared" si="202"/>
        <v>0.60181648268484733</v>
      </c>
    </row>
    <row r="119" spans="1:91" s="224" customFormat="1">
      <c r="A119" s="1348" t="str">
        <f t="shared" si="139"/>
        <v>China</v>
      </c>
      <c r="B119" s="45"/>
      <c r="C119" s="1329" t="str">
        <f t="shared" si="140"/>
        <v>NM</v>
      </c>
      <c r="D119" s="1330" t="str">
        <f t="shared" si="140"/>
        <v>NM</v>
      </c>
      <c r="E119" s="1330" t="str">
        <f t="shared" si="140"/>
        <v>NM</v>
      </c>
      <c r="F119" s="1330" t="str">
        <f t="shared" si="140"/>
        <v>NM</v>
      </c>
      <c r="G119" s="1331">
        <f t="shared" si="140"/>
        <v>4.0104067553677902E-2</v>
      </c>
      <c r="H119" s="1330"/>
      <c r="I119" s="1329" t="str">
        <f t="shared" si="141"/>
        <v>NM</v>
      </c>
      <c r="J119" s="1330" t="str">
        <f t="shared" si="141"/>
        <v>NM</v>
      </c>
      <c r="K119" s="1330" t="str">
        <f t="shared" si="141"/>
        <v>NM</v>
      </c>
      <c r="L119" s="1330" t="str">
        <f t="shared" si="141"/>
        <v>NM</v>
      </c>
      <c r="M119" s="1331">
        <f t="shared" si="141"/>
        <v>5.5149584133694203E-2</v>
      </c>
      <c r="N119" s="1330"/>
      <c r="O119" s="1329" t="str">
        <f t="shared" si="142"/>
        <v>NM</v>
      </c>
      <c r="P119" s="1330" t="str">
        <f t="shared" si="142"/>
        <v>NM</v>
      </c>
      <c r="Q119" s="1330" t="str">
        <f t="shared" si="142"/>
        <v>NM</v>
      </c>
      <c r="R119" s="1330" t="str">
        <f t="shared" si="142"/>
        <v>NM</v>
      </c>
      <c r="S119" s="1331">
        <f t="shared" si="142"/>
        <v>6.7265467517343039E-2</v>
      </c>
      <c r="T119" s="1330"/>
      <c r="U119" s="1332">
        <f t="shared" si="143"/>
        <v>7.7179751059937352E-2</v>
      </c>
      <c r="V119" s="1333">
        <f t="shared" si="144"/>
        <v>7.7179751059937352E-2</v>
      </c>
      <c r="W119" s="1333">
        <f t="shared" si="145"/>
        <v>7.7179751059937352E-2</v>
      </c>
      <c r="X119" s="1333">
        <f t="shared" si="146"/>
        <v>7.7179751059937352E-2</v>
      </c>
      <c r="Y119" s="1331">
        <f t="shared" si="147"/>
        <v>7.7179751059937352E-2</v>
      </c>
      <c r="Z119" s="1330"/>
      <c r="AA119" s="1332">
        <f t="shared" si="148"/>
        <v>8.548570034631077E-2</v>
      </c>
      <c r="AB119" s="1333">
        <f t="shared" si="149"/>
        <v>8.548570034631077E-2</v>
      </c>
      <c r="AC119" s="1333">
        <f t="shared" si="150"/>
        <v>8.548570034631077E-2</v>
      </c>
      <c r="AD119" s="1333">
        <f t="shared" si="151"/>
        <v>8.548570034631077E-2</v>
      </c>
      <c r="AE119" s="1331">
        <f t="shared" si="152"/>
        <v>8.548570034631077E-2</v>
      </c>
      <c r="AF119" s="1330"/>
      <c r="AG119" s="1332">
        <f t="shared" si="153"/>
        <v>0.10231868778676299</v>
      </c>
      <c r="AH119" s="1333">
        <f t="shared" si="154"/>
        <v>0.10231868778676299</v>
      </c>
      <c r="AI119" s="1333">
        <f t="shared" si="155"/>
        <v>0.10231868778676299</v>
      </c>
      <c r="AJ119" s="1333">
        <f t="shared" si="156"/>
        <v>0.10231868778676299</v>
      </c>
      <c r="AK119" s="1331">
        <f t="shared" si="157"/>
        <v>0.10231868778676299</v>
      </c>
      <c r="AL119" s="1330"/>
      <c r="AM119" s="1332">
        <f t="shared" si="158"/>
        <v>0.12937444060421607</v>
      </c>
      <c r="AN119" s="1333">
        <f t="shared" si="159"/>
        <v>0.12937444060421607</v>
      </c>
      <c r="AO119" s="1333">
        <f t="shared" si="160"/>
        <v>0.12937444060421607</v>
      </c>
      <c r="AP119" s="1333">
        <f t="shared" si="161"/>
        <v>0.12937444060421607</v>
      </c>
      <c r="AQ119" s="1331">
        <f t="shared" si="162"/>
        <v>0.12937444060421607</v>
      </c>
      <c r="AR119" s="1330"/>
      <c r="AS119" s="1332">
        <f t="shared" si="163"/>
        <v>0.13429138442001279</v>
      </c>
      <c r="AT119" s="1333">
        <f t="shared" si="164"/>
        <v>0.13429138442001279</v>
      </c>
      <c r="AU119" s="1333">
        <f t="shared" si="165"/>
        <v>0.13429138442001279</v>
      </c>
      <c r="AV119" s="1333">
        <f t="shared" si="166"/>
        <v>0.13429138442001279</v>
      </c>
      <c r="AW119" s="1400">
        <f t="shared" si="167"/>
        <v>0.13429138442001279</v>
      </c>
      <c r="AX119" s="1333"/>
      <c r="AY119" s="1332">
        <f t="shared" si="168"/>
        <v>0.14866570728275016</v>
      </c>
      <c r="AZ119" s="1333">
        <f t="shared" si="169"/>
        <v>0.14866570728275016</v>
      </c>
      <c r="BA119" s="1333">
        <f t="shared" si="170"/>
        <v>0.14866570728275016</v>
      </c>
      <c r="BB119" s="1333">
        <f t="shared" si="171"/>
        <v>0.14866570728275016</v>
      </c>
      <c r="BC119" s="1400">
        <f t="shared" si="172"/>
        <v>0.14866570728275016</v>
      </c>
      <c r="BD119" s="1333"/>
      <c r="BE119" s="1332">
        <f t="shared" si="173"/>
        <v>0.15917054790861995</v>
      </c>
      <c r="BF119" s="1333">
        <f t="shared" si="174"/>
        <v>0.15917054790861995</v>
      </c>
      <c r="BG119" s="1333">
        <f t="shared" si="175"/>
        <v>0.15917054790861995</v>
      </c>
      <c r="BH119" s="1333">
        <f t="shared" si="176"/>
        <v>0.15917054790861995</v>
      </c>
      <c r="BI119" s="1400">
        <f t="shared" si="177"/>
        <v>0.15917054790861995</v>
      </c>
      <c r="BJ119" s="1333"/>
      <c r="BK119" s="1332">
        <f t="shared" si="178"/>
        <v>0.15917054790861995</v>
      </c>
      <c r="BL119" s="1333">
        <f t="shared" si="179"/>
        <v>0.15917054790861995</v>
      </c>
      <c r="BM119" s="1333">
        <f t="shared" si="180"/>
        <v>0.15917054790861995</v>
      </c>
      <c r="BN119" s="1333">
        <f t="shared" si="181"/>
        <v>0.15917054790861995</v>
      </c>
      <c r="BO119" s="1335">
        <f t="shared" si="182"/>
        <v>0.15917054790861995</v>
      </c>
      <c r="BP119" s="1333"/>
      <c r="BQ119" s="1332">
        <f t="shared" si="183"/>
        <v>0.15917054790861995</v>
      </c>
      <c r="BR119" s="1333">
        <f t="shared" si="184"/>
        <v>0.15917054790861995</v>
      </c>
      <c r="BS119" s="1333">
        <f t="shared" si="185"/>
        <v>0.15917054790861995</v>
      </c>
      <c r="BT119" s="1333">
        <f t="shared" si="186"/>
        <v>0.15917054790861995</v>
      </c>
      <c r="BU119" s="1335">
        <f t="shared" si="187"/>
        <v>0.15917054790861995</v>
      </c>
      <c r="BV119" s="1333"/>
      <c r="BW119" s="1332">
        <f t="shared" si="188"/>
        <v>0.15917054790861995</v>
      </c>
      <c r="BX119" s="1333">
        <f t="shared" si="189"/>
        <v>0.15917054790861995</v>
      </c>
      <c r="BY119" s="1333">
        <f t="shared" si="190"/>
        <v>0.15917054790861995</v>
      </c>
      <c r="BZ119" s="1333">
        <f t="shared" si="191"/>
        <v>0.15917054790861995</v>
      </c>
      <c r="CA119" s="1335">
        <f t="shared" si="192"/>
        <v>0.15917054790861995</v>
      </c>
      <c r="CB119" s="1333"/>
      <c r="CC119" s="1332">
        <f t="shared" si="193"/>
        <v>0.15917054790861995</v>
      </c>
      <c r="CD119" s="1333">
        <f t="shared" si="194"/>
        <v>0.15917054790861995</v>
      </c>
      <c r="CE119" s="1333">
        <f t="shared" si="195"/>
        <v>0.15917054790861995</v>
      </c>
      <c r="CF119" s="1333">
        <f t="shared" si="196"/>
        <v>0.15917054790861995</v>
      </c>
      <c r="CG119" s="1335">
        <f t="shared" si="197"/>
        <v>0.15917054790861995</v>
      </c>
      <c r="CH119" s="1333"/>
      <c r="CI119" s="1332">
        <f t="shared" si="198"/>
        <v>0.15917054790861995</v>
      </c>
      <c r="CJ119" s="1333">
        <f t="shared" si="199"/>
        <v>0.15917054790861995</v>
      </c>
      <c r="CK119" s="1333">
        <f t="shared" si="200"/>
        <v>0.15917054790861995</v>
      </c>
      <c r="CL119" s="1333">
        <f t="shared" si="201"/>
        <v>0.15917054790861995</v>
      </c>
      <c r="CM119" s="1335">
        <f t="shared" si="202"/>
        <v>0.15917054790861995</v>
      </c>
    </row>
    <row r="120" spans="1:91" s="224" customFormat="1">
      <c r="A120" s="1348" t="str">
        <f t="shared" si="139"/>
        <v>United Kingdom</v>
      </c>
      <c r="B120" s="45"/>
      <c r="C120" s="1329" t="str">
        <f t="shared" si="140"/>
        <v>NM</v>
      </c>
      <c r="D120" s="1330" t="str">
        <f t="shared" si="140"/>
        <v>NM</v>
      </c>
      <c r="E120" s="1330" t="str">
        <f t="shared" si="140"/>
        <v>NM</v>
      </c>
      <c r="F120" s="1330" t="str">
        <f t="shared" si="140"/>
        <v>NM</v>
      </c>
      <c r="G120" s="1331">
        <f t="shared" si="140"/>
        <v>7.0272205599357276E-2</v>
      </c>
      <c r="H120" s="1330"/>
      <c r="I120" s="1329" t="str">
        <f t="shared" si="141"/>
        <v>NM</v>
      </c>
      <c r="J120" s="1330" t="str">
        <f t="shared" si="141"/>
        <v>NM</v>
      </c>
      <c r="K120" s="1330" t="str">
        <f t="shared" si="141"/>
        <v>NM</v>
      </c>
      <c r="L120" s="1330" t="str">
        <f t="shared" si="141"/>
        <v>NM</v>
      </c>
      <c r="M120" s="1331">
        <f t="shared" si="141"/>
        <v>7.8566918202917696E-2</v>
      </c>
      <c r="N120" s="1330"/>
      <c r="O120" s="1329" t="str">
        <f t="shared" si="142"/>
        <v>NM</v>
      </c>
      <c r="P120" s="1330" t="str">
        <f t="shared" si="142"/>
        <v>NM</v>
      </c>
      <c r="Q120" s="1330" t="str">
        <f t="shared" si="142"/>
        <v>NM</v>
      </c>
      <c r="R120" s="1330" t="str">
        <f t="shared" si="142"/>
        <v>NM</v>
      </c>
      <c r="S120" s="1331">
        <f t="shared" si="142"/>
        <v>6.7300933861072526E-2</v>
      </c>
      <c r="T120" s="1330"/>
      <c r="U120" s="1332">
        <f t="shared" si="143"/>
        <v>5.7033020290480921E-2</v>
      </c>
      <c r="V120" s="1333">
        <f t="shared" si="144"/>
        <v>5.7033020290480921E-2</v>
      </c>
      <c r="W120" s="1333">
        <f t="shared" si="145"/>
        <v>5.7033020290480921E-2</v>
      </c>
      <c r="X120" s="1333">
        <f t="shared" si="146"/>
        <v>5.7033020290480921E-2</v>
      </c>
      <c r="Y120" s="1331">
        <f t="shared" si="147"/>
        <v>5.7033020290480921E-2</v>
      </c>
      <c r="Z120" s="1330"/>
      <c r="AA120" s="1332">
        <f t="shared" si="148"/>
        <v>5.3357087903725176E-2</v>
      </c>
      <c r="AB120" s="1333">
        <f t="shared" si="149"/>
        <v>5.3357087903725176E-2</v>
      </c>
      <c r="AC120" s="1333">
        <f t="shared" si="150"/>
        <v>5.3357087903725176E-2</v>
      </c>
      <c r="AD120" s="1333">
        <f t="shared" si="151"/>
        <v>5.3357087903725176E-2</v>
      </c>
      <c r="AE120" s="1331">
        <f t="shared" si="152"/>
        <v>5.3357087903725176E-2</v>
      </c>
      <c r="AF120" s="1330"/>
      <c r="AG120" s="1332">
        <f t="shared" si="153"/>
        <v>5.6075415858037402E-2</v>
      </c>
      <c r="AH120" s="1333">
        <f t="shared" si="154"/>
        <v>5.6075415858037402E-2</v>
      </c>
      <c r="AI120" s="1333">
        <f t="shared" si="155"/>
        <v>5.6075415858037402E-2</v>
      </c>
      <c r="AJ120" s="1333">
        <f t="shared" si="156"/>
        <v>5.6075415858037402E-2</v>
      </c>
      <c r="AK120" s="1331">
        <f t="shared" si="157"/>
        <v>5.6075415858037402E-2</v>
      </c>
      <c r="AL120" s="1330"/>
      <c r="AM120" s="1332">
        <f t="shared" si="158"/>
        <v>6.7830733185670553E-2</v>
      </c>
      <c r="AN120" s="1333">
        <f t="shared" si="159"/>
        <v>6.7830733185670553E-2</v>
      </c>
      <c r="AO120" s="1333">
        <f t="shared" si="160"/>
        <v>6.7830733185670553E-2</v>
      </c>
      <c r="AP120" s="1333">
        <f t="shared" si="161"/>
        <v>6.7830733185670553E-2</v>
      </c>
      <c r="AQ120" s="1331">
        <f t="shared" si="162"/>
        <v>6.7830733185670553E-2</v>
      </c>
      <c r="AR120" s="1330"/>
      <c r="AS120" s="1332">
        <f t="shared" si="163"/>
        <v>6.5443653557961126E-2</v>
      </c>
      <c r="AT120" s="1333">
        <f t="shared" si="164"/>
        <v>6.5443653557961126E-2</v>
      </c>
      <c r="AU120" s="1333">
        <f t="shared" si="165"/>
        <v>6.5443653557961126E-2</v>
      </c>
      <c r="AV120" s="1333">
        <f t="shared" si="166"/>
        <v>6.5443653557961126E-2</v>
      </c>
      <c r="AW120" s="1400">
        <f t="shared" si="167"/>
        <v>6.5443653557961126E-2</v>
      </c>
      <c r="AX120" s="1333"/>
      <c r="AY120" s="1332">
        <f t="shared" si="168"/>
        <v>5.3573625905836267E-2</v>
      </c>
      <c r="AZ120" s="1333">
        <f t="shared" si="169"/>
        <v>5.3573625905836267E-2</v>
      </c>
      <c r="BA120" s="1333">
        <f t="shared" si="170"/>
        <v>5.3573625905836267E-2</v>
      </c>
      <c r="BB120" s="1333">
        <f t="shared" si="171"/>
        <v>5.3573625905836267E-2</v>
      </c>
      <c r="BC120" s="1400">
        <f t="shared" si="172"/>
        <v>5.3573625905836267E-2</v>
      </c>
      <c r="BD120" s="1333"/>
      <c r="BE120" s="1332">
        <f t="shared" si="173"/>
        <v>3.1152668591176526E-2</v>
      </c>
      <c r="BF120" s="1333">
        <f t="shared" si="174"/>
        <v>3.1152668591176526E-2</v>
      </c>
      <c r="BG120" s="1333">
        <f t="shared" si="175"/>
        <v>3.1152668591176526E-2</v>
      </c>
      <c r="BH120" s="1333">
        <f t="shared" si="176"/>
        <v>3.1152668591176526E-2</v>
      </c>
      <c r="BI120" s="1400">
        <f t="shared" si="177"/>
        <v>3.1152668591176526E-2</v>
      </c>
      <c r="BJ120" s="1333"/>
      <c r="BK120" s="1332">
        <f t="shared" si="178"/>
        <v>3.1152668591176526E-2</v>
      </c>
      <c r="BL120" s="1333">
        <f t="shared" si="179"/>
        <v>3.1152668591176526E-2</v>
      </c>
      <c r="BM120" s="1333">
        <f t="shared" si="180"/>
        <v>3.1152668591176526E-2</v>
      </c>
      <c r="BN120" s="1333">
        <f t="shared" si="181"/>
        <v>3.1152668591176526E-2</v>
      </c>
      <c r="BO120" s="1335">
        <f t="shared" si="182"/>
        <v>3.1152668591176526E-2</v>
      </c>
      <c r="BP120" s="1333"/>
      <c r="BQ120" s="1332">
        <f t="shared" si="183"/>
        <v>3.1152668591176526E-2</v>
      </c>
      <c r="BR120" s="1333">
        <f t="shared" si="184"/>
        <v>3.1152668591176526E-2</v>
      </c>
      <c r="BS120" s="1333">
        <f t="shared" si="185"/>
        <v>3.1152668591176526E-2</v>
      </c>
      <c r="BT120" s="1333">
        <f t="shared" si="186"/>
        <v>3.1152668591176526E-2</v>
      </c>
      <c r="BU120" s="1335">
        <f t="shared" si="187"/>
        <v>3.1152668591176526E-2</v>
      </c>
      <c r="BV120" s="1333"/>
      <c r="BW120" s="1332">
        <f t="shared" si="188"/>
        <v>3.1152668591176526E-2</v>
      </c>
      <c r="BX120" s="1333">
        <f t="shared" si="189"/>
        <v>3.1152668591176526E-2</v>
      </c>
      <c r="BY120" s="1333">
        <f t="shared" si="190"/>
        <v>3.1152668591176526E-2</v>
      </c>
      <c r="BZ120" s="1333">
        <f t="shared" si="191"/>
        <v>3.1152668591176526E-2</v>
      </c>
      <c r="CA120" s="1335">
        <f t="shared" si="192"/>
        <v>3.1152668591176526E-2</v>
      </c>
      <c r="CB120" s="1333"/>
      <c r="CC120" s="1332">
        <f t="shared" si="193"/>
        <v>3.1152668591176526E-2</v>
      </c>
      <c r="CD120" s="1333">
        <f t="shared" si="194"/>
        <v>3.1152668591176526E-2</v>
      </c>
      <c r="CE120" s="1333">
        <f t="shared" si="195"/>
        <v>3.1152668591176526E-2</v>
      </c>
      <c r="CF120" s="1333">
        <f t="shared" si="196"/>
        <v>3.1152668591176526E-2</v>
      </c>
      <c r="CG120" s="1335">
        <f t="shared" si="197"/>
        <v>3.1152668591176526E-2</v>
      </c>
      <c r="CH120" s="1333"/>
      <c r="CI120" s="1332">
        <f t="shared" si="198"/>
        <v>3.1152668591176526E-2</v>
      </c>
      <c r="CJ120" s="1333">
        <f t="shared" si="199"/>
        <v>3.1152668591176526E-2</v>
      </c>
      <c r="CK120" s="1333">
        <f t="shared" si="200"/>
        <v>3.1152668591176526E-2</v>
      </c>
      <c r="CL120" s="1333">
        <f t="shared" si="201"/>
        <v>3.1152668591176526E-2</v>
      </c>
      <c r="CM120" s="1335">
        <f t="shared" si="202"/>
        <v>3.1152668591176526E-2</v>
      </c>
    </row>
    <row r="121" spans="1:91" s="224" customFormat="1">
      <c r="A121" s="1348" t="str">
        <f t="shared" si="139"/>
        <v>Germany</v>
      </c>
      <c r="B121" s="45"/>
      <c r="C121" s="1329" t="str">
        <f t="shared" si="140"/>
        <v>NM</v>
      </c>
      <c r="D121" s="1330" t="str">
        <f t="shared" si="140"/>
        <v>NM</v>
      </c>
      <c r="E121" s="1330" t="str">
        <f t="shared" si="140"/>
        <v>NM</v>
      </c>
      <c r="F121" s="1330" t="str">
        <f t="shared" si="140"/>
        <v>NM</v>
      </c>
      <c r="G121" s="1331">
        <f t="shared" si="140"/>
        <v>9.2182960384110613E-2</v>
      </c>
      <c r="H121" s="1330"/>
      <c r="I121" s="1329" t="str">
        <f t="shared" si="141"/>
        <v>NM</v>
      </c>
      <c r="J121" s="1330" t="str">
        <f t="shared" si="141"/>
        <v>NM</v>
      </c>
      <c r="K121" s="1330" t="str">
        <f t="shared" si="141"/>
        <v>NM</v>
      </c>
      <c r="L121" s="1330" t="str">
        <f t="shared" si="141"/>
        <v>NM</v>
      </c>
      <c r="M121" s="1331">
        <f t="shared" si="141"/>
        <v>0.1069484981333616</v>
      </c>
      <c r="N121" s="1330"/>
      <c r="O121" s="1329" t="str">
        <f t="shared" si="142"/>
        <v>NM</v>
      </c>
      <c r="P121" s="1330" t="str">
        <f t="shared" si="142"/>
        <v>NM</v>
      </c>
      <c r="Q121" s="1330" t="str">
        <f t="shared" si="142"/>
        <v>NM</v>
      </c>
      <c r="R121" s="1330" t="str">
        <f t="shared" si="142"/>
        <v>NM</v>
      </c>
      <c r="S121" s="1331">
        <f t="shared" si="142"/>
        <v>6.1529592472365273E-2</v>
      </c>
      <c r="T121" s="1330"/>
      <c r="U121" s="1332">
        <f t="shared" si="143"/>
        <v>5.379600151612407E-2</v>
      </c>
      <c r="V121" s="1333">
        <f t="shared" si="144"/>
        <v>5.379600151612407E-2</v>
      </c>
      <c r="W121" s="1333">
        <f t="shared" si="145"/>
        <v>5.379600151612407E-2</v>
      </c>
      <c r="X121" s="1333">
        <f t="shared" si="146"/>
        <v>5.379600151612407E-2</v>
      </c>
      <c r="Y121" s="1331">
        <f t="shared" si="147"/>
        <v>5.379600151612407E-2</v>
      </c>
      <c r="Z121" s="1330"/>
      <c r="AA121" s="1332">
        <f t="shared" si="148"/>
        <v>5.9145961340791899E-2</v>
      </c>
      <c r="AB121" s="1333">
        <f t="shared" si="149"/>
        <v>5.9145961340791899E-2</v>
      </c>
      <c r="AC121" s="1333">
        <f t="shared" si="150"/>
        <v>5.9145961340791899E-2</v>
      </c>
      <c r="AD121" s="1333">
        <f t="shared" si="151"/>
        <v>5.9145961340791899E-2</v>
      </c>
      <c r="AE121" s="1331">
        <f t="shared" si="152"/>
        <v>5.9145961340791899E-2</v>
      </c>
      <c r="AF121" s="1330"/>
      <c r="AG121" s="1332">
        <f t="shared" si="153"/>
        <v>4.9988062622771792E-2</v>
      </c>
      <c r="AH121" s="1333">
        <f t="shared" si="154"/>
        <v>4.9988062622771792E-2</v>
      </c>
      <c r="AI121" s="1333">
        <f t="shared" si="155"/>
        <v>4.9988062622771792E-2</v>
      </c>
      <c r="AJ121" s="1333">
        <f t="shared" si="156"/>
        <v>4.9988062622771792E-2</v>
      </c>
      <c r="AK121" s="1331">
        <f t="shared" si="157"/>
        <v>4.9988062622771792E-2</v>
      </c>
      <c r="AL121" s="1330"/>
      <c r="AM121" s="1332">
        <f t="shared" si="158"/>
        <v>5.0337327671814397E-2</v>
      </c>
      <c r="AN121" s="1333">
        <f t="shared" si="159"/>
        <v>5.0337327671814397E-2</v>
      </c>
      <c r="AO121" s="1333">
        <f t="shared" si="160"/>
        <v>5.0337327671814397E-2</v>
      </c>
      <c r="AP121" s="1333">
        <f t="shared" si="161"/>
        <v>5.0337327671814397E-2</v>
      </c>
      <c r="AQ121" s="1331">
        <f t="shared" si="162"/>
        <v>5.0337327671814397E-2</v>
      </c>
      <c r="AR121" s="1330"/>
      <c r="AS121" s="1332">
        <f t="shared" si="163"/>
        <v>5.2058269322953293E-2</v>
      </c>
      <c r="AT121" s="1333">
        <f t="shared" si="164"/>
        <v>5.2058269322953293E-2</v>
      </c>
      <c r="AU121" s="1333">
        <f t="shared" si="165"/>
        <v>5.2058269322953293E-2</v>
      </c>
      <c r="AV121" s="1333">
        <f t="shared" si="166"/>
        <v>5.2058269322953293E-2</v>
      </c>
      <c r="AW121" s="1400">
        <f t="shared" si="167"/>
        <v>5.2058269322953293E-2</v>
      </c>
      <c r="AX121" s="1333"/>
      <c r="AY121" s="1332">
        <f t="shared" si="168"/>
        <v>5.0085446614750985E-2</v>
      </c>
      <c r="AZ121" s="1333">
        <f t="shared" si="169"/>
        <v>5.0085446614750985E-2</v>
      </c>
      <c r="BA121" s="1333">
        <f t="shared" si="170"/>
        <v>5.0085446614750985E-2</v>
      </c>
      <c r="BB121" s="1333">
        <f t="shared" si="171"/>
        <v>5.0085446614750985E-2</v>
      </c>
      <c r="BC121" s="1400">
        <f t="shared" si="172"/>
        <v>5.0085446614750985E-2</v>
      </c>
      <c r="BD121" s="1333"/>
      <c r="BE121" s="1332">
        <f t="shared" si="173"/>
        <v>4.2466687812010011E-2</v>
      </c>
      <c r="BF121" s="1333">
        <f t="shared" si="174"/>
        <v>4.2466687812010011E-2</v>
      </c>
      <c r="BG121" s="1333">
        <f t="shared" si="175"/>
        <v>4.2466687812010011E-2</v>
      </c>
      <c r="BH121" s="1333">
        <f t="shared" si="176"/>
        <v>4.2466687812010011E-2</v>
      </c>
      <c r="BI121" s="1400">
        <f t="shared" si="177"/>
        <v>4.2466687812010011E-2</v>
      </c>
      <c r="BJ121" s="1333"/>
      <c r="BK121" s="1332">
        <f t="shared" si="178"/>
        <v>4.2466687812010011E-2</v>
      </c>
      <c r="BL121" s="1333">
        <f t="shared" si="179"/>
        <v>4.2466687812010011E-2</v>
      </c>
      <c r="BM121" s="1333">
        <f t="shared" si="180"/>
        <v>4.2466687812010011E-2</v>
      </c>
      <c r="BN121" s="1333">
        <f t="shared" si="181"/>
        <v>4.2466687812010011E-2</v>
      </c>
      <c r="BO121" s="1335">
        <f t="shared" si="182"/>
        <v>4.2466687812010011E-2</v>
      </c>
      <c r="BP121" s="1333"/>
      <c r="BQ121" s="1332">
        <f t="shared" si="183"/>
        <v>4.2466687812010011E-2</v>
      </c>
      <c r="BR121" s="1333">
        <f t="shared" si="184"/>
        <v>4.2466687812010011E-2</v>
      </c>
      <c r="BS121" s="1333">
        <f t="shared" si="185"/>
        <v>4.2466687812010011E-2</v>
      </c>
      <c r="BT121" s="1333">
        <f t="shared" si="186"/>
        <v>4.2466687812010011E-2</v>
      </c>
      <c r="BU121" s="1335">
        <f t="shared" si="187"/>
        <v>4.2466687812010011E-2</v>
      </c>
      <c r="BV121" s="1333"/>
      <c r="BW121" s="1332">
        <f t="shared" si="188"/>
        <v>4.2466687812010011E-2</v>
      </c>
      <c r="BX121" s="1333">
        <f t="shared" si="189"/>
        <v>4.2466687812010011E-2</v>
      </c>
      <c r="BY121" s="1333">
        <f t="shared" si="190"/>
        <v>4.2466687812010011E-2</v>
      </c>
      <c r="BZ121" s="1333">
        <f t="shared" si="191"/>
        <v>4.2466687812010011E-2</v>
      </c>
      <c r="CA121" s="1335">
        <f t="shared" si="192"/>
        <v>4.2466687812010011E-2</v>
      </c>
      <c r="CB121" s="1333"/>
      <c r="CC121" s="1332">
        <f t="shared" si="193"/>
        <v>4.2466687812010011E-2</v>
      </c>
      <c r="CD121" s="1333">
        <f t="shared" si="194"/>
        <v>4.2466687812010011E-2</v>
      </c>
      <c r="CE121" s="1333">
        <f t="shared" si="195"/>
        <v>4.2466687812010011E-2</v>
      </c>
      <c r="CF121" s="1333">
        <f t="shared" si="196"/>
        <v>4.2466687812010011E-2</v>
      </c>
      <c r="CG121" s="1335">
        <f t="shared" si="197"/>
        <v>4.2466687812010011E-2</v>
      </c>
      <c r="CH121" s="1333"/>
      <c r="CI121" s="1332">
        <f t="shared" si="198"/>
        <v>4.2466687812010011E-2</v>
      </c>
      <c r="CJ121" s="1333">
        <f t="shared" si="199"/>
        <v>4.2466687812010011E-2</v>
      </c>
      <c r="CK121" s="1333">
        <f t="shared" si="200"/>
        <v>4.2466687812010011E-2</v>
      </c>
      <c r="CL121" s="1333">
        <f t="shared" si="201"/>
        <v>4.2466687812010011E-2</v>
      </c>
      <c r="CM121" s="1335">
        <f t="shared" si="202"/>
        <v>4.2466687812010011E-2</v>
      </c>
    </row>
    <row r="122" spans="1:91" s="224" customFormat="1">
      <c r="A122" s="1348" t="str">
        <f t="shared" si="139"/>
        <v>Japan</v>
      </c>
      <c r="B122" s="45"/>
      <c r="C122" s="1329" t="str">
        <f t="shared" si="140"/>
        <v>NM</v>
      </c>
      <c r="D122" s="1330" t="str">
        <f t="shared" si="140"/>
        <v>NM</v>
      </c>
      <c r="E122" s="1330" t="str">
        <f t="shared" si="140"/>
        <v>NM</v>
      </c>
      <c r="F122" s="1330" t="str">
        <f t="shared" si="140"/>
        <v>NM</v>
      </c>
      <c r="G122" s="1331">
        <f t="shared" si="140"/>
        <v>4.1524064464967723E-2</v>
      </c>
      <c r="H122" s="1330"/>
      <c r="I122" s="1329" t="str">
        <f t="shared" si="141"/>
        <v>NM</v>
      </c>
      <c r="J122" s="1330" t="str">
        <f t="shared" si="141"/>
        <v>NM</v>
      </c>
      <c r="K122" s="1330" t="str">
        <f t="shared" si="141"/>
        <v>NM</v>
      </c>
      <c r="L122" s="1330" t="str">
        <f t="shared" si="141"/>
        <v>NM</v>
      </c>
      <c r="M122" s="1331">
        <f t="shared" si="141"/>
        <v>5.2171277629019776E-2</v>
      </c>
      <c r="N122" s="1330"/>
      <c r="O122" s="1329" t="str">
        <f t="shared" si="142"/>
        <v>NM</v>
      </c>
      <c r="P122" s="1330" t="str">
        <f t="shared" si="142"/>
        <v>NM</v>
      </c>
      <c r="Q122" s="1330" t="str">
        <f t="shared" si="142"/>
        <v>NM</v>
      </c>
      <c r="R122" s="1330" t="str">
        <f t="shared" si="142"/>
        <v>NM</v>
      </c>
      <c r="S122" s="1331">
        <f t="shared" si="142"/>
        <v>4.9344646452140428E-2</v>
      </c>
      <c r="T122" s="1330"/>
      <c r="U122" s="1332">
        <f t="shared" si="143"/>
        <v>4.8281276219734721E-2</v>
      </c>
      <c r="V122" s="1333">
        <f t="shared" si="144"/>
        <v>4.8281276219734721E-2</v>
      </c>
      <c r="W122" s="1333">
        <f t="shared" si="145"/>
        <v>4.8281276219734721E-2</v>
      </c>
      <c r="X122" s="1333">
        <f t="shared" si="146"/>
        <v>4.8281276219734721E-2</v>
      </c>
      <c r="Y122" s="1331">
        <f t="shared" si="147"/>
        <v>4.8281276219734721E-2</v>
      </c>
      <c r="Z122" s="1330"/>
      <c r="AA122" s="1332">
        <f t="shared" si="148"/>
        <v>4.6899465626413853E-2</v>
      </c>
      <c r="AB122" s="1333">
        <f t="shared" si="149"/>
        <v>4.6899465626413853E-2</v>
      </c>
      <c r="AC122" s="1333">
        <f t="shared" si="150"/>
        <v>4.6899465626413853E-2</v>
      </c>
      <c r="AD122" s="1333">
        <f t="shared" si="151"/>
        <v>4.6899465626413853E-2</v>
      </c>
      <c r="AE122" s="1331">
        <f t="shared" si="152"/>
        <v>4.6899465626413853E-2</v>
      </c>
      <c r="AF122" s="1330"/>
      <c r="AG122" s="1332">
        <f t="shared" si="153"/>
        <v>5.403731553206427E-2</v>
      </c>
      <c r="AH122" s="1333">
        <f t="shared" si="154"/>
        <v>5.403731553206427E-2</v>
      </c>
      <c r="AI122" s="1333">
        <f t="shared" si="155"/>
        <v>5.403731553206427E-2</v>
      </c>
      <c r="AJ122" s="1333">
        <f t="shared" si="156"/>
        <v>5.403731553206427E-2</v>
      </c>
      <c r="AK122" s="1331">
        <f t="shared" si="157"/>
        <v>5.403731553206427E-2</v>
      </c>
      <c r="AL122" s="1330"/>
      <c r="AM122" s="1332">
        <f t="shared" si="158"/>
        <v>4.8572147714426334E-2</v>
      </c>
      <c r="AN122" s="1333">
        <f t="shared" si="159"/>
        <v>4.8572147714426334E-2</v>
      </c>
      <c r="AO122" s="1333">
        <f t="shared" si="160"/>
        <v>4.8572147714426334E-2</v>
      </c>
      <c r="AP122" s="1333">
        <f t="shared" si="161"/>
        <v>4.8572147714426334E-2</v>
      </c>
      <c r="AQ122" s="1331">
        <f t="shared" si="162"/>
        <v>4.8572147714426334E-2</v>
      </c>
      <c r="AR122" s="1330"/>
      <c r="AS122" s="1332">
        <f t="shared" si="163"/>
        <v>4.5606954580696593E-2</v>
      </c>
      <c r="AT122" s="1333">
        <f t="shared" si="164"/>
        <v>4.5606954580696593E-2</v>
      </c>
      <c r="AU122" s="1333">
        <f t="shared" si="165"/>
        <v>4.5606954580696593E-2</v>
      </c>
      <c r="AV122" s="1333">
        <f t="shared" si="166"/>
        <v>4.5606954580696593E-2</v>
      </c>
      <c r="AW122" s="1400">
        <f t="shared" si="167"/>
        <v>4.5606954580696593E-2</v>
      </c>
      <c r="AX122" s="1333"/>
      <c r="AY122" s="1332">
        <f t="shared" si="168"/>
        <v>3.4503613843064239E-2</v>
      </c>
      <c r="AZ122" s="1333">
        <f t="shared" si="169"/>
        <v>3.4503613843064239E-2</v>
      </c>
      <c r="BA122" s="1333">
        <f t="shared" si="170"/>
        <v>3.4503613843064239E-2</v>
      </c>
      <c r="BB122" s="1333">
        <f t="shared" si="171"/>
        <v>3.4503613843064239E-2</v>
      </c>
      <c r="BC122" s="1400">
        <f t="shared" si="172"/>
        <v>3.4503613843064239E-2</v>
      </c>
      <c r="BD122" s="1333"/>
      <c r="BE122" s="1332">
        <f t="shared" si="173"/>
        <v>3.1188593615650451E-2</v>
      </c>
      <c r="BF122" s="1333">
        <f t="shared" si="174"/>
        <v>3.1188593615650451E-2</v>
      </c>
      <c r="BG122" s="1333">
        <f t="shared" si="175"/>
        <v>3.1188593615650451E-2</v>
      </c>
      <c r="BH122" s="1333">
        <f t="shared" si="176"/>
        <v>3.1188593615650451E-2</v>
      </c>
      <c r="BI122" s="1400">
        <f t="shared" si="177"/>
        <v>3.1188593615650451E-2</v>
      </c>
      <c r="BJ122" s="1333"/>
      <c r="BK122" s="1332">
        <f t="shared" si="178"/>
        <v>3.1188593615650451E-2</v>
      </c>
      <c r="BL122" s="1333">
        <f t="shared" si="179"/>
        <v>3.1188593615650451E-2</v>
      </c>
      <c r="BM122" s="1333">
        <f t="shared" si="180"/>
        <v>3.1188593615650451E-2</v>
      </c>
      <c r="BN122" s="1333">
        <f t="shared" si="181"/>
        <v>3.1188593615650451E-2</v>
      </c>
      <c r="BO122" s="1335">
        <f t="shared" si="182"/>
        <v>3.1188593615650451E-2</v>
      </c>
      <c r="BP122" s="1333"/>
      <c r="BQ122" s="1332">
        <f t="shared" si="183"/>
        <v>3.1188593615650451E-2</v>
      </c>
      <c r="BR122" s="1333">
        <f t="shared" si="184"/>
        <v>3.1188593615650451E-2</v>
      </c>
      <c r="BS122" s="1333">
        <f t="shared" si="185"/>
        <v>3.1188593615650451E-2</v>
      </c>
      <c r="BT122" s="1333">
        <f t="shared" si="186"/>
        <v>3.1188593615650451E-2</v>
      </c>
      <c r="BU122" s="1335">
        <f t="shared" si="187"/>
        <v>3.1188593615650451E-2</v>
      </c>
      <c r="BV122" s="1333"/>
      <c r="BW122" s="1332">
        <f t="shared" si="188"/>
        <v>3.1188593615650451E-2</v>
      </c>
      <c r="BX122" s="1333">
        <f t="shared" si="189"/>
        <v>3.1188593615650451E-2</v>
      </c>
      <c r="BY122" s="1333">
        <f t="shared" si="190"/>
        <v>3.1188593615650451E-2</v>
      </c>
      <c r="BZ122" s="1333">
        <f t="shared" si="191"/>
        <v>3.1188593615650451E-2</v>
      </c>
      <c r="CA122" s="1335">
        <f t="shared" si="192"/>
        <v>3.1188593615650451E-2</v>
      </c>
      <c r="CB122" s="1333"/>
      <c r="CC122" s="1332">
        <f t="shared" si="193"/>
        <v>3.1188593615650451E-2</v>
      </c>
      <c r="CD122" s="1333">
        <f t="shared" si="194"/>
        <v>3.1188593615650451E-2</v>
      </c>
      <c r="CE122" s="1333">
        <f t="shared" si="195"/>
        <v>3.1188593615650451E-2</v>
      </c>
      <c r="CF122" s="1333">
        <f t="shared" si="196"/>
        <v>3.1188593615650451E-2</v>
      </c>
      <c r="CG122" s="1335">
        <f t="shared" si="197"/>
        <v>3.1188593615650451E-2</v>
      </c>
      <c r="CH122" s="1333"/>
      <c r="CI122" s="1332">
        <f t="shared" si="198"/>
        <v>3.1188593615650451E-2</v>
      </c>
      <c r="CJ122" s="1333">
        <f t="shared" si="199"/>
        <v>3.1188593615650451E-2</v>
      </c>
      <c r="CK122" s="1333">
        <f t="shared" si="200"/>
        <v>3.1188593615650451E-2</v>
      </c>
      <c r="CL122" s="1333">
        <f t="shared" si="201"/>
        <v>3.1188593615650451E-2</v>
      </c>
      <c r="CM122" s="1335">
        <f t="shared" si="202"/>
        <v>3.1188593615650451E-2</v>
      </c>
    </row>
    <row r="123" spans="1:91" s="50" customFormat="1">
      <c r="A123" s="1349" t="str">
        <f t="shared" si="139"/>
        <v>France</v>
      </c>
      <c r="B123" s="45"/>
      <c r="C123" s="1329" t="str">
        <f t="shared" si="140"/>
        <v>NM</v>
      </c>
      <c r="D123" s="1330" t="str">
        <f t="shared" si="140"/>
        <v>NM</v>
      </c>
      <c r="E123" s="1330" t="str">
        <f t="shared" si="140"/>
        <v>NM</v>
      </c>
      <c r="F123" s="1330" t="str">
        <f t="shared" si="140"/>
        <v>NM</v>
      </c>
      <c r="G123" s="1331">
        <f t="shared" si="140"/>
        <v>4.5994018082258024E-2</v>
      </c>
      <c r="H123" s="1330"/>
      <c r="I123" s="1329" t="str">
        <f t="shared" si="141"/>
        <v>NM</v>
      </c>
      <c r="J123" s="1330" t="str">
        <f t="shared" si="141"/>
        <v>NM</v>
      </c>
      <c r="K123" s="1330" t="str">
        <f t="shared" si="141"/>
        <v>NM</v>
      </c>
      <c r="L123" s="1330" t="str">
        <f t="shared" si="141"/>
        <v>NM</v>
      </c>
      <c r="M123" s="1331">
        <f t="shared" si="141"/>
        <v>4.9120064976850786E-2</v>
      </c>
      <c r="N123" s="1330"/>
      <c r="O123" s="1329" t="str">
        <f t="shared" si="142"/>
        <v>NM</v>
      </c>
      <c r="P123" s="1330" t="str">
        <f t="shared" si="142"/>
        <v>NM</v>
      </c>
      <c r="Q123" s="1330" t="str">
        <f t="shared" si="142"/>
        <v>NM</v>
      </c>
      <c r="R123" s="1330" t="str">
        <f t="shared" si="142"/>
        <v>NM</v>
      </c>
      <c r="S123" s="1331">
        <f t="shared" si="142"/>
        <v>4.4402572664089875E-2</v>
      </c>
      <c r="T123" s="1330"/>
      <c r="U123" s="1332">
        <f t="shared" si="143"/>
        <v>4.4402955737860739E-2</v>
      </c>
      <c r="V123" s="1333">
        <f t="shared" si="144"/>
        <v>4.4402955737860739E-2</v>
      </c>
      <c r="W123" s="1333">
        <f t="shared" si="145"/>
        <v>4.4402955737860739E-2</v>
      </c>
      <c r="X123" s="1333">
        <f t="shared" si="146"/>
        <v>4.4402955737860739E-2</v>
      </c>
      <c r="Y123" s="1331">
        <f t="shared" si="147"/>
        <v>4.4402955737860739E-2</v>
      </c>
      <c r="Z123" s="1330"/>
      <c r="AA123" s="1332">
        <f t="shared" si="148"/>
        <v>4.4511151373880113E-2</v>
      </c>
      <c r="AB123" s="1333">
        <f t="shared" si="149"/>
        <v>4.4511151373880113E-2</v>
      </c>
      <c r="AC123" s="1333">
        <f t="shared" si="150"/>
        <v>4.4511151373880113E-2</v>
      </c>
      <c r="AD123" s="1333">
        <f t="shared" si="151"/>
        <v>4.4511151373880113E-2</v>
      </c>
      <c r="AE123" s="1331">
        <f t="shared" si="152"/>
        <v>4.4511151373880113E-2</v>
      </c>
      <c r="AF123" s="1330"/>
      <c r="AG123" s="1332">
        <f t="shared" si="153"/>
        <v>3.989920598712654E-2</v>
      </c>
      <c r="AH123" s="1333">
        <f t="shared" si="154"/>
        <v>3.989920598712654E-2</v>
      </c>
      <c r="AI123" s="1333">
        <f t="shared" si="155"/>
        <v>3.989920598712654E-2</v>
      </c>
      <c r="AJ123" s="1333">
        <f t="shared" si="156"/>
        <v>3.989920598712654E-2</v>
      </c>
      <c r="AK123" s="1331">
        <f t="shared" si="157"/>
        <v>3.989920598712654E-2</v>
      </c>
      <c r="AL123" s="1330"/>
      <c r="AM123" s="1332">
        <f t="shared" si="158"/>
        <v>4.1486551894677925E-2</v>
      </c>
      <c r="AN123" s="1333">
        <f t="shared" si="159"/>
        <v>4.1486551894677925E-2</v>
      </c>
      <c r="AO123" s="1333">
        <f t="shared" si="160"/>
        <v>4.1486551894677925E-2</v>
      </c>
      <c r="AP123" s="1333">
        <f t="shared" si="161"/>
        <v>4.1486551894677925E-2</v>
      </c>
      <c r="AQ123" s="1331">
        <f t="shared" si="162"/>
        <v>4.1486551894677925E-2</v>
      </c>
      <c r="AR123" s="1330"/>
      <c r="AS123" s="1332">
        <f t="shared" si="163"/>
        <v>4.1297165191841602E-2</v>
      </c>
      <c r="AT123" s="1333">
        <f t="shared" si="164"/>
        <v>4.1297165191841602E-2</v>
      </c>
      <c r="AU123" s="1333">
        <f t="shared" si="165"/>
        <v>4.1297165191841602E-2</v>
      </c>
      <c r="AV123" s="1333">
        <f t="shared" si="166"/>
        <v>4.1297165191841602E-2</v>
      </c>
      <c r="AW123" s="1400">
        <f t="shared" si="167"/>
        <v>4.1297165191841602E-2</v>
      </c>
      <c r="AX123" s="1333"/>
      <c r="AY123" s="1332">
        <f t="shared" si="168"/>
        <v>3.5466640187797265E-2</v>
      </c>
      <c r="AZ123" s="1333">
        <f t="shared" si="169"/>
        <v>3.5466640187797265E-2</v>
      </c>
      <c r="BA123" s="1333">
        <f t="shared" si="170"/>
        <v>3.5466640187797265E-2</v>
      </c>
      <c r="BB123" s="1333">
        <f t="shared" si="171"/>
        <v>3.5466640187797265E-2</v>
      </c>
      <c r="BC123" s="1400">
        <f t="shared" si="172"/>
        <v>3.5466640187797265E-2</v>
      </c>
      <c r="BD123" s="1333"/>
      <c r="BE123" s="1332">
        <f t="shared" si="173"/>
        <v>3.3610696581497568E-2</v>
      </c>
      <c r="BF123" s="1333">
        <f t="shared" si="174"/>
        <v>3.3610696581497568E-2</v>
      </c>
      <c r="BG123" s="1333">
        <f t="shared" si="175"/>
        <v>3.3610696581497568E-2</v>
      </c>
      <c r="BH123" s="1333">
        <f t="shared" si="176"/>
        <v>3.3610696581497568E-2</v>
      </c>
      <c r="BI123" s="1400">
        <f t="shared" si="177"/>
        <v>3.3610696581497568E-2</v>
      </c>
      <c r="BJ123" s="1333"/>
      <c r="BK123" s="1332">
        <f t="shared" si="178"/>
        <v>3.3610696581497568E-2</v>
      </c>
      <c r="BL123" s="1333">
        <f t="shared" si="179"/>
        <v>3.3610696581497568E-2</v>
      </c>
      <c r="BM123" s="1333">
        <f t="shared" si="180"/>
        <v>3.3610696581497568E-2</v>
      </c>
      <c r="BN123" s="1333">
        <f t="shared" si="181"/>
        <v>3.3610696581497568E-2</v>
      </c>
      <c r="BO123" s="1335">
        <f t="shared" si="182"/>
        <v>3.3610696581497568E-2</v>
      </c>
      <c r="BP123" s="1333"/>
      <c r="BQ123" s="1332">
        <f t="shared" si="183"/>
        <v>3.3610696581497568E-2</v>
      </c>
      <c r="BR123" s="1333">
        <f t="shared" si="184"/>
        <v>3.3610696581497568E-2</v>
      </c>
      <c r="BS123" s="1333">
        <f t="shared" si="185"/>
        <v>3.3610696581497568E-2</v>
      </c>
      <c r="BT123" s="1333">
        <f t="shared" si="186"/>
        <v>3.3610696581497568E-2</v>
      </c>
      <c r="BU123" s="1335">
        <f t="shared" si="187"/>
        <v>3.3610696581497568E-2</v>
      </c>
      <c r="BV123" s="1333"/>
      <c r="BW123" s="1332">
        <f t="shared" si="188"/>
        <v>3.3610696581497568E-2</v>
      </c>
      <c r="BX123" s="1333">
        <f t="shared" si="189"/>
        <v>3.3610696581497568E-2</v>
      </c>
      <c r="BY123" s="1333">
        <f t="shared" si="190"/>
        <v>3.3610696581497568E-2</v>
      </c>
      <c r="BZ123" s="1333">
        <f t="shared" si="191"/>
        <v>3.3610696581497568E-2</v>
      </c>
      <c r="CA123" s="1335">
        <f t="shared" si="192"/>
        <v>3.3610696581497568E-2</v>
      </c>
      <c r="CB123" s="1333"/>
      <c r="CC123" s="1332">
        <f t="shared" si="193"/>
        <v>3.3610696581497568E-2</v>
      </c>
      <c r="CD123" s="1333">
        <f t="shared" si="194"/>
        <v>3.3610696581497568E-2</v>
      </c>
      <c r="CE123" s="1333">
        <f t="shared" si="195"/>
        <v>3.3610696581497568E-2</v>
      </c>
      <c r="CF123" s="1333">
        <f t="shared" si="196"/>
        <v>3.3610696581497568E-2</v>
      </c>
      <c r="CG123" s="1335">
        <f t="shared" si="197"/>
        <v>3.3610696581497568E-2</v>
      </c>
      <c r="CH123" s="1333"/>
      <c r="CI123" s="1332">
        <f t="shared" si="198"/>
        <v>3.3610696581497568E-2</v>
      </c>
      <c r="CJ123" s="1333">
        <f t="shared" si="199"/>
        <v>3.3610696581497568E-2</v>
      </c>
      <c r="CK123" s="1333">
        <f t="shared" si="200"/>
        <v>3.3610696581497568E-2</v>
      </c>
      <c r="CL123" s="1333">
        <f t="shared" si="201"/>
        <v>3.3610696581497568E-2</v>
      </c>
      <c r="CM123" s="1335">
        <f t="shared" si="202"/>
        <v>3.3610696581497568E-2</v>
      </c>
    </row>
    <row r="124" spans="1:91" s="50" customFormat="1">
      <c r="A124" s="1349" t="s">
        <v>402</v>
      </c>
      <c r="B124" s="45"/>
      <c r="C124" s="1329" t="str">
        <f t="shared" si="140"/>
        <v>NM</v>
      </c>
      <c r="D124" s="1330" t="str">
        <f t="shared" si="140"/>
        <v>NM</v>
      </c>
      <c r="E124" s="1330" t="str">
        <f t="shared" si="140"/>
        <v>NM</v>
      </c>
      <c r="F124" s="1330" t="str">
        <f t="shared" si="140"/>
        <v>NM</v>
      </c>
      <c r="G124" s="1331">
        <f t="shared" si="140"/>
        <v>4.4831992096603754E-2</v>
      </c>
      <c r="H124" s="1330"/>
      <c r="I124" s="1329" t="str">
        <f t="shared" si="141"/>
        <v>NM</v>
      </c>
      <c r="J124" s="1330" t="str">
        <f t="shared" si="141"/>
        <v>NM</v>
      </c>
      <c r="K124" s="1330" t="str">
        <f t="shared" si="141"/>
        <v>NM</v>
      </c>
      <c r="L124" s="1330" t="str">
        <f t="shared" si="141"/>
        <v>NM</v>
      </c>
      <c r="M124" s="1331">
        <f t="shared" si="141"/>
        <v>5.2196583895092269E-2</v>
      </c>
      <c r="N124" s="1330"/>
      <c r="O124" s="1329" t="str">
        <f t="shared" si="142"/>
        <v>NM</v>
      </c>
      <c r="P124" s="1330" t="str">
        <f t="shared" si="142"/>
        <v>NM</v>
      </c>
      <c r="Q124" s="1330" t="str">
        <f t="shared" si="142"/>
        <v>NM</v>
      </c>
      <c r="R124" s="1330" t="str">
        <f t="shared" si="142"/>
        <v>NM</v>
      </c>
      <c r="S124" s="1331">
        <f t="shared" si="142"/>
        <v>4.4404507191929669E-2</v>
      </c>
      <c r="T124" s="1330"/>
      <c r="U124" s="1332">
        <f t="shared" si="143"/>
        <v>3.9565323003662403E-2</v>
      </c>
      <c r="V124" s="1333">
        <f t="shared" si="144"/>
        <v>3.9565323003662403E-2</v>
      </c>
      <c r="W124" s="1333">
        <f t="shared" si="145"/>
        <v>3.9565323003662403E-2</v>
      </c>
      <c r="X124" s="1333">
        <f t="shared" si="146"/>
        <v>3.9565323003662403E-2</v>
      </c>
      <c r="Y124" s="1331">
        <f t="shared" si="147"/>
        <v>3.9565323003662403E-2</v>
      </c>
      <c r="Z124" s="1330"/>
      <c r="AA124" s="1332">
        <f t="shared" si="148"/>
        <v>3.9053785545851247E-2</v>
      </c>
      <c r="AB124" s="1333">
        <f t="shared" si="149"/>
        <v>3.9053785545851247E-2</v>
      </c>
      <c r="AC124" s="1333">
        <f t="shared" si="150"/>
        <v>3.9053785545851247E-2</v>
      </c>
      <c r="AD124" s="1333">
        <f t="shared" si="151"/>
        <v>3.9053785545851247E-2</v>
      </c>
      <c r="AE124" s="1331">
        <f t="shared" si="152"/>
        <v>3.9053785545851247E-2</v>
      </c>
      <c r="AF124" s="1330"/>
      <c r="AG124" s="1332">
        <f t="shared" si="153"/>
        <v>3.2904139315101846E-2</v>
      </c>
      <c r="AH124" s="1333">
        <f t="shared" si="154"/>
        <v>3.2904139315101846E-2</v>
      </c>
      <c r="AI124" s="1333">
        <f t="shared" si="155"/>
        <v>3.2904139315101846E-2</v>
      </c>
      <c r="AJ124" s="1333">
        <f t="shared" si="156"/>
        <v>3.2904139315101846E-2</v>
      </c>
      <c r="AK124" s="1331">
        <f t="shared" si="157"/>
        <v>3.2904139315101846E-2</v>
      </c>
      <c r="AL124" s="1330"/>
      <c r="AM124" s="1332">
        <f t="shared" si="158"/>
        <v>3.9659435798434145E-2</v>
      </c>
      <c r="AN124" s="1333">
        <f t="shared" si="159"/>
        <v>3.9659435798434145E-2</v>
      </c>
      <c r="AO124" s="1333">
        <f t="shared" si="160"/>
        <v>3.9659435798434145E-2</v>
      </c>
      <c r="AP124" s="1333">
        <f t="shared" si="161"/>
        <v>3.9659435798434145E-2</v>
      </c>
      <c r="AQ124" s="1331">
        <f t="shared" si="162"/>
        <v>3.9659435798434145E-2</v>
      </c>
      <c r="AR124" s="1330"/>
      <c r="AS124" s="1332">
        <f t="shared" si="163"/>
        <v>4.153392406746173E-2</v>
      </c>
      <c r="AT124" s="1333">
        <f t="shared" si="164"/>
        <v>4.153392406746173E-2</v>
      </c>
      <c r="AU124" s="1333">
        <f t="shared" si="165"/>
        <v>4.153392406746173E-2</v>
      </c>
      <c r="AV124" s="1333">
        <f t="shared" si="166"/>
        <v>4.153392406746173E-2</v>
      </c>
      <c r="AW124" s="1400">
        <f t="shared" si="167"/>
        <v>4.153392406746173E-2</v>
      </c>
      <c r="AX124" s="1333"/>
      <c r="AY124" s="1332">
        <f t="shared" si="168"/>
        <v>3.5510824425616788E-2</v>
      </c>
      <c r="AZ124" s="1333">
        <f t="shared" si="169"/>
        <v>3.5510824425616788E-2</v>
      </c>
      <c r="BA124" s="1333">
        <f t="shared" si="170"/>
        <v>3.5510824425616788E-2</v>
      </c>
      <c r="BB124" s="1333">
        <f t="shared" si="171"/>
        <v>3.5510824425616788E-2</v>
      </c>
      <c r="BC124" s="1400">
        <f t="shared" si="172"/>
        <v>3.5510824425616788E-2</v>
      </c>
      <c r="BD124" s="1333"/>
      <c r="BE124" s="1332">
        <f t="shared" si="173"/>
        <v>3.3536955741787937E-2</v>
      </c>
      <c r="BF124" s="1333">
        <f t="shared" si="174"/>
        <v>3.3536955741787937E-2</v>
      </c>
      <c r="BG124" s="1333">
        <f t="shared" si="175"/>
        <v>3.3536955741787937E-2</v>
      </c>
      <c r="BH124" s="1333">
        <f t="shared" si="176"/>
        <v>3.3536955741787937E-2</v>
      </c>
      <c r="BI124" s="1400">
        <f t="shared" si="177"/>
        <v>3.3536955741787937E-2</v>
      </c>
      <c r="BJ124" s="1333"/>
      <c r="BK124" s="1332">
        <f t="shared" si="178"/>
        <v>3.3536955741787937E-2</v>
      </c>
      <c r="BL124" s="1333">
        <f t="shared" si="179"/>
        <v>3.3536955741787937E-2</v>
      </c>
      <c r="BM124" s="1333">
        <f t="shared" si="180"/>
        <v>3.3536955741787937E-2</v>
      </c>
      <c r="BN124" s="1333">
        <f t="shared" si="181"/>
        <v>3.3536955741787937E-2</v>
      </c>
      <c r="BO124" s="1335">
        <f t="shared" si="182"/>
        <v>3.3536955741787937E-2</v>
      </c>
      <c r="BP124" s="1333"/>
      <c r="BQ124" s="1332">
        <f t="shared" si="183"/>
        <v>3.3536955741787937E-2</v>
      </c>
      <c r="BR124" s="1333">
        <f t="shared" si="184"/>
        <v>3.3536955741787937E-2</v>
      </c>
      <c r="BS124" s="1333">
        <f t="shared" si="185"/>
        <v>3.3536955741787937E-2</v>
      </c>
      <c r="BT124" s="1333">
        <f t="shared" si="186"/>
        <v>3.3536955741787937E-2</v>
      </c>
      <c r="BU124" s="1335">
        <f t="shared" si="187"/>
        <v>3.3536955741787937E-2</v>
      </c>
      <c r="BV124" s="1333"/>
      <c r="BW124" s="1332">
        <f t="shared" si="188"/>
        <v>3.3536955741787937E-2</v>
      </c>
      <c r="BX124" s="1333">
        <f t="shared" si="189"/>
        <v>3.3536955741787937E-2</v>
      </c>
      <c r="BY124" s="1333">
        <f t="shared" si="190"/>
        <v>3.3536955741787937E-2</v>
      </c>
      <c r="BZ124" s="1333">
        <f t="shared" si="191"/>
        <v>3.3536955741787937E-2</v>
      </c>
      <c r="CA124" s="1335">
        <f t="shared" si="192"/>
        <v>3.3536955741787937E-2</v>
      </c>
      <c r="CB124" s="1333"/>
      <c r="CC124" s="1332">
        <f t="shared" si="193"/>
        <v>3.3536955741787937E-2</v>
      </c>
      <c r="CD124" s="1333">
        <f t="shared" si="194"/>
        <v>3.3536955741787937E-2</v>
      </c>
      <c r="CE124" s="1333">
        <f t="shared" si="195"/>
        <v>3.3536955741787937E-2</v>
      </c>
      <c r="CF124" s="1333">
        <f t="shared" si="196"/>
        <v>3.3536955741787937E-2</v>
      </c>
      <c r="CG124" s="1335">
        <f t="shared" si="197"/>
        <v>3.3536955741787937E-2</v>
      </c>
      <c r="CH124" s="1333"/>
      <c r="CI124" s="1332">
        <f t="shared" si="198"/>
        <v>3.3536955741787937E-2</v>
      </c>
      <c r="CJ124" s="1333">
        <f t="shared" si="199"/>
        <v>3.3536955741787937E-2</v>
      </c>
      <c r="CK124" s="1333">
        <f t="shared" si="200"/>
        <v>3.3536955741787937E-2</v>
      </c>
      <c r="CL124" s="1333">
        <f t="shared" si="201"/>
        <v>3.3536955741787937E-2</v>
      </c>
      <c r="CM124" s="1335">
        <f t="shared" si="202"/>
        <v>3.3536955741787937E-2</v>
      </c>
    </row>
    <row r="125" spans="1:91" s="50" customFormat="1">
      <c r="A125" s="1349" t="str">
        <f>A113</f>
        <v>Other International</v>
      </c>
      <c r="B125" s="45"/>
      <c r="C125" s="1329" t="str">
        <f t="shared" si="140"/>
        <v>NM</v>
      </c>
      <c r="D125" s="1330" t="str">
        <f t="shared" si="140"/>
        <v>NM</v>
      </c>
      <c r="E125" s="1330" t="str">
        <f t="shared" si="140"/>
        <v>NM</v>
      </c>
      <c r="F125" s="1330" t="str">
        <f t="shared" si="140"/>
        <v>NM</v>
      </c>
      <c r="G125" s="1331">
        <f t="shared" si="140"/>
        <v>0.28550961115221035</v>
      </c>
      <c r="H125" s="1330"/>
      <c r="I125" s="1329" t="str">
        <f t="shared" si="141"/>
        <v>NM</v>
      </c>
      <c r="J125" s="1330" t="str">
        <f t="shared" si="141"/>
        <v>NM</v>
      </c>
      <c r="K125" s="1330" t="str">
        <f t="shared" si="141"/>
        <v>NM</v>
      </c>
      <c r="L125" s="1330" t="str">
        <f t="shared" si="141"/>
        <v>NM</v>
      </c>
      <c r="M125" s="1331">
        <f t="shared" si="141"/>
        <v>0.32666412800632411</v>
      </c>
      <c r="N125" s="1330"/>
      <c r="O125" s="1329" t="str">
        <f t="shared" si="142"/>
        <v>NM</v>
      </c>
      <c r="P125" s="1330" t="str">
        <f t="shared" si="142"/>
        <v>NM</v>
      </c>
      <c r="Q125" s="1330" t="str">
        <f t="shared" si="142"/>
        <v>NM</v>
      </c>
      <c r="R125" s="1330" t="str">
        <f t="shared" si="142"/>
        <v>NM</v>
      </c>
      <c r="S125" s="1331">
        <f t="shared" si="142"/>
        <v>0.28120361163450835</v>
      </c>
      <c r="T125" s="1330"/>
      <c r="U125" s="1332">
        <f t="shared" si="143"/>
        <v>0.2866671438780623</v>
      </c>
      <c r="V125" s="1333">
        <f t="shared" si="144"/>
        <v>0.2866671438780623</v>
      </c>
      <c r="W125" s="1333">
        <f t="shared" si="145"/>
        <v>0.2866671438780623</v>
      </c>
      <c r="X125" s="1333">
        <f t="shared" si="146"/>
        <v>0.2866671438780623</v>
      </c>
      <c r="Y125" s="1331">
        <f t="shared" si="147"/>
        <v>0.2866671438780623</v>
      </c>
      <c r="Z125" s="1330"/>
      <c r="AA125" s="1332">
        <f t="shared" si="148"/>
        <v>0.29320649171126728</v>
      </c>
      <c r="AB125" s="1333">
        <f t="shared" si="149"/>
        <v>0.29320649171126728</v>
      </c>
      <c r="AC125" s="1333">
        <f t="shared" si="150"/>
        <v>0.29320649171126728</v>
      </c>
      <c r="AD125" s="1333">
        <f t="shared" si="151"/>
        <v>0.29320649171126728</v>
      </c>
      <c r="AE125" s="1331">
        <f t="shared" si="152"/>
        <v>0.29320649171126728</v>
      </c>
      <c r="AF125" s="1330"/>
      <c r="AG125" s="1332">
        <f t="shared" si="153"/>
        <v>0.27571275597400724</v>
      </c>
      <c r="AH125" s="1333">
        <f t="shared" si="154"/>
        <v>0.27571275597400724</v>
      </c>
      <c r="AI125" s="1333">
        <f t="shared" si="155"/>
        <v>0.27571275597400724</v>
      </c>
      <c r="AJ125" s="1333">
        <f t="shared" si="156"/>
        <v>0.27571275597400724</v>
      </c>
      <c r="AK125" s="1331">
        <f t="shared" si="157"/>
        <v>0.27571275597400724</v>
      </c>
      <c r="AL125" s="1330"/>
      <c r="AM125" s="1332">
        <f t="shared" si="158"/>
        <v>0.19850879538503458</v>
      </c>
      <c r="AN125" s="1333">
        <f t="shared" si="159"/>
        <v>0.19850879538503458</v>
      </c>
      <c r="AO125" s="1333">
        <f t="shared" si="160"/>
        <v>0.19850879538503458</v>
      </c>
      <c r="AP125" s="1333">
        <f t="shared" si="161"/>
        <v>0.19850879538503458</v>
      </c>
      <c r="AQ125" s="1331">
        <f t="shared" si="162"/>
        <v>0.19850879538503458</v>
      </c>
      <c r="AR125" s="1330"/>
      <c r="AS125" s="1332">
        <f t="shared" si="163"/>
        <v>0.20684755735762703</v>
      </c>
      <c r="AT125" s="1333">
        <f t="shared" si="164"/>
        <v>0.20684755735762703</v>
      </c>
      <c r="AU125" s="1333">
        <f t="shared" si="165"/>
        <v>0.20684755735762703</v>
      </c>
      <c r="AV125" s="1333">
        <f t="shared" si="166"/>
        <v>0.20684755735762703</v>
      </c>
      <c r="AW125" s="1400">
        <f t="shared" si="167"/>
        <v>0.20684755735762703</v>
      </c>
      <c r="AX125" s="1333"/>
      <c r="AY125" s="1332">
        <f t="shared" si="168"/>
        <v>0.20685397299440381</v>
      </c>
      <c r="AZ125" s="1333">
        <f t="shared" si="169"/>
        <v>0.20685397299440381</v>
      </c>
      <c r="BA125" s="1333">
        <f t="shared" si="170"/>
        <v>0.20685397299440381</v>
      </c>
      <c r="BB125" s="1333">
        <f t="shared" si="171"/>
        <v>0.20685397299440381</v>
      </c>
      <c r="BC125" s="1400">
        <f t="shared" si="172"/>
        <v>0.20685397299440381</v>
      </c>
      <c r="BD125" s="1333"/>
      <c r="BE125" s="1332">
        <f t="shared" si="173"/>
        <v>0.27069033243410484</v>
      </c>
      <c r="BF125" s="1333">
        <f t="shared" si="174"/>
        <v>0.27069033243410484</v>
      </c>
      <c r="BG125" s="1333">
        <f t="shared" si="175"/>
        <v>0.27069033243410484</v>
      </c>
      <c r="BH125" s="1333">
        <f t="shared" si="176"/>
        <v>0.27069033243410484</v>
      </c>
      <c r="BI125" s="1400">
        <f t="shared" si="177"/>
        <v>0.27069033243410484</v>
      </c>
      <c r="BJ125" s="1333"/>
      <c r="BK125" s="1332">
        <f t="shared" si="178"/>
        <v>0.27069033243410484</v>
      </c>
      <c r="BL125" s="1333">
        <f t="shared" si="179"/>
        <v>0.27069033243410484</v>
      </c>
      <c r="BM125" s="1333">
        <f t="shared" si="180"/>
        <v>0.27069033243410484</v>
      </c>
      <c r="BN125" s="1333">
        <f t="shared" si="181"/>
        <v>0.27069033243410484</v>
      </c>
      <c r="BO125" s="1335">
        <f t="shared" si="182"/>
        <v>0.27069033243410484</v>
      </c>
      <c r="BP125" s="1333"/>
      <c r="BQ125" s="1332">
        <f t="shared" si="183"/>
        <v>0.27069033243410484</v>
      </c>
      <c r="BR125" s="1333">
        <f t="shared" si="184"/>
        <v>0.27069033243410484</v>
      </c>
      <c r="BS125" s="1333">
        <f t="shared" si="185"/>
        <v>0.27069033243410484</v>
      </c>
      <c r="BT125" s="1333">
        <f t="shared" si="186"/>
        <v>0.27069033243410484</v>
      </c>
      <c r="BU125" s="1335">
        <f t="shared" si="187"/>
        <v>0.27069033243410484</v>
      </c>
      <c r="BV125" s="1333"/>
      <c r="BW125" s="1332">
        <f t="shared" si="188"/>
        <v>0.27069033243410484</v>
      </c>
      <c r="BX125" s="1333">
        <f t="shared" si="189"/>
        <v>0.27069033243410484</v>
      </c>
      <c r="BY125" s="1333">
        <f t="shared" si="190"/>
        <v>0.27069033243410484</v>
      </c>
      <c r="BZ125" s="1333">
        <f t="shared" si="191"/>
        <v>0.27069033243410484</v>
      </c>
      <c r="CA125" s="1335">
        <f t="shared" si="192"/>
        <v>0.27069033243410484</v>
      </c>
      <c r="CB125" s="1333"/>
      <c r="CC125" s="1332">
        <f t="shared" si="193"/>
        <v>0.27069033243410484</v>
      </c>
      <c r="CD125" s="1333">
        <f t="shared" si="194"/>
        <v>0.27069033243410484</v>
      </c>
      <c r="CE125" s="1333">
        <f t="shared" si="195"/>
        <v>0.27069033243410484</v>
      </c>
      <c r="CF125" s="1333">
        <f t="shared" si="196"/>
        <v>0.27069033243410484</v>
      </c>
      <c r="CG125" s="1335">
        <f t="shared" si="197"/>
        <v>0.27069033243410484</v>
      </c>
      <c r="CH125" s="1333"/>
      <c r="CI125" s="1332">
        <f t="shared" si="198"/>
        <v>0.27069033243410484</v>
      </c>
      <c r="CJ125" s="1333">
        <f t="shared" si="199"/>
        <v>0.27069033243410484</v>
      </c>
      <c r="CK125" s="1333">
        <f t="shared" si="200"/>
        <v>0.27069033243410484</v>
      </c>
      <c r="CL125" s="1333">
        <f t="shared" si="201"/>
        <v>0.27069033243410484</v>
      </c>
      <c r="CM125" s="1335">
        <f t="shared" si="202"/>
        <v>0.27069033243410484</v>
      </c>
    </row>
    <row r="126" spans="1:91" s="50" customFormat="1">
      <c r="A126" s="1336" t="str">
        <f>A114</f>
        <v>Total Revenue</v>
      </c>
      <c r="B126" s="1337"/>
      <c r="C126" s="1338" t="str">
        <f t="shared" si="140"/>
        <v>NM</v>
      </c>
      <c r="D126" s="1339" t="str">
        <f t="shared" si="140"/>
        <v>NM</v>
      </c>
      <c r="E126" s="1339" t="str">
        <f t="shared" si="140"/>
        <v>NM</v>
      </c>
      <c r="F126" s="1339" t="str">
        <f t="shared" si="140"/>
        <v>NM</v>
      </c>
      <c r="G126" s="1340">
        <f t="shared" si="140"/>
        <v>1</v>
      </c>
      <c r="H126" s="1341"/>
      <c r="I126" s="1338" t="str">
        <f t="shared" si="141"/>
        <v>NM</v>
      </c>
      <c r="J126" s="1339" t="str">
        <f t="shared" si="141"/>
        <v>NM</v>
      </c>
      <c r="K126" s="1339" t="str">
        <f t="shared" si="141"/>
        <v>NM</v>
      </c>
      <c r="L126" s="1339" t="str">
        <f t="shared" si="141"/>
        <v>NM</v>
      </c>
      <c r="M126" s="1340">
        <f t="shared" si="141"/>
        <v>1</v>
      </c>
      <c r="N126" s="1341"/>
      <c r="O126" s="1338" t="str">
        <f t="shared" si="142"/>
        <v>NM</v>
      </c>
      <c r="P126" s="1339" t="str">
        <f t="shared" si="142"/>
        <v>NM</v>
      </c>
      <c r="Q126" s="1339" t="str">
        <f t="shared" si="142"/>
        <v>NM</v>
      </c>
      <c r="R126" s="1339" t="str">
        <f t="shared" si="142"/>
        <v>NM</v>
      </c>
      <c r="S126" s="1340">
        <f t="shared" si="142"/>
        <v>1</v>
      </c>
      <c r="T126" s="1341"/>
      <c r="U126" s="1338">
        <f>IF(ISERROR(U114/U$114),"NM",U114/U$114)</f>
        <v>1</v>
      </c>
      <c r="V126" s="1339">
        <f>IF(ISERROR(V114/V$114),"NM",V114/V$114)</f>
        <v>1</v>
      </c>
      <c r="W126" s="1339">
        <f>IF(ISERROR(W114/W$114),"NM",W114/W$114)</f>
        <v>1</v>
      </c>
      <c r="X126" s="1339">
        <f>IF(ISERROR(X114/X$114),"NM",X114/X$114)</f>
        <v>1</v>
      </c>
      <c r="Y126" s="1340">
        <f t="shared" si="147"/>
        <v>1</v>
      </c>
      <c r="Z126" s="1341"/>
      <c r="AA126" s="1338">
        <f>IF(ISERROR(AA114/AA$114),"NM",AA114/AA$114)</f>
        <v>1</v>
      </c>
      <c r="AB126" s="1339">
        <f>IF(ISERROR(AB114/AB$114),"NM",AB114/AB$114)</f>
        <v>1</v>
      </c>
      <c r="AC126" s="1339">
        <f>IF(ISERROR(AC114/AC$114),"NM",AC114/AC$114)</f>
        <v>1</v>
      </c>
      <c r="AD126" s="1339">
        <f>IF(ISERROR(AD114/AD$114),"NM",AD114/AD$114)</f>
        <v>1</v>
      </c>
      <c r="AE126" s="1340">
        <f t="shared" si="152"/>
        <v>1</v>
      </c>
      <c r="AF126" s="1341"/>
      <c r="AG126" s="1338">
        <f>IF(ISERROR(AG114/AG$114),"NM",AG114/AG$114)</f>
        <v>1</v>
      </c>
      <c r="AH126" s="1339">
        <f>IF(ISERROR(AH114/AH$114),"NM",AH114/AH$114)</f>
        <v>1</v>
      </c>
      <c r="AI126" s="1339">
        <f>IF(ISERROR(AI114/AI$114),"NM",AI114/AI$114)</f>
        <v>1</v>
      </c>
      <c r="AJ126" s="1339">
        <f>IF(ISERROR(AJ114/AJ$114),"NM",AJ114/AJ$114)</f>
        <v>1</v>
      </c>
      <c r="AK126" s="1340">
        <f t="shared" si="157"/>
        <v>1</v>
      </c>
      <c r="AL126" s="1341"/>
      <c r="AM126" s="1338">
        <f>IF(ISERROR(AM114/AM$114),"NM",AM114/AM$114)</f>
        <v>1</v>
      </c>
      <c r="AN126" s="1339">
        <f>IF(ISERROR(AN114/AN$114),"NM",AN114/AN$114)</f>
        <v>1</v>
      </c>
      <c r="AO126" s="1339">
        <f>IF(ISERROR(AO114/AO$114),"NM",AO114/AO$114)</f>
        <v>1</v>
      </c>
      <c r="AP126" s="1339">
        <f>IF(ISERROR(AP114/AP$114),"NM",AP114/AP$114)</f>
        <v>1</v>
      </c>
      <c r="AQ126" s="1340">
        <f t="shared" si="162"/>
        <v>1</v>
      </c>
      <c r="AR126" s="1341"/>
      <c r="AS126" s="1338">
        <f>IF(ISERROR(AS114/AS$114),"NM",AS114/AS$114)</f>
        <v>1</v>
      </c>
      <c r="AT126" s="1339">
        <f>IF(ISERROR(AT114/AT$114),"NM",AT114/AT$114)</f>
        <v>1</v>
      </c>
      <c r="AU126" s="1339">
        <f>IF(ISERROR(AU114/AU$114),"NM",AU114/AU$114)</f>
        <v>1</v>
      </c>
      <c r="AV126" s="1339">
        <f>IF(ISERROR(AV114/AV$114),"NM",AV114/AV$114)</f>
        <v>1</v>
      </c>
      <c r="AW126" s="1340">
        <f t="shared" si="167"/>
        <v>1</v>
      </c>
      <c r="AX126" s="1345"/>
      <c r="AY126" s="1338">
        <f>IF(ISERROR(AY114/AY$114),"NM",AY114/AY$114)</f>
        <v>1</v>
      </c>
      <c r="AZ126" s="1339">
        <f>IF(ISERROR(AZ114/AZ$114),"NM",AZ114/AZ$114)</f>
        <v>1</v>
      </c>
      <c r="BA126" s="1339">
        <f>IF(ISERROR(BA114/BA$114),"NM",BA114/BA$114)</f>
        <v>1</v>
      </c>
      <c r="BB126" s="1339">
        <f>IF(ISERROR(BB114/BB$114),"NM",BB114/BB$114)</f>
        <v>1</v>
      </c>
      <c r="BC126" s="1340">
        <f t="shared" si="172"/>
        <v>1</v>
      </c>
      <c r="BD126" s="1345"/>
      <c r="BE126" s="1338">
        <f>IF(ISERROR(BE114/BE$114),"NM",BE114/BE$114)</f>
        <v>1</v>
      </c>
      <c r="BF126" s="1339">
        <f>IF(ISERROR(BF114/BF$114),"NM",BF114/BF$114)</f>
        <v>1</v>
      </c>
      <c r="BG126" s="1339">
        <f>IF(ISERROR(BG114/BG$114),"NM",BG114/BG$114)</f>
        <v>1</v>
      </c>
      <c r="BH126" s="1339">
        <f>IF(ISERROR(BH114/BH$114),"NM",BH114/BH$114)</f>
        <v>1</v>
      </c>
      <c r="BI126" s="1340">
        <f t="shared" si="177"/>
        <v>1</v>
      </c>
      <c r="BJ126" s="1345"/>
      <c r="BK126" s="1338">
        <f>IF(ISERROR(BK114/BK$114),"NM",BK114/BK$114)</f>
        <v>1</v>
      </c>
      <c r="BL126" s="1339">
        <f>IF(ISERROR(BL114/BL$114),"NM",BL114/BL$114)</f>
        <v>1</v>
      </c>
      <c r="BM126" s="1339">
        <f>IF(ISERROR(BM114/BM$114),"NM",BM114/BM$114)</f>
        <v>1</v>
      </c>
      <c r="BN126" s="1343">
        <f t="shared" si="181"/>
        <v>1</v>
      </c>
      <c r="BO126" s="1344">
        <f t="shared" si="182"/>
        <v>1</v>
      </c>
      <c r="BP126" s="1345"/>
      <c r="BQ126" s="1342">
        <f t="shared" si="183"/>
        <v>1</v>
      </c>
      <c r="BR126" s="1343">
        <f t="shared" si="184"/>
        <v>1</v>
      </c>
      <c r="BS126" s="1343">
        <f t="shared" si="185"/>
        <v>1</v>
      </c>
      <c r="BT126" s="1343">
        <f t="shared" si="186"/>
        <v>1</v>
      </c>
      <c r="BU126" s="1344">
        <f t="shared" si="187"/>
        <v>1</v>
      </c>
      <c r="BV126" s="1345"/>
      <c r="BW126" s="1342">
        <f t="shared" si="188"/>
        <v>1</v>
      </c>
      <c r="BX126" s="1343">
        <f t="shared" si="189"/>
        <v>1</v>
      </c>
      <c r="BY126" s="1343">
        <f t="shared" si="190"/>
        <v>1</v>
      </c>
      <c r="BZ126" s="1343">
        <f t="shared" si="191"/>
        <v>1</v>
      </c>
      <c r="CA126" s="1344">
        <f t="shared" si="192"/>
        <v>1</v>
      </c>
      <c r="CB126" s="1345"/>
      <c r="CC126" s="1342">
        <f t="shared" si="193"/>
        <v>1</v>
      </c>
      <c r="CD126" s="1343">
        <f t="shared" si="194"/>
        <v>1</v>
      </c>
      <c r="CE126" s="1343">
        <f t="shared" si="195"/>
        <v>1</v>
      </c>
      <c r="CF126" s="1343">
        <f t="shared" si="196"/>
        <v>1</v>
      </c>
      <c r="CG126" s="1344">
        <f t="shared" si="197"/>
        <v>1</v>
      </c>
      <c r="CH126" s="1345"/>
      <c r="CI126" s="1342">
        <f t="shared" si="198"/>
        <v>1</v>
      </c>
      <c r="CJ126" s="1343">
        <f t="shared" si="199"/>
        <v>1</v>
      </c>
      <c r="CK126" s="1343">
        <f t="shared" si="200"/>
        <v>1</v>
      </c>
      <c r="CL126" s="1343">
        <f t="shared" si="201"/>
        <v>1</v>
      </c>
      <c r="CM126" s="1344">
        <f t="shared" si="202"/>
        <v>1</v>
      </c>
    </row>
    <row r="127" spans="1:91" s="97" customFormat="1">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c r="AA127" s="108"/>
      <c r="AB127" s="108"/>
      <c r="AC127" s="108"/>
      <c r="AD127" s="108"/>
      <c r="AE127" s="108"/>
      <c r="AF127" s="108"/>
      <c r="AG127" s="108"/>
      <c r="AH127" s="108"/>
      <c r="AI127" s="108"/>
      <c r="AJ127" s="108"/>
      <c r="AK127" s="108"/>
      <c r="AL127" s="108"/>
      <c r="AM127" s="108"/>
      <c r="AN127" s="108"/>
      <c r="AO127" s="108"/>
      <c r="AP127" s="108"/>
      <c r="AQ127" s="108"/>
      <c r="AR127" s="108"/>
      <c r="AS127" s="32"/>
      <c r="AT127" s="108"/>
      <c r="AU127" s="108"/>
      <c r="AV127" s="108"/>
      <c r="AW127" s="108"/>
      <c r="AX127" s="108"/>
      <c r="AY127" s="108"/>
      <c r="AZ127" s="108"/>
      <c r="BA127" s="108"/>
      <c r="BB127" s="108"/>
      <c r="BC127" s="108"/>
      <c r="BD127" s="108"/>
      <c r="BE127" s="108"/>
      <c r="BF127" s="108"/>
      <c r="BG127" s="108"/>
      <c r="BH127" s="108"/>
      <c r="BI127" s="108"/>
      <c r="BJ127" s="108"/>
      <c r="BK127" s="108"/>
      <c r="BL127" s="108"/>
      <c r="BM127" s="108"/>
      <c r="BN127" s="108"/>
      <c r="BO127" s="108"/>
      <c r="BP127" s="108"/>
      <c r="BQ127" s="108"/>
      <c r="BR127" s="108"/>
      <c r="BS127" s="108"/>
      <c r="BT127" s="108"/>
      <c r="BU127" s="108"/>
      <c r="BV127" s="108"/>
      <c r="BW127" s="108"/>
      <c r="BX127" s="108"/>
      <c r="BY127" s="108"/>
      <c r="BZ127" s="108"/>
      <c r="CA127" s="108"/>
      <c r="CB127" s="108"/>
      <c r="CC127" s="108"/>
      <c r="CD127" s="108"/>
      <c r="CE127" s="108"/>
      <c r="CF127" s="108"/>
      <c r="CG127" s="108"/>
      <c r="CH127" s="108"/>
      <c r="CI127" s="108"/>
      <c r="CJ127" s="108"/>
      <c r="CK127" s="108"/>
      <c r="CL127" s="108"/>
      <c r="CM127" s="108"/>
    </row>
    <row r="128" spans="1:91" s="97" customFormat="1" ht="13.5" customHeight="1">
      <c r="A128" s="1323" t="s">
        <v>496</v>
      </c>
      <c r="B128" s="1324"/>
      <c r="C128" s="1325"/>
      <c r="D128" s="1324"/>
      <c r="E128" s="1324"/>
      <c r="F128" s="1324"/>
      <c r="G128" s="1326"/>
      <c r="H128" s="1324"/>
      <c r="I128" s="1325"/>
      <c r="J128" s="1324"/>
      <c r="K128" s="1324"/>
      <c r="L128" s="1327"/>
      <c r="M128" s="1326"/>
      <c r="N128" s="1324"/>
      <c r="O128" s="1325"/>
      <c r="P128" s="1324"/>
      <c r="Q128" s="1324"/>
      <c r="R128" s="1327"/>
      <c r="S128" s="1326"/>
      <c r="T128" s="1324"/>
      <c r="U128" s="1325"/>
      <c r="V128" s="1324"/>
      <c r="W128" s="1324"/>
      <c r="X128" s="1324"/>
      <c r="Y128" s="1326"/>
      <c r="Z128" s="1324"/>
      <c r="AA128" s="1325"/>
      <c r="AB128" s="1324"/>
      <c r="AC128" s="1324"/>
      <c r="AD128" s="1327"/>
      <c r="AE128" s="1326"/>
      <c r="AF128" s="1324"/>
      <c r="AG128" s="1325"/>
      <c r="AH128" s="1324"/>
      <c r="AI128" s="1324"/>
      <c r="AJ128" s="1324"/>
      <c r="AK128" s="1326"/>
      <c r="AL128" s="1324"/>
      <c r="AM128" s="1325"/>
      <c r="AN128" s="1324"/>
      <c r="AO128" s="1324"/>
      <c r="AP128" s="1327"/>
      <c r="AQ128" s="1326"/>
      <c r="AR128" s="1324"/>
      <c r="AS128" s="1325"/>
      <c r="AT128" s="1324"/>
      <c r="AU128" s="1324"/>
      <c r="AV128" s="1324"/>
      <c r="AW128" s="1326"/>
      <c r="AX128" s="1324"/>
      <c r="AY128" s="1325"/>
      <c r="AZ128" s="1324"/>
      <c r="BA128" s="1324"/>
      <c r="BB128" s="1327"/>
      <c r="BC128" s="1326"/>
      <c r="BD128" s="1324"/>
      <c r="BE128" s="1325"/>
      <c r="BF128" s="1324"/>
      <c r="BG128" s="1324"/>
      <c r="BH128" s="1327"/>
      <c r="BI128" s="1326"/>
      <c r="BJ128" s="1324"/>
      <c r="BK128" s="1325"/>
      <c r="BL128" s="1324"/>
      <c r="BM128" s="1324"/>
      <c r="BN128" s="1324"/>
      <c r="BO128" s="1326"/>
      <c r="BP128" s="1324"/>
      <c r="BQ128" s="1325"/>
      <c r="BR128" s="1324"/>
      <c r="BS128" s="1324"/>
      <c r="BT128" s="1324"/>
      <c r="BU128" s="1326"/>
      <c r="BV128" s="1324"/>
      <c r="BW128" s="1325"/>
      <c r="BX128" s="1324"/>
      <c r="BY128" s="1324"/>
      <c r="BZ128" s="1324"/>
      <c r="CA128" s="1326"/>
      <c r="CB128" s="1324"/>
      <c r="CC128" s="1325"/>
      <c r="CD128" s="1324"/>
      <c r="CE128" s="1324"/>
      <c r="CF128" s="1324"/>
      <c r="CG128" s="1326"/>
      <c r="CH128" s="1324"/>
      <c r="CI128" s="1325"/>
      <c r="CJ128" s="1324"/>
      <c r="CK128" s="1324"/>
      <c r="CL128" s="1324"/>
      <c r="CM128" s="1326"/>
    </row>
    <row r="129" spans="1:91" s="224" customFormat="1">
      <c r="A129" s="1423" t="s">
        <v>396</v>
      </c>
      <c r="B129" s="45"/>
      <c r="C129" s="1431" t="s">
        <v>477</v>
      </c>
      <c r="D129" s="1333" t="s">
        <v>477</v>
      </c>
      <c r="E129" s="1333" t="s">
        <v>470</v>
      </c>
      <c r="F129" s="1424" t="s">
        <v>489</v>
      </c>
      <c r="G129" s="1400" t="s">
        <v>65</v>
      </c>
      <c r="H129" s="1330"/>
      <c r="I129" s="1435" t="s">
        <v>488</v>
      </c>
      <c r="J129" s="1333" t="s">
        <v>6</v>
      </c>
      <c r="K129" s="1424" t="s">
        <v>6</v>
      </c>
      <c r="L129" s="1333" t="s">
        <v>6</v>
      </c>
      <c r="M129" s="1331">
        <f>M105/G105-1</f>
        <v>-6.3986383217345844E-2</v>
      </c>
      <c r="N129" s="1330"/>
      <c r="O129" s="1431" t="s">
        <v>472</v>
      </c>
      <c r="P129" s="1424" t="s">
        <v>479</v>
      </c>
      <c r="Q129" s="1424" t="s">
        <v>485</v>
      </c>
      <c r="R129" s="1333" t="s">
        <v>479</v>
      </c>
      <c r="S129" s="1331">
        <f>S105/M105-1</f>
        <v>-2.9162013355951477E-2</v>
      </c>
      <c r="T129" s="1330"/>
      <c r="U129" s="1332" t="s">
        <v>475</v>
      </c>
      <c r="V129" s="1434" t="s">
        <v>474</v>
      </c>
      <c r="W129" s="1333" t="s">
        <v>476</v>
      </c>
      <c r="X129" s="1333" t="s">
        <v>477</v>
      </c>
      <c r="Y129" s="1331">
        <f>Y105/S105-1</f>
        <v>0.12340172215747591</v>
      </c>
      <c r="Z129" s="1330"/>
      <c r="AA129" s="1332" t="s">
        <v>470</v>
      </c>
      <c r="AB129" s="1333" t="s">
        <v>472</v>
      </c>
      <c r="AC129" s="1333" t="s">
        <v>471</v>
      </c>
      <c r="AD129" s="1333" t="s">
        <v>475</v>
      </c>
      <c r="AE129" s="1331">
        <f>AE105/Y105-1</f>
        <v>8.3461828386336201E-2</v>
      </c>
      <c r="AF129" s="1330"/>
      <c r="AG129" s="1332" t="s">
        <v>472</v>
      </c>
      <c r="AH129" s="1333" t="s">
        <v>470</v>
      </c>
      <c r="AI129" s="1333" t="s">
        <v>472</v>
      </c>
      <c r="AJ129" s="1333" t="s">
        <v>470</v>
      </c>
      <c r="AK129" s="1331">
        <f>AK105/AE105-1</f>
        <v>0.13377713546481429</v>
      </c>
      <c r="AL129" s="1330"/>
      <c r="AM129" s="1332" t="s">
        <v>472</v>
      </c>
      <c r="AN129" s="1333" t="s">
        <v>473</v>
      </c>
      <c r="AO129" s="1424" t="s">
        <v>471</v>
      </c>
      <c r="AP129" s="1333" t="s">
        <v>473</v>
      </c>
      <c r="AQ129" s="1331">
        <f>AQ105/AK105-1</f>
        <v>1.5415255586298526E-2</v>
      </c>
      <c r="AR129" s="1330"/>
      <c r="AS129" s="1332" t="s">
        <v>471</v>
      </c>
      <c r="AT129" s="1424" t="s">
        <v>471</v>
      </c>
      <c r="AU129" s="1424" t="s">
        <v>471</v>
      </c>
      <c r="AV129" s="1424" t="s">
        <v>470</v>
      </c>
      <c r="AW129" s="1400">
        <f>AW105/AQ105-1</f>
        <v>1.6417415696049931E-2</v>
      </c>
      <c r="AX129" s="1333"/>
      <c r="AY129" s="1690" t="s">
        <v>471</v>
      </c>
      <c r="AZ129" s="1424" t="s">
        <v>471</v>
      </c>
      <c r="BA129" s="1424" t="s">
        <v>471</v>
      </c>
      <c r="BB129" s="1424" t="s">
        <v>472</v>
      </c>
      <c r="BC129" s="1400">
        <f>BC105/AW105-1</f>
        <v>7.8833845878524489E-2</v>
      </c>
      <c r="BD129" s="1333"/>
      <c r="BE129" s="1431" t="s">
        <v>472</v>
      </c>
      <c r="BF129" s="1424" t="s">
        <v>473</v>
      </c>
      <c r="BG129" s="1424" t="s">
        <v>485</v>
      </c>
      <c r="BH129" s="1424" t="s">
        <v>473</v>
      </c>
      <c r="BI129" s="1400">
        <f>BI105/BC105-1</f>
        <v>-8.0703776216449752E-2</v>
      </c>
      <c r="BJ129" s="1333"/>
      <c r="BK129" s="1332" t="s">
        <v>473</v>
      </c>
      <c r="BL129" s="1424" t="s">
        <v>471</v>
      </c>
      <c r="BM129" s="1333" t="s">
        <v>471</v>
      </c>
      <c r="BN129" s="1424" t="s">
        <v>472</v>
      </c>
      <c r="BO129" s="1335"/>
      <c r="BP129" s="1333"/>
      <c r="BQ129" s="1332"/>
      <c r="BR129" s="1333"/>
      <c r="BS129" s="1333"/>
      <c r="BT129" s="1333"/>
      <c r="BU129" s="1335"/>
      <c r="BV129" s="1333"/>
      <c r="BW129" s="1332"/>
      <c r="BX129" s="1333"/>
      <c r="BY129" s="1333"/>
      <c r="BZ129" s="1333"/>
      <c r="CA129" s="1335"/>
      <c r="CB129" s="1333"/>
      <c r="CC129" s="1332"/>
      <c r="CD129" s="1333"/>
      <c r="CE129" s="1333"/>
      <c r="CF129" s="1333"/>
      <c r="CG129" s="1335"/>
      <c r="CH129" s="1333"/>
      <c r="CI129" s="1332"/>
      <c r="CJ129" s="1333"/>
      <c r="CK129" s="1333"/>
      <c r="CL129" s="1333"/>
      <c r="CM129" s="1335"/>
    </row>
    <row r="130" spans="1:91" s="224" customFormat="1">
      <c r="A130" s="1423" t="s">
        <v>398</v>
      </c>
      <c r="B130" s="45"/>
      <c r="C130" s="1431" t="s">
        <v>491</v>
      </c>
      <c r="D130" s="1333" t="s">
        <v>477</v>
      </c>
      <c r="E130" s="1424" t="s">
        <v>489</v>
      </c>
      <c r="F130" s="1424" t="s">
        <v>489</v>
      </c>
      <c r="G130" s="1400" t="s">
        <v>65</v>
      </c>
      <c r="H130" s="1330"/>
      <c r="I130" s="1435" t="s">
        <v>488</v>
      </c>
      <c r="J130" s="1333" t="s">
        <v>6</v>
      </c>
      <c r="K130" s="1424" t="s">
        <v>6</v>
      </c>
      <c r="L130" s="1333" t="s">
        <v>6</v>
      </c>
      <c r="M130" s="1331">
        <f>(M107+M110)/(G107+G110)-1</f>
        <v>0.26212223206377328</v>
      </c>
      <c r="N130" s="1330"/>
      <c r="O130" s="1332" t="s">
        <v>471</v>
      </c>
      <c r="P130" s="1424" t="s">
        <v>485</v>
      </c>
      <c r="Q130" s="1424" t="s">
        <v>473</v>
      </c>
      <c r="R130" s="1424" t="s">
        <v>476</v>
      </c>
      <c r="S130" s="1331">
        <f>(S107+S110)/(M107+M110)-1</f>
        <v>1.5259632713328752E-2</v>
      </c>
      <c r="T130" s="1330"/>
      <c r="U130" s="1332" t="s">
        <v>476</v>
      </c>
      <c r="V130" s="1425" t="s">
        <v>478</v>
      </c>
      <c r="W130" s="1333" t="s">
        <v>476</v>
      </c>
      <c r="X130" s="1333" t="s">
        <v>477</v>
      </c>
      <c r="Y130" s="1331">
        <f>(Y107+Y110)/(S107+S110)-1</f>
        <v>0.18245361793900505</v>
      </c>
      <c r="Z130" s="1330"/>
      <c r="AA130" s="1426" t="s">
        <v>478</v>
      </c>
      <c r="AB130" s="1425" t="s">
        <v>478</v>
      </c>
      <c r="AC130" s="1333" t="s">
        <v>470</v>
      </c>
      <c r="AD130" s="1333" t="s">
        <v>477</v>
      </c>
      <c r="AE130" s="1331">
        <f>(AE107+AE110)/(Y107+Y110)-1</f>
        <v>0.18778089033760614</v>
      </c>
      <c r="AF130" s="1330"/>
      <c r="AG130" s="1332" t="s">
        <v>476</v>
      </c>
      <c r="AH130" s="1333" t="s">
        <v>470</v>
      </c>
      <c r="AI130" s="1424" t="s">
        <v>480</v>
      </c>
      <c r="AJ130" s="1333" t="s">
        <v>470</v>
      </c>
      <c r="AK130" s="1331">
        <f>(AK107+AK110)/(AE107+AE110)-1</f>
        <v>0.3021592081328599</v>
      </c>
      <c r="AL130" s="1330"/>
      <c r="AM130" s="1332" t="s">
        <v>473</v>
      </c>
      <c r="AN130" s="1333" t="s">
        <v>476</v>
      </c>
      <c r="AO130" s="1333" t="s">
        <v>472</v>
      </c>
      <c r="AP130" s="1333" t="s">
        <v>470</v>
      </c>
      <c r="AQ130" s="1331">
        <f>(AQ107+AQ110)/(AK107+AK110)-1</f>
        <v>5.9835210522337201E-2</v>
      </c>
      <c r="AR130" s="1330" t="s">
        <v>79</v>
      </c>
      <c r="AS130" s="1426" t="s">
        <v>474</v>
      </c>
      <c r="AT130" s="1424" t="s">
        <v>472</v>
      </c>
      <c r="AU130" s="1424" t="s">
        <v>470</v>
      </c>
      <c r="AV130" s="1424" t="s">
        <v>471</v>
      </c>
      <c r="AW130" s="1400">
        <f>(AW107+AW110)/(AQ107+AQ110)-1</f>
        <v>5.5709615022509817E-2</v>
      </c>
      <c r="AX130" s="1333"/>
      <c r="AY130" s="1431" t="s">
        <v>472</v>
      </c>
      <c r="AZ130" s="1424" t="s">
        <v>471</v>
      </c>
      <c r="BA130" s="1424" t="s">
        <v>471</v>
      </c>
      <c r="BB130" s="1424" t="s">
        <v>470</v>
      </c>
      <c r="BC130" s="1400">
        <f>(BC107+BC110)/(AW107+AW110)-1</f>
        <v>4.1881845525225447E-2</v>
      </c>
      <c r="BD130" s="1333"/>
      <c r="BE130" s="1431" t="s">
        <v>470</v>
      </c>
      <c r="BF130" s="1424" t="s">
        <v>477</v>
      </c>
      <c r="BG130" s="1424" t="s">
        <v>477</v>
      </c>
      <c r="BH130" s="1424" t="s">
        <v>470</v>
      </c>
      <c r="BI130" s="1400">
        <f>(BI107+BI110)/(BC107+BC110)-1</f>
        <v>4.4532459751153608E-2</v>
      </c>
      <c r="BJ130" s="1333"/>
      <c r="BK130" s="1431" t="s">
        <v>555</v>
      </c>
      <c r="BL130" s="1333" t="s">
        <v>475</v>
      </c>
      <c r="BM130" s="1424" t="s">
        <v>470</v>
      </c>
      <c r="BN130" s="1333" t="s">
        <v>470</v>
      </c>
      <c r="BO130" s="1335"/>
      <c r="BP130" s="1333"/>
      <c r="BQ130" s="1332"/>
      <c r="BR130" s="1333"/>
      <c r="BS130" s="1333"/>
      <c r="BT130" s="1333"/>
      <c r="BU130" s="1335"/>
      <c r="BV130" s="1333"/>
      <c r="BW130" s="1332"/>
      <c r="BX130" s="1333"/>
      <c r="BY130" s="1333"/>
      <c r="BZ130" s="1333"/>
      <c r="CA130" s="1335"/>
      <c r="CB130" s="1333"/>
      <c r="CC130" s="1332"/>
      <c r="CD130" s="1333"/>
      <c r="CE130" s="1333"/>
      <c r="CF130" s="1333"/>
      <c r="CG130" s="1335"/>
      <c r="CH130" s="1333"/>
      <c r="CI130" s="1332"/>
      <c r="CJ130" s="1333"/>
      <c r="CK130" s="1333"/>
      <c r="CL130" s="1333"/>
      <c r="CM130" s="1335"/>
    </row>
    <row r="131" spans="1:91" s="224" customFormat="1">
      <c r="A131" s="1348" t="str">
        <f>A119</f>
        <v>China</v>
      </c>
      <c r="B131" s="45"/>
      <c r="C131" s="1332" t="s">
        <v>490</v>
      </c>
      <c r="D131" s="1424" t="s">
        <v>6</v>
      </c>
      <c r="E131" s="1424" t="s">
        <v>6</v>
      </c>
      <c r="F131" s="1424" t="s">
        <v>489</v>
      </c>
      <c r="G131" s="1400" t="s">
        <v>65</v>
      </c>
      <c r="H131" s="1330"/>
      <c r="I131" s="1435" t="s">
        <v>488</v>
      </c>
      <c r="J131" s="1333" t="s">
        <v>6</v>
      </c>
      <c r="K131" s="1424" t="s">
        <v>6</v>
      </c>
      <c r="L131" s="1424" t="s">
        <v>6</v>
      </c>
      <c r="M131" s="1331">
        <f>M107/G107-1</f>
        <v>0.32011249729573832</v>
      </c>
      <c r="N131" s="1330"/>
      <c r="O131" s="1431" t="s">
        <v>6</v>
      </c>
      <c r="P131" s="1424" t="s">
        <v>486</v>
      </c>
      <c r="Q131" s="1333" t="s">
        <v>477</v>
      </c>
      <c r="R131" s="1424" t="s">
        <v>480</v>
      </c>
      <c r="S131" s="1331">
        <f>S107/M107-1</f>
        <v>0.13965912815470349</v>
      </c>
      <c r="T131" s="1330"/>
      <c r="U131" s="1426" t="s">
        <v>478</v>
      </c>
      <c r="V131" s="1424" t="s">
        <v>480</v>
      </c>
      <c r="W131" s="1424" t="s">
        <v>480</v>
      </c>
      <c r="X131" s="1424" t="s">
        <v>480</v>
      </c>
      <c r="Y131" s="1331">
        <f>Y107/S107-1</f>
        <v>0.2610221161312587</v>
      </c>
      <c r="Z131" s="1330"/>
      <c r="AA131" s="1332" t="s">
        <v>477</v>
      </c>
      <c r="AB131" s="1424" t="s">
        <v>477</v>
      </c>
      <c r="AC131" s="1424" t="s">
        <v>480</v>
      </c>
      <c r="AD131" s="1424" t="s">
        <v>480</v>
      </c>
      <c r="AE131" s="1331">
        <f>AE107/Y107-1</f>
        <v>0.24679757642103972</v>
      </c>
      <c r="AF131" s="1330"/>
      <c r="AG131" s="1332" t="s">
        <v>480</v>
      </c>
      <c r="AH131" s="1424" t="s">
        <v>480</v>
      </c>
      <c r="AI131" s="1424" t="s">
        <v>480</v>
      </c>
      <c r="AJ131" s="1424" t="s">
        <v>480</v>
      </c>
      <c r="AK131" s="1331">
        <f>AK107/AE107-1</f>
        <v>0.31962440169507045</v>
      </c>
      <c r="AL131" s="1330"/>
      <c r="AM131" s="1431" t="s">
        <v>486</v>
      </c>
      <c r="AN131" s="1425" t="s">
        <v>478</v>
      </c>
      <c r="AO131" s="1333" t="s">
        <v>476</v>
      </c>
      <c r="AP131" s="1424" t="s">
        <v>477</v>
      </c>
      <c r="AQ131" s="1331">
        <f>AQ107/AK107-1</f>
        <v>0.17748873743791149</v>
      </c>
      <c r="AR131" s="1330"/>
      <c r="AS131" s="1332" t="s">
        <v>476</v>
      </c>
      <c r="AT131" s="1424" t="s">
        <v>470</v>
      </c>
      <c r="AU131" s="1424" t="s">
        <v>470</v>
      </c>
      <c r="AV131" s="1424" t="s">
        <v>471</v>
      </c>
      <c r="AW131" s="1400">
        <f>AW107/AQ107-1</f>
        <v>8.3943524906018752E-2</v>
      </c>
      <c r="AX131" s="1333"/>
      <c r="AY131" s="1431" t="s">
        <v>470</v>
      </c>
      <c r="AZ131" s="1424" t="s">
        <v>477</v>
      </c>
      <c r="BA131" s="1424" t="s">
        <v>470</v>
      </c>
      <c r="BB131" s="1424" t="s">
        <v>477</v>
      </c>
      <c r="BC131" s="1400">
        <f>BC107/AW107-1</f>
        <v>0.13280599500416312</v>
      </c>
      <c r="BD131" s="1333"/>
      <c r="BE131" s="1431" t="s">
        <v>470</v>
      </c>
      <c r="BF131" s="1424" t="s">
        <v>477</v>
      </c>
      <c r="BG131" s="1424" t="s">
        <v>477</v>
      </c>
      <c r="BH131" s="1424" t="s">
        <v>470</v>
      </c>
      <c r="BI131" s="1400">
        <f>BI107/BC107-1</f>
        <v>7.6100538484892066E-2</v>
      </c>
      <c r="BJ131" s="1333"/>
      <c r="BK131" s="1332" t="s">
        <v>555</v>
      </c>
      <c r="BL131" s="1424" t="s">
        <v>477</v>
      </c>
      <c r="BM131" s="1424" t="s">
        <v>695</v>
      </c>
      <c r="BN131" s="1333" t="s">
        <v>695</v>
      </c>
      <c r="BO131" s="1335"/>
      <c r="BP131" s="1333"/>
      <c r="BQ131" s="1332"/>
      <c r="BR131" s="1333"/>
      <c r="BS131" s="1333"/>
      <c r="BT131" s="1333"/>
      <c r="BU131" s="1335"/>
      <c r="BV131" s="1333"/>
      <c r="BW131" s="1332"/>
      <c r="BX131" s="1333"/>
      <c r="BY131" s="1333"/>
      <c r="BZ131" s="1333"/>
      <c r="CA131" s="1335"/>
      <c r="CB131" s="1333"/>
      <c r="CC131" s="1332"/>
      <c r="CD131" s="1333"/>
      <c r="CE131" s="1333"/>
      <c r="CF131" s="1333"/>
      <c r="CG131" s="1335"/>
      <c r="CH131" s="1333"/>
      <c r="CI131" s="1332"/>
      <c r="CJ131" s="1333"/>
      <c r="CK131" s="1333"/>
      <c r="CL131" s="1333"/>
      <c r="CM131" s="1335"/>
    </row>
    <row r="132" spans="1:91" s="224" customFormat="1">
      <c r="A132" s="1328" t="s">
        <v>397</v>
      </c>
      <c r="B132" s="45"/>
      <c r="C132" s="1431" t="s">
        <v>477</v>
      </c>
      <c r="D132" s="1333" t="s">
        <v>477</v>
      </c>
      <c r="E132" s="1424" t="s">
        <v>489</v>
      </c>
      <c r="F132" s="1424" t="s">
        <v>489</v>
      </c>
      <c r="G132" s="1400" t="s">
        <v>65</v>
      </c>
      <c r="H132" s="1330"/>
      <c r="I132" s="1435" t="s">
        <v>488</v>
      </c>
      <c r="J132" s="1333" t="s">
        <v>6</v>
      </c>
      <c r="K132" s="1424" t="s">
        <v>6</v>
      </c>
      <c r="L132" s="1424" t="s">
        <v>6</v>
      </c>
      <c r="M132" s="1331">
        <f>SUM(M108,M109,M111,M112)/SUM(G108,G109,G111,G112)-1</f>
        <v>8.7131073415362748E-2</v>
      </c>
      <c r="N132" s="1330"/>
      <c r="O132" s="1431" t="s">
        <v>485</v>
      </c>
      <c r="P132" s="1333" t="s">
        <v>484</v>
      </c>
      <c r="Q132" s="1333" t="s">
        <v>484</v>
      </c>
      <c r="R132" s="1424" t="s">
        <v>484</v>
      </c>
      <c r="S132" s="1331">
        <f>SUM(S108,S109,S111,S112)/SUM(M108,M109,M111,M112)-1</f>
        <v>-0.29102439680198977</v>
      </c>
      <c r="T132" s="1330"/>
      <c r="U132" s="1332" t="s">
        <v>472</v>
      </c>
      <c r="V132" s="1424" t="s">
        <v>470</v>
      </c>
      <c r="W132" s="1424" t="s">
        <v>470</v>
      </c>
      <c r="X132" s="1425" t="s">
        <v>482</v>
      </c>
      <c r="Y132" s="1331">
        <f>SUM(Y108,Y109,Y111,Y112)/SUM(S108,S109,S111,S112)-1</f>
        <v>-1.6304943630464863E-2</v>
      </c>
      <c r="Z132" s="1330"/>
      <c r="AA132" s="1332" t="s">
        <v>470</v>
      </c>
      <c r="AB132" s="1424" t="s">
        <v>472</v>
      </c>
      <c r="AC132" s="1424" t="s">
        <v>472</v>
      </c>
      <c r="AD132" s="1424" t="s">
        <v>477</v>
      </c>
      <c r="AE132" s="1331">
        <f>SUM(AE108,AE109,AE111,AE112)/SUM(Y108,Y109,Y111,Y112)-1</f>
        <v>0.13299919880000743</v>
      </c>
      <c r="AF132" s="1330"/>
      <c r="AG132" s="1332" t="s">
        <v>471</v>
      </c>
      <c r="AH132" s="1424" t="s">
        <v>473</v>
      </c>
      <c r="AI132" s="1424" t="s">
        <v>472</v>
      </c>
      <c r="AJ132" s="1424" t="s">
        <v>479</v>
      </c>
      <c r="AK132" s="1331">
        <f>SUM(AK108,AK109,AK111,AK112)/SUM(AE108,AE109,AE111,AE112)-1</f>
        <v>5.8007539385045437E-3</v>
      </c>
      <c r="AL132" s="1330"/>
      <c r="AM132" s="1431" t="s">
        <v>479</v>
      </c>
      <c r="AN132" s="1424" t="s">
        <v>472</v>
      </c>
      <c r="AO132" s="1333" t="s">
        <v>473</v>
      </c>
      <c r="AP132" s="1424" t="s">
        <v>470</v>
      </c>
      <c r="AQ132" s="1331">
        <f>SUM(AQ108,AQ109,AQ111,AQ112)/SUM(AK108,AK109,AK111,AK112)-1</f>
        <v>3.7698895173653435E-2</v>
      </c>
      <c r="AR132" s="1330"/>
      <c r="AS132" s="1332" t="s">
        <v>475</v>
      </c>
      <c r="AT132" s="1424" t="s">
        <v>473</v>
      </c>
      <c r="AU132" s="1424" t="s">
        <v>472</v>
      </c>
      <c r="AV132" s="1424" t="s">
        <v>471</v>
      </c>
      <c r="AW132" s="1400">
        <f>SUM(AW108,AW109,AW111,AW112)/SUM(AQ108,AQ109,AQ111,AQ112)-1</f>
        <v>4.9594628670692753E-2</v>
      </c>
      <c r="AX132" s="1333"/>
      <c r="AY132" s="1431" t="s">
        <v>472</v>
      </c>
      <c r="AZ132" s="1424" t="s">
        <v>472</v>
      </c>
      <c r="BA132" s="1424" t="s">
        <v>470</v>
      </c>
      <c r="BB132" s="1424" t="s">
        <v>475</v>
      </c>
      <c r="BC132" s="1400">
        <f>SUM(BC108,BC109,BC111,BC112)/SUM(AW108,AW109,AW111,AW112)-1</f>
        <v>-0.10797817867664516</v>
      </c>
      <c r="BD132" s="1333"/>
      <c r="BE132" s="1431" t="s">
        <v>471</v>
      </c>
      <c r="BF132" s="1424" t="s">
        <v>472</v>
      </c>
      <c r="BG132" s="1424" t="s">
        <v>485</v>
      </c>
      <c r="BH132" s="1333" t="s">
        <v>475</v>
      </c>
      <c r="BI132" s="1400">
        <f>SUM(BI108,BI109,BI111,BI112)/SUM(BC108,BC109,BC111,BC112)-1</f>
        <v>-0.18984762459226479</v>
      </c>
      <c r="BJ132" s="1333"/>
      <c r="BK132" s="1431" t="s">
        <v>472</v>
      </c>
      <c r="BL132" s="1424" t="s">
        <v>472</v>
      </c>
      <c r="BM132" s="1333" t="s">
        <v>472</v>
      </c>
      <c r="BN132" s="1424" t="s">
        <v>722</v>
      </c>
      <c r="BO132" s="1335"/>
      <c r="BP132" s="1333"/>
      <c r="BQ132" s="1332"/>
      <c r="BR132" s="1333"/>
      <c r="BS132" s="1333"/>
      <c r="BT132" s="1333"/>
      <c r="BU132" s="1335"/>
      <c r="BV132" s="1333"/>
      <c r="BW132" s="1332"/>
      <c r="BX132" s="1333"/>
      <c r="BY132" s="1333"/>
      <c r="BZ132" s="1333"/>
      <c r="CA132" s="1335"/>
      <c r="CB132" s="1333"/>
      <c r="CC132" s="1332"/>
      <c r="CD132" s="1333"/>
      <c r="CE132" s="1333"/>
      <c r="CF132" s="1333"/>
      <c r="CG132" s="1335"/>
      <c r="CH132" s="1333"/>
      <c r="CI132" s="1332"/>
      <c r="CJ132" s="1333"/>
      <c r="CK132" s="1333"/>
      <c r="CL132" s="1333"/>
      <c r="CM132" s="1335"/>
    </row>
    <row r="133" spans="1:91" s="224" customFormat="1">
      <c r="A133" s="1009" t="s">
        <v>483</v>
      </c>
      <c r="B133" s="1361"/>
      <c r="C133" s="1427" t="s">
        <v>490</v>
      </c>
      <c r="D133" s="1429" t="s">
        <v>6</v>
      </c>
      <c r="E133" s="1429" t="s">
        <v>6</v>
      </c>
      <c r="F133" s="1437" t="s">
        <v>489</v>
      </c>
      <c r="G133" s="1403" t="s">
        <v>65</v>
      </c>
      <c r="H133" s="1362"/>
      <c r="I133" s="1436" t="s">
        <v>488</v>
      </c>
      <c r="J133" s="1428" t="s">
        <v>6</v>
      </c>
      <c r="K133" s="1429" t="s">
        <v>487</v>
      </c>
      <c r="L133" s="1429" t="s">
        <v>6</v>
      </c>
      <c r="M133" s="1438" t="s">
        <v>6</v>
      </c>
      <c r="N133" s="1362"/>
      <c r="O133" s="1432" t="s">
        <v>6</v>
      </c>
      <c r="P133" s="1429" t="s">
        <v>6</v>
      </c>
      <c r="Q133" s="1429" t="s">
        <v>6</v>
      </c>
      <c r="R133" s="1429" t="s">
        <v>480</v>
      </c>
      <c r="S133" s="1438" t="s">
        <v>6</v>
      </c>
      <c r="T133" s="1362"/>
      <c r="U133" s="1427" t="s">
        <v>476</v>
      </c>
      <c r="V133" s="1428" t="s">
        <v>481</v>
      </c>
      <c r="W133" s="1429" t="s">
        <v>480</v>
      </c>
      <c r="X133" s="1429" t="s">
        <v>480</v>
      </c>
      <c r="Y133" s="1438" t="s">
        <v>6</v>
      </c>
      <c r="Z133" s="1362"/>
      <c r="AA133" s="1427" t="s">
        <v>477</v>
      </c>
      <c r="AB133" s="1429" t="s">
        <v>477</v>
      </c>
      <c r="AC133" s="1429" t="s">
        <v>477</v>
      </c>
      <c r="AD133" s="1428" t="s">
        <v>480</v>
      </c>
      <c r="AE133" s="1438" t="s">
        <v>6</v>
      </c>
      <c r="AF133" s="1362"/>
      <c r="AG133" s="1427" t="s">
        <v>480</v>
      </c>
      <c r="AH133" s="1433" t="s">
        <v>478</v>
      </c>
      <c r="AI133" s="1428" t="s">
        <v>480</v>
      </c>
      <c r="AJ133" s="1429" t="s">
        <v>6</v>
      </c>
      <c r="AK133" s="1438" t="s">
        <v>6</v>
      </c>
      <c r="AL133" s="1362" t="s">
        <v>79</v>
      </c>
      <c r="AM133" s="1432" t="s">
        <v>6</v>
      </c>
      <c r="AN133" s="1433" t="s">
        <v>474</v>
      </c>
      <c r="AO133" s="1429" t="s">
        <v>6</v>
      </c>
      <c r="AP133" s="1429" t="s">
        <v>6</v>
      </c>
      <c r="AQ133" s="1438" t="s">
        <v>6</v>
      </c>
      <c r="AR133" s="1362"/>
      <c r="AS133" s="1432" t="s">
        <v>6</v>
      </c>
      <c r="AT133" s="1429" t="s">
        <v>6</v>
      </c>
      <c r="AU133" s="1429" t="s">
        <v>6</v>
      </c>
      <c r="AV133" s="1429" t="s">
        <v>6</v>
      </c>
      <c r="AW133" s="1438" t="s">
        <v>6</v>
      </c>
      <c r="AX133" s="1428"/>
      <c r="AY133" s="1432" t="s">
        <v>6</v>
      </c>
      <c r="AZ133" s="1429" t="s">
        <v>6</v>
      </c>
      <c r="BA133" s="1429" t="s">
        <v>6</v>
      </c>
      <c r="BB133" s="1428" t="s">
        <v>477</v>
      </c>
      <c r="BC133" s="1438" t="s">
        <v>6</v>
      </c>
      <c r="BD133" s="1428"/>
      <c r="BE133" s="1432" t="s">
        <v>470</v>
      </c>
      <c r="BF133" s="1758" t="s">
        <v>474</v>
      </c>
      <c r="BG133" s="1429" t="s">
        <v>470</v>
      </c>
      <c r="BH133" s="1429" t="s">
        <v>470</v>
      </c>
      <c r="BI133" s="1438" t="s">
        <v>6</v>
      </c>
      <c r="BJ133" s="1428"/>
      <c r="BK133" s="1427" t="s">
        <v>554</v>
      </c>
      <c r="BL133" s="1758" t="s">
        <v>674</v>
      </c>
      <c r="BM133" s="1428" t="s">
        <v>490</v>
      </c>
      <c r="BN133" s="1428" t="s">
        <v>490</v>
      </c>
      <c r="BO133" s="1430"/>
      <c r="BP133" s="1428"/>
      <c r="BQ133" s="1427"/>
      <c r="BR133" s="1428"/>
      <c r="BS133" s="1428"/>
      <c r="BT133" s="1428"/>
      <c r="BU133" s="1430"/>
      <c r="BV133" s="1428"/>
      <c r="BW133" s="1427"/>
      <c r="BX133" s="1428"/>
      <c r="BY133" s="1428"/>
      <c r="BZ133" s="1428"/>
      <c r="CA133" s="1430"/>
      <c r="CB133" s="1428"/>
      <c r="CC133" s="1427"/>
      <c r="CD133" s="1428"/>
      <c r="CE133" s="1428"/>
      <c r="CF133" s="1428"/>
      <c r="CG133" s="1430"/>
      <c r="CH133" s="1428"/>
      <c r="CI133" s="1427"/>
      <c r="CJ133" s="1428"/>
      <c r="CK133" s="1428"/>
      <c r="CL133" s="1428"/>
      <c r="CM133" s="1430"/>
    </row>
    <row r="134" spans="1:91" s="97" customFormat="1">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c r="AA134" s="108"/>
      <c r="AB134" s="108"/>
      <c r="AC134" s="108"/>
      <c r="AD134" s="108"/>
      <c r="AE134" s="108"/>
      <c r="AF134" s="108"/>
      <c r="AG134" s="108"/>
      <c r="AH134" s="108"/>
      <c r="AI134" s="108"/>
      <c r="AJ134" s="108"/>
      <c r="AK134" s="108"/>
      <c r="AL134" s="108"/>
      <c r="AM134" s="108"/>
      <c r="AN134" s="108"/>
      <c r="AO134" s="108"/>
      <c r="AP134" s="108"/>
      <c r="AQ134" s="108"/>
      <c r="AR134" s="108"/>
      <c r="AS134" s="108"/>
      <c r="AT134" s="108"/>
      <c r="AU134" s="108"/>
      <c r="AV134" s="108"/>
      <c r="AW134" s="108"/>
      <c r="AX134" s="108"/>
      <c r="AY134" s="108"/>
      <c r="AZ134" s="108"/>
      <c r="BA134" s="108"/>
      <c r="BB134" s="108"/>
      <c r="BC134" s="108"/>
      <c r="BD134" s="108"/>
      <c r="BE134" s="108"/>
      <c r="BF134" s="108"/>
      <c r="BG134" s="108"/>
      <c r="BH134" s="108"/>
      <c r="BI134" s="108"/>
      <c r="BJ134" s="108"/>
      <c r="BK134" s="108"/>
      <c r="BL134" s="108"/>
      <c r="BM134" s="108"/>
      <c r="BN134" s="108"/>
      <c r="BO134" s="108"/>
      <c r="BP134" s="108"/>
      <c r="BQ134" s="108"/>
      <c r="BR134" s="108"/>
      <c r="BS134" s="108"/>
      <c r="BT134" s="108"/>
      <c r="BU134" s="108"/>
      <c r="BV134" s="108"/>
      <c r="BW134" s="108"/>
      <c r="BX134" s="108"/>
      <c r="BY134" s="108"/>
      <c r="BZ134" s="108"/>
      <c r="CA134" s="108"/>
      <c r="CB134" s="108"/>
      <c r="CC134" s="108"/>
      <c r="CD134" s="108"/>
      <c r="CE134" s="108"/>
      <c r="CF134" s="108"/>
      <c r="CG134" s="108"/>
      <c r="CH134" s="108"/>
      <c r="CI134" s="108"/>
      <c r="CJ134" s="108"/>
      <c r="CK134" s="108"/>
      <c r="CL134" s="108"/>
      <c r="CM134" s="108"/>
    </row>
    <row r="135" spans="1:91" s="97" customFormat="1">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c r="AA135" s="108"/>
      <c r="AB135" s="108"/>
      <c r="AC135" s="108"/>
      <c r="AD135" s="108"/>
      <c r="AE135" s="108"/>
      <c r="AF135" s="108"/>
      <c r="AG135" s="108"/>
      <c r="AH135" s="108"/>
      <c r="AI135" s="108"/>
      <c r="AJ135" s="108"/>
      <c r="AK135" s="108"/>
      <c r="AL135" s="108"/>
      <c r="AM135" s="108"/>
      <c r="AN135" s="108"/>
      <c r="AO135" s="108"/>
      <c r="AP135" s="108"/>
      <c r="AQ135" s="108"/>
      <c r="AR135" s="108"/>
      <c r="AS135" s="108"/>
      <c r="AT135" s="108"/>
      <c r="AU135" s="108"/>
      <c r="AV135" s="108"/>
      <c r="AW135" s="108"/>
      <c r="AX135" s="108"/>
      <c r="AY135" s="108"/>
      <c r="AZ135" s="108"/>
      <c r="BA135" s="108"/>
      <c r="BB135" s="108"/>
      <c r="BC135" s="108"/>
      <c r="BD135" s="108"/>
      <c r="BE135" s="108"/>
      <c r="BF135" s="108"/>
      <c r="BG135" s="108"/>
      <c r="BH135" s="108"/>
      <c r="BI135" s="108"/>
      <c r="BJ135" s="108"/>
      <c r="BK135" s="108"/>
      <c r="BL135" s="108"/>
      <c r="BM135" s="108"/>
      <c r="BN135" s="108"/>
      <c r="BO135" s="108"/>
      <c r="BP135" s="108"/>
      <c r="BQ135" s="108"/>
      <c r="BR135" s="108"/>
      <c r="BS135" s="108"/>
      <c r="BT135" s="108"/>
      <c r="BU135" s="108"/>
      <c r="BV135" s="108"/>
      <c r="BW135" s="108"/>
      <c r="BX135" s="108"/>
      <c r="BY135" s="108"/>
      <c r="BZ135" s="108"/>
      <c r="CA135" s="108"/>
      <c r="CB135" s="108"/>
      <c r="CC135" s="108"/>
      <c r="CD135" s="108"/>
      <c r="CE135" s="108"/>
      <c r="CF135" s="108"/>
      <c r="CG135" s="108"/>
      <c r="CH135" s="108"/>
      <c r="CI135" s="108"/>
      <c r="CJ135" s="108"/>
      <c r="CK135" s="108"/>
      <c r="CL135" s="108"/>
      <c r="CM135" s="108"/>
    </row>
    <row r="136" spans="1:91" s="97" customFormat="1">
      <c r="A136" s="1323" t="s">
        <v>496</v>
      </c>
      <c r="B136" s="1324"/>
      <c r="C136" s="1325"/>
      <c r="D136" s="1324"/>
      <c r="E136" s="1324"/>
      <c r="F136" s="1324"/>
      <c r="G136" s="1326"/>
      <c r="H136" s="1324"/>
      <c r="I136" s="1325"/>
      <c r="J136" s="1324"/>
      <c r="K136" s="1324"/>
      <c r="L136" s="1327"/>
      <c r="M136" s="1326"/>
      <c r="N136" s="1324"/>
      <c r="O136" s="1325"/>
      <c r="P136" s="1324"/>
      <c r="Q136" s="1324"/>
      <c r="R136" s="1327"/>
      <c r="S136" s="1326"/>
      <c r="T136" s="1324"/>
      <c r="U136" s="1325"/>
      <c r="V136" s="1324"/>
      <c r="W136" s="1324"/>
      <c r="X136" s="1324"/>
      <c r="Y136" s="1326"/>
      <c r="Z136" s="1324"/>
      <c r="AA136" s="1325"/>
      <c r="AB136" s="1324"/>
      <c r="AC136" s="1324"/>
      <c r="AD136" s="1327"/>
      <c r="AE136" s="1326"/>
      <c r="AF136" s="1324"/>
      <c r="AG136" s="1325"/>
      <c r="AH136" s="1324"/>
      <c r="AI136" s="1324"/>
      <c r="AJ136" s="1324"/>
      <c r="AK136" s="1326"/>
      <c r="AL136" s="1324"/>
      <c r="AM136" s="1325"/>
      <c r="AN136" s="1324"/>
      <c r="AO136" s="1324"/>
      <c r="AP136" s="1327"/>
      <c r="AQ136" s="1326"/>
      <c r="AR136" s="1324"/>
      <c r="AS136" s="1325"/>
      <c r="AT136" s="1324"/>
      <c r="AU136" s="1324"/>
      <c r="AV136" s="1324"/>
      <c r="AW136" s="1326"/>
      <c r="AX136" s="1324"/>
      <c r="AY136" s="1325"/>
      <c r="AZ136" s="1324"/>
      <c r="BA136" s="1324"/>
      <c r="BB136" s="1327"/>
      <c r="BC136" s="1326"/>
      <c r="BD136" s="1324"/>
      <c r="BE136" s="1325"/>
      <c r="BF136" s="1324"/>
      <c r="BG136" s="1324"/>
      <c r="BH136" s="1327"/>
      <c r="BI136" s="1326"/>
      <c r="BJ136" s="1324"/>
      <c r="BK136" s="1325"/>
      <c r="BL136" s="1324"/>
      <c r="BM136" s="1324"/>
      <c r="BN136" s="1324"/>
      <c r="BO136" s="1326"/>
      <c r="BP136" s="1324"/>
      <c r="BQ136" s="1325"/>
      <c r="BR136" s="1324"/>
      <c r="BS136" s="1324"/>
      <c r="BT136" s="1324"/>
      <c r="BU136" s="1326"/>
      <c r="BV136" s="1324"/>
      <c r="BW136" s="1325"/>
      <c r="BX136" s="1324"/>
      <c r="BY136" s="1324"/>
      <c r="BZ136" s="1324"/>
      <c r="CA136" s="1326"/>
      <c r="CB136" s="1324"/>
      <c r="CC136" s="1325"/>
      <c r="CD136" s="1324"/>
      <c r="CE136" s="1324"/>
      <c r="CF136" s="1324"/>
      <c r="CG136" s="1326"/>
      <c r="CH136" s="1324"/>
      <c r="CI136" s="1325"/>
      <c r="CJ136" s="1324"/>
      <c r="CK136" s="1324"/>
      <c r="CL136" s="1324"/>
      <c r="CM136" s="1326"/>
    </row>
    <row r="137" spans="1:91" s="224" customFormat="1">
      <c r="A137" s="1328" t="s">
        <v>396</v>
      </c>
      <c r="B137" s="45"/>
      <c r="C137" s="1329"/>
      <c r="D137" s="1330"/>
      <c r="E137" s="1330"/>
      <c r="F137" s="1330"/>
      <c r="G137" s="1331"/>
      <c r="H137" s="1330"/>
      <c r="I137" s="1329"/>
      <c r="J137" s="1330"/>
      <c r="K137" s="1330"/>
      <c r="L137" s="1330"/>
      <c r="M137" s="1331"/>
      <c r="N137" s="1330"/>
      <c r="O137" s="1329"/>
      <c r="P137" s="1330"/>
      <c r="Q137" s="1330"/>
      <c r="R137" s="1330"/>
      <c r="S137" s="1331"/>
      <c r="T137" s="1330"/>
      <c r="U137" s="1332"/>
      <c r="V137" s="1333"/>
      <c r="W137" s="1333"/>
      <c r="X137" s="1333"/>
      <c r="Y137" s="1331"/>
      <c r="Z137" s="1330"/>
      <c r="AA137" s="1431">
        <v>0.08</v>
      </c>
      <c r="AB137" s="1424">
        <v>0.02</v>
      </c>
      <c r="AC137" s="1424">
        <v>0.05</v>
      </c>
      <c r="AD137" s="1333">
        <v>0</v>
      </c>
      <c r="AE137" s="1331"/>
      <c r="AF137" s="1330"/>
      <c r="AG137" s="1332">
        <v>0.02</v>
      </c>
      <c r="AH137" s="1333">
        <v>0.08</v>
      </c>
      <c r="AI137" s="1333">
        <v>0.02</v>
      </c>
      <c r="AJ137" s="1333">
        <v>0.08</v>
      </c>
      <c r="AK137" s="1331"/>
      <c r="AL137" s="1330"/>
      <c r="AM137" s="1332">
        <v>0.02</v>
      </c>
      <c r="AN137" s="1333">
        <v>-0.02</v>
      </c>
      <c r="AO137" s="1333">
        <v>0.05</v>
      </c>
      <c r="AP137" s="1333">
        <v>-0.02</v>
      </c>
      <c r="AQ137" s="1331">
        <f>+AVERAGE(AM137:AP137)</f>
        <v>7.5000000000000006E-3</v>
      </c>
      <c r="AR137" s="1330"/>
      <c r="AS137" s="1332">
        <v>0.05</v>
      </c>
      <c r="AT137" s="1333">
        <v>0.05</v>
      </c>
      <c r="AU137" s="1333">
        <v>0.05</v>
      </c>
      <c r="AV137" s="1333">
        <v>0.08</v>
      </c>
      <c r="AW137" s="1400">
        <f>+AVERAGE(AS137:AV137)</f>
        <v>5.7500000000000009E-2</v>
      </c>
      <c r="AX137" s="1333"/>
      <c r="AY137" s="1332">
        <v>0.05</v>
      </c>
      <c r="AZ137" s="1333">
        <v>0.05</v>
      </c>
      <c r="BA137" s="1333">
        <v>0.05</v>
      </c>
      <c r="BB137" s="1333">
        <v>0.02</v>
      </c>
      <c r="BC137" s="1400">
        <f>+AVERAGE(AY137:BB137)</f>
        <v>4.2500000000000003E-2</v>
      </c>
      <c r="BD137" s="1333"/>
      <c r="BE137" s="1334">
        <v>0.02</v>
      </c>
      <c r="BF137" s="1333">
        <v>-0.02</v>
      </c>
      <c r="BG137" s="1333">
        <v>-0.05</v>
      </c>
      <c r="BH137" s="1333">
        <v>-0.03</v>
      </c>
      <c r="BI137" s="1400">
        <f>+AVERAGE(BE137:BH137)</f>
        <v>-0.02</v>
      </c>
      <c r="BJ137" s="1333"/>
      <c r="BK137" s="1334">
        <v>-0.02</v>
      </c>
      <c r="BL137" s="1333">
        <v>0.05</v>
      </c>
      <c r="BM137" s="1333">
        <v>0.05</v>
      </c>
      <c r="BN137" s="1333">
        <v>0.02</v>
      </c>
      <c r="BO137" s="1400">
        <f>+AVERAGE(BK137:BN137)</f>
        <v>2.5000000000000001E-2</v>
      </c>
      <c r="BP137" s="1333"/>
      <c r="BQ137" s="1334"/>
      <c r="BR137" s="1333"/>
      <c r="BS137" s="1333"/>
      <c r="BT137" s="1333"/>
      <c r="BU137" s="1335"/>
      <c r="BV137" s="1333"/>
      <c r="BW137" s="1334"/>
      <c r="BX137" s="1333"/>
      <c r="BY137" s="1333"/>
      <c r="BZ137" s="1333"/>
      <c r="CA137" s="1335"/>
      <c r="CB137" s="1333"/>
      <c r="CC137" s="1334"/>
      <c r="CD137" s="1333"/>
      <c r="CE137" s="1333"/>
      <c r="CF137" s="1333"/>
      <c r="CG137" s="1335"/>
      <c r="CH137" s="1333"/>
      <c r="CI137" s="1334"/>
      <c r="CJ137" s="1333"/>
      <c r="CK137" s="1333"/>
      <c r="CL137" s="1333"/>
      <c r="CM137" s="1335"/>
    </row>
    <row r="138" spans="1:91" s="224" customFormat="1">
      <c r="A138" s="1282" t="s">
        <v>398</v>
      </c>
      <c r="B138" s="45"/>
      <c r="C138" s="1329"/>
      <c r="D138" s="1330"/>
      <c r="E138" s="1330"/>
      <c r="F138" s="1330"/>
      <c r="G138" s="1331"/>
      <c r="H138" s="1330"/>
      <c r="I138" s="1329"/>
      <c r="J138" s="1330"/>
      <c r="K138" s="1330"/>
      <c r="L138" s="1330"/>
      <c r="M138" s="1331"/>
      <c r="N138" s="1330"/>
      <c r="O138" s="1329"/>
      <c r="P138" s="1330"/>
      <c r="Q138" s="1330"/>
      <c r="R138" s="1330"/>
      <c r="S138" s="1331"/>
      <c r="T138" s="1330"/>
      <c r="U138" s="1332"/>
      <c r="V138" s="1333"/>
      <c r="W138" s="1333"/>
      <c r="X138" s="1333"/>
      <c r="Y138" s="1331"/>
      <c r="Z138" s="1330"/>
      <c r="AA138" s="1332">
        <v>0.18</v>
      </c>
      <c r="AB138" s="1333">
        <v>0.18</v>
      </c>
      <c r="AC138" s="1333">
        <v>0.08</v>
      </c>
      <c r="AD138" s="1333">
        <v>0.12</v>
      </c>
      <c r="AE138" s="1331"/>
      <c r="AF138" s="1330"/>
      <c r="AG138" s="1332">
        <v>0.12</v>
      </c>
      <c r="AH138" s="1333">
        <v>0.08</v>
      </c>
      <c r="AI138" s="1333">
        <v>0.22</v>
      </c>
      <c r="AJ138" s="1333">
        <v>0.08</v>
      </c>
      <c r="AK138" s="1331"/>
      <c r="AL138" s="1330"/>
      <c r="AM138" s="1332">
        <v>-0.02</v>
      </c>
      <c r="AN138" s="1333">
        <v>0.12</v>
      </c>
      <c r="AO138" s="1333">
        <v>0.02</v>
      </c>
      <c r="AP138" s="1333">
        <v>0.08</v>
      </c>
      <c r="AQ138" s="1331">
        <f>+AVERAGE(AM138:AP138)</f>
        <v>0.05</v>
      </c>
      <c r="AR138" s="1330"/>
      <c r="AS138" s="1332">
        <v>0.15</v>
      </c>
      <c r="AT138" s="1333">
        <v>0.02</v>
      </c>
      <c r="AU138" s="1333">
        <v>0.08</v>
      </c>
      <c r="AV138" s="1333">
        <v>0.05</v>
      </c>
      <c r="AW138" s="1400">
        <f>+AVERAGE(AS138:AV138)</f>
        <v>7.4999999999999997E-2</v>
      </c>
      <c r="AX138" s="1333"/>
      <c r="AY138" s="1332">
        <v>0.03</v>
      </c>
      <c r="AZ138" s="1333">
        <v>0.05</v>
      </c>
      <c r="BA138" s="1333">
        <v>0.05</v>
      </c>
      <c r="BB138" s="1333">
        <v>0.08</v>
      </c>
      <c r="BC138" s="1400">
        <f>+AVERAGE(AY138:BB138)</f>
        <v>5.2500000000000005E-2</v>
      </c>
      <c r="BD138" s="1333"/>
      <c r="BE138" s="1332">
        <v>0.08</v>
      </c>
      <c r="BF138" s="1333">
        <v>0.12</v>
      </c>
      <c r="BG138" s="1333">
        <v>0.1</v>
      </c>
      <c r="BH138" s="1333">
        <v>0.09</v>
      </c>
      <c r="BI138" s="1400">
        <f>+AVERAGE(BE138:BH138)</f>
        <v>9.7500000000000003E-2</v>
      </c>
      <c r="BJ138" s="1333"/>
      <c r="BK138" s="1332">
        <v>0.18</v>
      </c>
      <c r="BL138" s="1333">
        <v>0</v>
      </c>
      <c r="BM138" s="1333">
        <v>0.08</v>
      </c>
      <c r="BN138" s="1333">
        <v>0.08</v>
      </c>
      <c r="BO138" s="1400">
        <f>+AVERAGE(BK138:BN138)</f>
        <v>8.5000000000000006E-2</v>
      </c>
      <c r="BP138" s="1333"/>
      <c r="BQ138" s="1332"/>
      <c r="BR138" s="1333"/>
      <c r="BS138" s="1333"/>
      <c r="BT138" s="1333"/>
      <c r="BU138" s="1335"/>
      <c r="BV138" s="1333"/>
      <c r="BW138" s="1332"/>
      <c r="BX138" s="1333"/>
      <c r="BY138" s="1333"/>
      <c r="BZ138" s="1333"/>
      <c r="CA138" s="1335"/>
      <c r="CB138" s="1333"/>
      <c r="CC138" s="1332"/>
      <c r="CD138" s="1333"/>
      <c r="CE138" s="1333"/>
      <c r="CF138" s="1333"/>
      <c r="CG138" s="1335"/>
      <c r="CH138" s="1333"/>
      <c r="CI138" s="1332"/>
      <c r="CJ138" s="1333"/>
      <c r="CK138" s="1333"/>
      <c r="CL138" s="1333"/>
      <c r="CM138" s="1335"/>
    </row>
    <row r="139" spans="1:91" s="224" customFormat="1">
      <c r="A139" s="1348" t="s">
        <v>390</v>
      </c>
      <c r="B139" s="45"/>
      <c r="C139" s="1329"/>
      <c r="D139" s="1330"/>
      <c r="E139" s="1330"/>
      <c r="F139" s="1330"/>
      <c r="G139" s="1331"/>
      <c r="H139" s="1330"/>
      <c r="I139" s="1329"/>
      <c r="J139" s="1330"/>
      <c r="K139" s="1330"/>
      <c r="L139" s="1330"/>
      <c r="M139" s="1331"/>
      <c r="N139" s="1330"/>
      <c r="O139" s="1329"/>
      <c r="P139" s="1330"/>
      <c r="Q139" s="1330"/>
      <c r="R139" s="1330"/>
      <c r="S139" s="1331"/>
      <c r="T139" s="1330"/>
      <c r="U139" s="1332"/>
      <c r="V139" s="1333"/>
      <c r="W139" s="1333"/>
      <c r="X139" s="1333"/>
      <c r="Y139" s="1331"/>
      <c r="Z139" s="1330"/>
      <c r="AA139" s="1332"/>
      <c r="AB139" s="1333"/>
      <c r="AC139" s="1333">
        <v>0.22</v>
      </c>
      <c r="AD139" s="1333"/>
      <c r="AE139" s="1331"/>
      <c r="AF139" s="1330"/>
      <c r="AG139" s="1332">
        <v>0.22</v>
      </c>
      <c r="AH139" s="1333">
        <v>0.22</v>
      </c>
      <c r="AI139" s="1333">
        <v>0.22</v>
      </c>
      <c r="AJ139" s="1333">
        <v>0.22</v>
      </c>
      <c r="AK139" s="1331"/>
      <c r="AL139" s="1330"/>
      <c r="AM139" s="1332">
        <v>0.2</v>
      </c>
      <c r="AN139" s="1333">
        <v>0.17</v>
      </c>
      <c r="AO139" s="1333">
        <v>0.12</v>
      </c>
      <c r="AP139" s="1333">
        <v>0.15</v>
      </c>
      <c r="AQ139" s="1331">
        <f>+AVERAGE(AM139:AP139)</f>
        <v>0.16</v>
      </c>
      <c r="AR139" s="1330"/>
      <c r="AS139" s="1332">
        <v>0.12</v>
      </c>
      <c r="AT139" s="1333">
        <v>0.08</v>
      </c>
      <c r="AU139" s="1333">
        <v>0.08</v>
      </c>
      <c r="AV139" s="1333">
        <v>0.05</v>
      </c>
      <c r="AW139" s="1400">
        <f>+AVERAGE(AS139:AV139)</f>
        <v>8.2500000000000004E-2</v>
      </c>
      <c r="AX139" s="1333"/>
      <c r="AY139" s="1332">
        <v>0.09</v>
      </c>
      <c r="AZ139" s="1333">
        <v>0.12</v>
      </c>
      <c r="BA139" s="1333">
        <v>0.08</v>
      </c>
      <c r="BB139" s="1333">
        <v>0.12</v>
      </c>
      <c r="BC139" s="1400">
        <f>+AVERAGE(AY139:BB139)</f>
        <v>0.10249999999999999</v>
      </c>
      <c r="BD139" s="1333"/>
      <c r="BE139" s="1332">
        <v>0.15</v>
      </c>
      <c r="BF139" s="1333">
        <v>0.15</v>
      </c>
      <c r="BG139" s="1333">
        <v>0.22</v>
      </c>
      <c r="BH139" s="1333">
        <v>0.09</v>
      </c>
      <c r="BI139" s="1400">
        <f>+AVERAGE(BE139:BH139)</f>
        <v>0.1525</v>
      </c>
      <c r="BJ139" s="1333"/>
      <c r="BK139" s="1332">
        <v>0.18</v>
      </c>
      <c r="BL139" s="1333">
        <v>0.12</v>
      </c>
      <c r="BM139" s="1333">
        <v>0.15</v>
      </c>
      <c r="BN139" s="1333">
        <v>0.15</v>
      </c>
      <c r="BO139" s="1400">
        <f>+AVERAGE(BK139:BN139)</f>
        <v>0.15</v>
      </c>
      <c r="BP139" s="1333"/>
      <c r="BQ139" s="1332"/>
      <c r="BR139" s="1333"/>
      <c r="BS139" s="1333"/>
      <c r="BT139" s="1333"/>
      <c r="BU139" s="1335"/>
      <c r="BV139" s="1333"/>
      <c r="BW139" s="1332"/>
      <c r="BX139" s="1333"/>
      <c r="BY139" s="1333"/>
      <c r="BZ139" s="1333"/>
      <c r="CA139" s="1335"/>
      <c r="CB139" s="1333"/>
      <c r="CC139" s="1332"/>
      <c r="CD139" s="1333"/>
      <c r="CE139" s="1333"/>
      <c r="CF139" s="1333"/>
      <c r="CG139" s="1335"/>
      <c r="CH139" s="1333"/>
      <c r="CI139" s="1332"/>
      <c r="CJ139" s="1333"/>
      <c r="CK139" s="1333"/>
      <c r="CL139" s="1333"/>
      <c r="CM139" s="1335"/>
    </row>
    <row r="140" spans="1:91" s="224" customFormat="1">
      <c r="A140" s="1328" t="s">
        <v>397</v>
      </c>
      <c r="B140" s="45"/>
      <c r="C140" s="1329"/>
      <c r="D140" s="1330"/>
      <c r="E140" s="1330"/>
      <c r="F140" s="1330"/>
      <c r="G140" s="1331"/>
      <c r="H140" s="1330"/>
      <c r="I140" s="1329"/>
      <c r="J140" s="1330"/>
      <c r="K140" s="1330"/>
      <c r="L140" s="1330"/>
      <c r="M140" s="1331"/>
      <c r="N140" s="1330"/>
      <c r="O140" s="1329"/>
      <c r="P140" s="1330"/>
      <c r="Q140" s="1330"/>
      <c r="R140" s="1330"/>
      <c r="S140" s="1331"/>
      <c r="T140" s="1330"/>
      <c r="U140" s="1332"/>
      <c r="V140" s="1333"/>
      <c r="W140" s="1333"/>
      <c r="X140" s="1333"/>
      <c r="Y140" s="1331"/>
      <c r="Z140" s="1330"/>
      <c r="AA140" s="1332">
        <v>0.08</v>
      </c>
      <c r="AB140" s="1333">
        <v>0.02</v>
      </c>
      <c r="AC140" s="1333">
        <v>0.02</v>
      </c>
      <c r="AD140" s="1333">
        <v>0.12</v>
      </c>
      <c r="AE140" s="1331"/>
      <c r="AF140" s="1330"/>
      <c r="AG140" s="1332">
        <v>0.05</v>
      </c>
      <c r="AH140" s="1333">
        <v>-0.02</v>
      </c>
      <c r="AI140" s="1333">
        <v>0.02</v>
      </c>
      <c r="AJ140" s="1333">
        <v>-0.08</v>
      </c>
      <c r="AK140" s="1331"/>
      <c r="AL140" s="1330"/>
      <c r="AM140" s="1332">
        <v>-0.08</v>
      </c>
      <c r="AN140" s="1333">
        <v>0.02</v>
      </c>
      <c r="AO140" s="1333">
        <v>-0.02</v>
      </c>
      <c r="AP140" s="1333">
        <v>0.08</v>
      </c>
      <c r="AQ140" s="1331">
        <f>+AVERAGE(AM140:AP140)</f>
        <v>0</v>
      </c>
      <c r="AR140" s="1330"/>
      <c r="AS140" s="1332">
        <v>0</v>
      </c>
      <c r="AT140" s="1333">
        <v>-0.02</v>
      </c>
      <c r="AU140" s="1333">
        <v>0.02</v>
      </c>
      <c r="AV140" s="1333">
        <v>0.05</v>
      </c>
      <c r="AW140" s="1400">
        <f>+AVERAGE(AS140:AV140)</f>
        <v>1.2500000000000001E-2</v>
      </c>
      <c r="AX140" s="1333"/>
      <c r="AY140" s="1332">
        <v>0.03</v>
      </c>
      <c r="AZ140" s="1333">
        <v>0.03</v>
      </c>
      <c r="BA140" s="1424">
        <v>0.08</v>
      </c>
      <c r="BB140" s="1333">
        <v>0</v>
      </c>
      <c r="BC140" s="1400">
        <f>+AVERAGE(AY140:BB140)</f>
        <v>3.5000000000000003E-2</v>
      </c>
      <c r="BD140" s="1333"/>
      <c r="BE140" s="1332">
        <v>0.05</v>
      </c>
      <c r="BF140" s="1333">
        <v>0.02</v>
      </c>
      <c r="BG140" s="1333">
        <v>-0.05</v>
      </c>
      <c r="BH140" s="1333">
        <v>0</v>
      </c>
      <c r="BI140" s="1400">
        <f>+AVERAGE(BE140:BH140)</f>
        <v>5.000000000000001E-3</v>
      </c>
      <c r="BJ140" s="1333"/>
      <c r="BK140" s="1332">
        <f>2%-2.3%</f>
        <v>-2.9999999999999992E-3</v>
      </c>
      <c r="BL140" s="1333">
        <f>2%+3.5%+2.3%</f>
        <v>7.8000000000000014E-2</v>
      </c>
      <c r="BM140" s="1333">
        <f>2%-3.5%</f>
        <v>-1.5000000000000003E-2</v>
      </c>
      <c r="BN140" s="1333">
        <v>0.13500000000000001</v>
      </c>
      <c r="BO140" s="1400">
        <f>+AVERAGE(BK140:BN140)</f>
        <v>4.8750000000000002E-2</v>
      </c>
      <c r="BP140" s="1333"/>
      <c r="BQ140" s="1332"/>
      <c r="BR140" s="1333"/>
      <c r="BS140" s="1333"/>
      <c r="BT140" s="1333"/>
      <c r="BU140" s="1335"/>
      <c r="BV140" s="1333"/>
      <c r="BW140" s="1332"/>
      <c r="BX140" s="1333"/>
      <c r="BY140" s="1333"/>
      <c r="BZ140" s="1333"/>
      <c r="CA140" s="1335"/>
      <c r="CB140" s="1333"/>
      <c r="CC140" s="1332"/>
      <c r="CD140" s="1333"/>
      <c r="CE140" s="1333"/>
      <c r="CF140" s="1333"/>
      <c r="CG140" s="1335"/>
      <c r="CH140" s="1333"/>
      <c r="CI140" s="1332"/>
      <c r="CJ140" s="1333"/>
      <c r="CK140" s="1333"/>
      <c r="CL140" s="1333"/>
      <c r="CM140" s="1335"/>
    </row>
    <row r="141" spans="1:91" s="224" customFormat="1">
      <c r="A141" s="1782" t="s">
        <v>483</v>
      </c>
      <c r="B141" s="1361"/>
      <c r="C141" s="1606"/>
      <c r="D141" s="1362"/>
      <c r="E141" s="1362"/>
      <c r="F141" s="1362"/>
      <c r="G141" s="1607"/>
      <c r="H141" s="1362"/>
      <c r="I141" s="1606"/>
      <c r="J141" s="1362"/>
      <c r="K141" s="1362"/>
      <c r="L141" s="1362"/>
      <c r="M141" s="1607"/>
      <c r="N141" s="1362"/>
      <c r="O141" s="1606"/>
      <c r="P141" s="1362"/>
      <c r="Q141" s="1362"/>
      <c r="R141" s="1362"/>
      <c r="S141" s="1607"/>
      <c r="T141" s="1362"/>
      <c r="U141" s="1427"/>
      <c r="V141" s="1428"/>
      <c r="W141" s="1428"/>
      <c r="X141" s="1428"/>
      <c r="Y141" s="1607"/>
      <c r="Z141" s="1362"/>
      <c r="AA141" s="1427"/>
      <c r="AB141" s="1428"/>
      <c r="AC141" s="1428"/>
      <c r="AD141" s="1428"/>
      <c r="AE141" s="1607"/>
      <c r="AF141" s="1362"/>
      <c r="AG141" s="1427"/>
      <c r="AH141" s="1428"/>
      <c r="AI141" s="1428"/>
      <c r="AJ141" s="1428"/>
      <c r="AK141" s="1607"/>
      <c r="AL141" s="1362"/>
      <c r="AM141" s="1427"/>
      <c r="AN141" s="1428">
        <v>0.15</v>
      </c>
      <c r="AO141" s="1428"/>
      <c r="AP141" s="1428"/>
      <c r="AQ141" s="1607">
        <f>+AVERAGE(AM141:AP141)</f>
        <v>0.15</v>
      </c>
      <c r="AR141" s="1362"/>
      <c r="AS141" s="1432" t="s">
        <v>6</v>
      </c>
      <c r="AT141" s="1429" t="s">
        <v>6</v>
      </c>
      <c r="AU141" s="1429" t="s">
        <v>6</v>
      </c>
      <c r="AV141" s="1429" t="s">
        <v>6</v>
      </c>
      <c r="AW141" s="1438" t="s">
        <v>6</v>
      </c>
      <c r="AX141" s="1428"/>
      <c r="AY141" s="1432" t="s">
        <v>6</v>
      </c>
      <c r="AZ141" s="1429" t="s">
        <v>6</v>
      </c>
      <c r="BA141" s="1429" t="s">
        <v>6</v>
      </c>
      <c r="BB141" s="1429" t="s">
        <v>6</v>
      </c>
      <c r="BC141" s="1735">
        <v>0.06</v>
      </c>
      <c r="BD141" s="1428"/>
      <c r="BE141" s="1427">
        <v>0.08</v>
      </c>
      <c r="BF141" s="1429">
        <v>0.15</v>
      </c>
      <c r="BG141" s="1428">
        <v>0.08</v>
      </c>
      <c r="BH141" s="1428">
        <v>0.09</v>
      </c>
      <c r="BI141" s="1932" t="s">
        <v>6</v>
      </c>
      <c r="BJ141" s="1428"/>
      <c r="BK141" s="1427">
        <v>0.23</v>
      </c>
      <c r="BL141" s="1428">
        <v>0.13</v>
      </c>
      <c r="BM141" s="1428"/>
      <c r="BN141" s="1428"/>
      <c r="BO141" s="1932" t="s">
        <v>6</v>
      </c>
      <c r="BP141" s="1428"/>
      <c r="BQ141" s="1427"/>
      <c r="BR141" s="1428"/>
      <c r="BS141" s="1428"/>
      <c r="BT141" s="1428"/>
      <c r="BU141" s="1430"/>
      <c r="BV141" s="1428"/>
      <c r="BW141" s="1427"/>
      <c r="BX141" s="1428"/>
      <c r="BY141" s="1428"/>
      <c r="BZ141" s="1428"/>
      <c r="CA141" s="1430"/>
      <c r="CB141" s="1428"/>
      <c r="CC141" s="1427"/>
      <c r="CD141" s="1428"/>
      <c r="CE141" s="1428"/>
      <c r="CF141" s="1428"/>
      <c r="CG141" s="1430"/>
      <c r="CH141" s="1428"/>
      <c r="CI141" s="1427"/>
      <c r="CJ141" s="1428"/>
      <c r="CK141" s="1428"/>
      <c r="CL141" s="1428"/>
      <c r="CM141" s="1430"/>
    </row>
    <row r="144" spans="1:91">
      <c r="A144" s="1323" t="s">
        <v>532</v>
      </c>
      <c r="B144" s="1324"/>
      <c r="C144" s="1325"/>
      <c r="D144" s="1324"/>
      <c r="E144" s="1324"/>
      <c r="F144" s="1324"/>
      <c r="G144" s="1326"/>
      <c r="H144" s="1324"/>
      <c r="I144" s="1325"/>
      <c r="J144" s="1324"/>
      <c r="K144" s="1324"/>
      <c r="L144" s="1327"/>
      <c r="M144" s="1326"/>
      <c r="N144" s="1324"/>
      <c r="O144" s="1325"/>
      <c r="P144" s="1324"/>
      <c r="Q144" s="1324"/>
      <c r="R144" s="1327"/>
      <c r="S144" s="1326"/>
      <c r="T144" s="1324"/>
      <c r="U144" s="1325"/>
      <c r="V144" s="1324"/>
      <c r="W144" s="1324"/>
      <c r="X144" s="1324"/>
      <c r="Y144" s="1326"/>
      <c r="Z144" s="1324"/>
      <c r="AA144" s="1325"/>
      <c r="AB144" s="1324"/>
      <c r="AC144" s="1324"/>
      <c r="AD144" s="1327"/>
      <c r="AE144" s="1326"/>
      <c r="AF144" s="1324"/>
      <c r="AG144" s="1325"/>
      <c r="AH144" s="1324"/>
      <c r="AI144" s="1324"/>
      <c r="AJ144" s="1324"/>
      <c r="AK144" s="1326"/>
      <c r="AL144" s="1324"/>
      <c r="AM144" s="1325"/>
      <c r="AN144" s="1324"/>
      <c r="AO144" s="1324"/>
      <c r="AP144" s="1327"/>
      <c r="AQ144" s="1326"/>
      <c r="AR144" s="1324"/>
      <c r="AS144" s="1325"/>
      <c r="AT144" s="1324"/>
      <c r="AU144" s="1324"/>
      <c r="AV144" s="1324"/>
      <c r="AW144" s="1326"/>
      <c r="AX144" s="1324"/>
      <c r="AY144" s="1325"/>
      <c r="AZ144" s="1324"/>
      <c r="BA144" s="1324"/>
      <c r="BB144" s="1327"/>
      <c r="BC144" s="1326"/>
      <c r="BD144" s="1324"/>
      <c r="BE144" s="1325"/>
      <c r="BF144" s="1324"/>
      <c r="BG144" s="1324"/>
      <c r="BH144" s="1327"/>
      <c r="BI144" s="1326"/>
      <c r="BJ144" s="1324"/>
      <c r="BK144" s="1325"/>
      <c r="BL144" s="1324"/>
      <c r="BM144" s="1324"/>
      <c r="BN144" s="1324"/>
      <c r="BO144" s="1326"/>
      <c r="BP144" s="1324"/>
      <c r="BQ144" s="1325"/>
      <c r="BR144" s="1324"/>
      <c r="BS144" s="1324"/>
      <c r="BT144" s="1324"/>
      <c r="BU144" s="1326"/>
      <c r="BV144" s="1324"/>
      <c r="BW144" s="1325"/>
      <c r="BX144" s="1324"/>
      <c r="BY144" s="1324"/>
      <c r="BZ144" s="1324"/>
      <c r="CA144" s="1326"/>
      <c r="CB144" s="1324"/>
      <c r="CC144" s="1325"/>
      <c r="CD144" s="1324"/>
      <c r="CE144" s="1324"/>
      <c r="CF144" s="1324"/>
      <c r="CG144" s="1326"/>
      <c r="CH144" s="1324"/>
      <c r="CI144" s="1325"/>
      <c r="CJ144" s="1324"/>
      <c r="CK144" s="1324"/>
      <c r="CL144" s="1324"/>
      <c r="CM144" s="1326"/>
    </row>
    <row r="145" spans="1:91">
      <c r="A145" s="1328" t="s">
        <v>396</v>
      </c>
      <c r="B145" s="45"/>
      <c r="C145" s="1329"/>
      <c r="D145" s="1330"/>
      <c r="E145" s="1330"/>
      <c r="F145" s="1330"/>
      <c r="G145" s="1331"/>
      <c r="H145" s="1330"/>
      <c r="I145" s="1329"/>
      <c r="J145" s="1330"/>
      <c r="K145" s="1330"/>
      <c r="L145" s="1330"/>
      <c r="M145" s="1331"/>
      <c r="N145" s="1330"/>
      <c r="O145" s="1329"/>
      <c r="P145" s="1330"/>
      <c r="Q145" s="1330"/>
      <c r="R145" s="1330"/>
      <c r="S145" s="1331"/>
      <c r="T145" s="1330"/>
      <c r="U145" s="1332"/>
      <c r="V145" s="1333"/>
      <c r="W145" s="1333"/>
      <c r="X145" s="1333"/>
      <c r="Y145" s="1331"/>
      <c r="Z145" s="1330"/>
      <c r="AA145" s="1332"/>
      <c r="AB145" s="1333"/>
      <c r="AC145" s="1333"/>
      <c r="AD145" s="1333"/>
      <c r="AE145" s="1331"/>
      <c r="AF145" s="1330"/>
      <c r="AG145" s="1332"/>
      <c r="AH145" s="1333"/>
      <c r="AI145" s="1333"/>
      <c r="AJ145" s="1333"/>
      <c r="AK145" s="1331"/>
      <c r="AL145" s="1330"/>
      <c r="AM145" s="1399">
        <f t="shared" ref="AM145:AQ148" si="203">+AM137+AG137</f>
        <v>0.04</v>
      </c>
      <c r="AN145" s="456">
        <f t="shared" si="203"/>
        <v>0.06</v>
      </c>
      <c r="AO145" s="456">
        <f t="shared" si="203"/>
        <v>7.0000000000000007E-2</v>
      </c>
      <c r="AP145" s="456">
        <f t="shared" si="203"/>
        <v>0.06</v>
      </c>
      <c r="AQ145" s="1400">
        <f t="shared" si="203"/>
        <v>7.5000000000000006E-3</v>
      </c>
      <c r="AR145" s="456"/>
      <c r="AS145" s="1399">
        <f t="shared" ref="AS145:AW148" si="204">+AS137+AM137</f>
        <v>7.0000000000000007E-2</v>
      </c>
      <c r="AT145" s="456">
        <f t="shared" si="204"/>
        <v>3.0000000000000002E-2</v>
      </c>
      <c r="AU145" s="456">
        <f t="shared" si="204"/>
        <v>0.1</v>
      </c>
      <c r="AV145" s="456">
        <f t="shared" si="204"/>
        <v>0.06</v>
      </c>
      <c r="AW145" s="1400">
        <f t="shared" si="204"/>
        <v>6.5000000000000016E-2</v>
      </c>
      <c r="AX145" s="456"/>
      <c r="AY145" s="1399">
        <f t="shared" ref="AY145:BI148" si="205">+AY137+AS137</f>
        <v>0.1</v>
      </c>
      <c r="AZ145" s="456">
        <f t="shared" si="205"/>
        <v>0.1</v>
      </c>
      <c r="BA145" s="456">
        <f t="shared" si="205"/>
        <v>0.1</v>
      </c>
      <c r="BB145" s="456">
        <f t="shared" si="205"/>
        <v>0.1</v>
      </c>
      <c r="BC145" s="1400">
        <f t="shared" si="205"/>
        <v>0.1</v>
      </c>
      <c r="BD145" s="456"/>
      <c r="BE145" s="1731">
        <f t="shared" si="205"/>
        <v>7.0000000000000007E-2</v>
      </c>
      <c r="BF145" s="456">
        <f>+BF137+AZ137</f>
        <v>3.0000000000000002E-2</v>
      </c>
      <c r="BG145" s="456">
        <f>+BG137+BA137</f>
        <v>0</v>
      </c>
      <c r="BH145" s="456">
        <f>+BH137+BB137</f>
        <v>-9.9999999999999985E-3</v>
      </c>
      <c r="BI145" s="1400">
        <f t="shared" si="205"/>
        <v>2.2500000000000003E-2</v>
      </c>
      <c r="BJ145" s="1333"/>
      <c r="BK145" s="1731">
        <f t="shared" ref="BK145:BN149" si="206">+BK137+BE137</f>
        <v>0</v>
      </c>
      <c r="BL145" s="456">
        <f>+BL137+BF137</f>
        <v>3.0000000000000002E-2</v>
      </c>
      <c r="BM145" s="456">
        <f>+BM137+BG137</f>
        <v>0</v>
      </c>
      <c r="BN145" s="456">
        <f>+BN137+BH137</f>
        <v>-9.9999999999999985E-3</v>
      </c>
      <c r="BO145" s="1400">
        <f t="shared" ref="BO145:BO148" si="207">+BO137+BI137</f>
        <v>5.000000000000001E-3</v>
      </c>
      <c r="BP145" s="1333"/>
      <c r="BQ145" s="1334"/>
      <c r="BR145" s="1333"/>
      <c r="BS145" s="1333"/>
      <c r="BT145" s="1333"/>
      <c r="BU145" s="1335"/>
      <c r="BV145" s="1333"/>
      <c r="BW145" s="1334"/>
      <c r="BX145" s="1333"/>
      <c r="BY145" s="1333"/>
      <c r="BZ145" s="1333"/>
      <c r="CA145" s="1335"/>
      <c r="CB145" s="1333"/>
      <c r="CC145" s="1334"/>
      <c r="CD145" s="1333"/>
      <c r="CE145" s="1333"/>
      <c r="CF145" s="1333"/>
      <c r="CG145" s="1335"/>
      <c r="CH145" s="1333"/>
      <c r="CI145" s="1334"/>
      <c r="CJ145" s="1333"/>
      <c r="CK145" s="1333"/>
      <c r="CL145" s="1333"/>
      <c r="CM145" s="1335"/>
    </row>
    <row r="146" spans="1:91">
      <c r="A146" s="1282" t="s">
        <v>398</v>
      </c>
      <c r="B146" s="45"/>
      <c r="C146" s="1329"/>
      <c r="D146" s="1330"/>
      <c r="E146" s="1330"/>
      <c r="F146" s="1330"/>
      <c r="G146" s="1331"/>
      <c r="H146" s="1330"/>
      <c r="I146" s="1329"/>
      <c r="J146" s="1330"/>
      <c r="K146" s="1330"/>
      <c r="L146" s="1330"/>
      <c r="M146" s="1331"/>
      <c r="N146" s="1330"/>
      <c r="O146" s="1329"/>
      <c r="P146" s="1330"/>
      <c r="Q146" s="1330"/>
      <c r="R146" s="1330"/>
      <c r="S146" s="1331"/>
      <c r="T146" s="1330"/>
      <c r="U146" s="1332"/>
      <c r="V146" s="1333"/>
      <c r="W146" s="1333"/>
      <c r="X146" s="1333"/>
      <c r="Y146" s="1331"/>
      <c r="Z146" s="1330"/>
      <c r="AA146" s="1332"/>
      <c r="AB146" s="1333"/>
      <c r="AC146" s="1333"/>
      <c r="AD146" s="1333"/>
      <c r="AE146" s="1331"/>
      <c r="AF146" s="1330"/>
      <c r="AG146" s="1332"/>
      <c r="AH146" s="1333"/>
      <c r="AI146" s="1333"/>
      <c r="AJ146" s="1333"/>
      <c r="AK146" s="1331"/>
      <c r="AL146" s="1330"/>
      <c r="AM146" s="1399">
        <f t="shared" si="203"/>
        <v>9.9999999999999992E-2</v>
      </c>
      <c r="AN146" s="456">
        <f t="shared" si="203"/>
        <v>0.2</v>
      </c>
      <c r="AO146" s="456">
        <f t="shared" si="203"/>
        <v>0.24</v>
      </c>
      <c r="AP146" s="456">
        <f t="shared" si="203"/>
        <v>0.16</v>
      </c>
      <c r="AQ146" s="1400">
        <f t="shared" si="203"/>
        <v>0.05</v>
      </c>
      <c r="AR146" s="456"/>
      <c r="AS146" s="1399">
        <f t="shared" si="204"/>
        <v>0.13</v>
      </c>
      <c r="AT146" s="456">
        <f t="shared" si="204"/>
        <v>0.13999999999999999</v>
      </c>
      <c r="AU146" s="456">
        <f t="shared" si="204"/>
        <v>0.1</v>
      </c>
      <c r="AV146" s="456">
        <f t="shared" si="204"/>
        <v>0.13</v>
      </c>
      <c r="AW146" s="1400">
        <f t="shared" si="204"/>
        <v>0.125</v>
      </c>
      <c r="AX146" s="456"/>
      <c r="AY146" s="1399">
        <f t="shared" si="205"/>
        <v>0.18</v>
      </c>
      <c r="AZ146" s="456">
        <f t="shared" si="205"/>
        <v>7.0000000000000007E-2</v>
      </c>
      <c r="BA146" s="456">
        <f t="shared" si="205"/>
        <v>0.13</v>
      </c>
      <c r="BB146" s="456">
        <f t="shared" si="205"/>
        <v>0.13</v>
      </c>
      <c r="BC146" s="1400">
        <f t="shared" si="205"/>
        <v>0.1275</v>
      </c>
      <c r="BD146" s="456"/>
      <c r="BE146" s="1399">
        <f t="shared" si="205"/>
        <v>0.11</v>
      </c>
      <c r="BF146" s="456">
        <f t="shared" si="205"/>
        <v>0.16999999999999998</v>
      </c>
      <c r="BG146" s="456">
        <f t="shared" si="205"/>
        <v>0.15000000000000002</v>
      </c>
      <c r="BH146" s="456">
        <f t="shared" si="205"/>
        <v>0.16999999999999998</v>
      </c>
      <c r="BI146" s="1400">
        <f t="shared" si="205"/>
        <v>0.15000000000000002</v>
      </c>
      <c r="BJ146" s="1333"/>
      <c r="BK146" s="1399">
        <f t="shared" si="206"/>
        <v>0.26</v>
      </c>
      <c r="BL146" s="456">
        <f t="shared" si="206"/>
        <v>0.12</v>
      </c>
      <c r="BM146" s="456">
        <f t="shared" si="206"/>
        <v>0.18</v>
      </c>
      <c r="BN146" s="456">
        <f t="shared" si="206"/>
        <v>0.16999999999999998</v>
      </c>
      <c r="BO146" s="1400">
        <f t="shared" si="207"/>
        <v>0.1825</v>
      </c>
      <c r="BP146" s="1333"/>
      <c r="BQ146" s="1332"/>
      <c r="BR146" s="1333"/>
      <c r="BS146" s="1333"/>
      <c r="BT146" s="1333"/>
      <c r="BU146" s="1335"/>
      <c r="BV146" s="1333"/>
      <c r="BW146" s="1332"/>
      <c r="BX146" s="1333"/>
      <c r="BY146" s="1333"/>
      <c r="BZ146" s="1333"/>
      <c r="CA146" s="1335"/>
      <c r="CB146" s="1333"/>
      <c r="CC146" s="1332"/>
      <c r="CD146" s="1333"/>
      <c r="CE146" s="1333"/>
      <c r="CF146" s="1333"/>
      <c r="CG146" s="1335"/>
      <c r="CH146" s="1333"/>
      <c r="CI146" s="1332"/>
      <c r="CJ146" s="1333"/>
      <c r="CK146" s="1333"/>
      <c r="CL146" s="1333"/>
      <c r="CM146" s="1335"/>
    </row>
    <row r="147" spans="1:91">
      <c r="A147" s="1348" t="s">
        <v>390</v>
      </c>
      <c r="B147" s="45"/>
      <c r="C147" s="1329"/>
      <c r="D147" s="1330"/>
      <c r="E147" s="1330"/>
      <c r="F147" s="1330"/>
      <c r="G147" s="1331"/>
      <c r="H147" s="1330"/>
      <c r="I147" s="1329"/>
      <c r="J147" s="1330"/>
      <c r="K147" s="1330"/>
      <c r="L147" s="1330"/>
      <c r="M147" s="1331"/>
      <c r="N147" s="1330"/>
      <c r="O147" s="1329"/>
      <c r="P147" s="1330"/>
      <c r="Q147" s="1330"/>
      <c r="R147" s="1330"/>
      <c r="S147" s="1331"/>
      <c r="T147" s="1330"/>
      <c r="U147" s="1332"/>
      <c r="V147" s="1333"/>
      <c r="W147" s="1333"/>
      <c r="X147" s="1333"/>
      <c r="Y147" s="1331"/>
      <c r="Z147" s="1330"/>
      <c r="AA147" s="1332"/>
      <c r="AB147" s="1333"/>
      <c r="AC147" s="1333"/>
      <c r="AD147" s="1333"/>
      <c r="AE147" s="1331"/>
      <c r="AF147" s="1330"/>
      <c r="AG147" s="1332"/>
      <c r="AH147" s="1333"/>
      <c r="AI147" s="1333"/>
      <c r="AJ147" s="1333"/>
      <c r="AK147" s="1331"/>
      <c r="AL147" s="1330"/>
      <c r="AM147" s="1399">
        <f t="shared" si="203"/>
        <v>0.42000000000000004</v>
      </c>
      <c r="AN147" s="456">
        <f t="shared" si="203"/>
        <v>0.39</v>
      </c>
      <c r="AO147" s="456">
        <f t="shared" si="203"/>
        <v>0.33999999999999997</v>
      </c>
      <c r="AP147" s="456">
        <f t="shared" si="203"/>
        <v>0.37</v>
      </c>
      <c r="AQ147" s="1400">
        <f t="shared" si="203"/>
        <v>0.16</v>
      </c>
      <c r="AR147" s="456"/>
      <c r="AS147" s="1399">
        <f t="shared" si="204"/>
        <v>0.32</v>
      </c>
      <c r="AT147" s="456">
        <f t="shared" si="204"/>
        <v>0.25</v>
      </c>
      <c r="AU147" s="456">
        <f t="shared" si="204"/>
        <v>0.2</v>
      </c>
      <c r="AV147" s="456">
        <f t="shared" si="204"/>
        <v>0.2</v>
      </c>
      <c r="AW147" s="1400">
        <f t="shared" si="204"/>
        <v>0.24249999999999999</v>
      </c>
      <c r="AX147" s="456"/>
      <c r="AY147" s="1399">
        <f t="shared" si="205"/>
        <v>0.21</v>
      </c>
      <c r="AZ147" s="456">
        <f t="shared" si="205"/>
        <v>0.2</v>
      </c>
      <c r="BA147" s="456">
        <f t="shared" si="205"/>
        <v>0.16</v>
      </c>
      <c r="BB147" s="456">
        <f t="shared" si="205"/>
        <v>0.16999999999999998</v>
      </c>
      <c r="BC147" s="1400">
        <f t="shared" si="205"/>
        <v>0.185</v>
      </c>
      <c r="BD147" s="456"/>
      <c r="BE147" s="1399">
        <f t="shared" si="205"/>
        <v>0.24</v>
      </c>
      <c r="BF147" s="456">
        <f t="shared" si="205"/>
        <v>0.27</v>
      </c>
      <c r="BG147" s="456">
        <f t="shared" si="205"/>
        <v>0.3</v>
      </c>
      <c r="BH147" s="456">
        <f t="shared" si="205"/>
        <v>0.21</v>
      </c>
      <c r="BI147" s="1400">
        <f t="shared" si="205"/>
        <v>0.255</v>
      </c>
      <c r="BJ147" s="1333"/>
      <c r="BK147" s="1399">
        <f t="shared" si="206"/>
        <v>0.32999999999999996</v>
      </c>
      <c r="BL147" s="456">
        <f t="shared" si="206"/>
        <v>0.27</v>
      </c>
      <c r="BM147" s="456">
        <f t="shared" si="206"/>
        <v>0.37</v>
      </c>
      <c r="BN147" s="456">
        <f t="shared" si="206"/>
        <v>0.24</v>
      </c>
      <c r="BO147" s="1400">
        <f t="shared" si="207"/>
        <v>0.30249999999999999</v>
      </c>
      <c r="BP147" s="1333"/>
      <c r="BQ147" s="1332"/>
      <c r="BR147" s="1333"/>
      <c r="BS147" s="1333"/>
      <c r="BT147" s="1333"/>
      <c r="BU147" s="1400"/>
      <c r="BV147" s="1333"/>
      <c r="BW147" s="1332"/>
      <c r="BX147" s="1333"/>
      <c r="BY147" s="1333"/>
      <c r="BZ147" s="1333"/>
      <c r="CA147" s="1335"/>
      <c r="CB147" s="1333"/>
      <c r="CC147" s="1332"/>
      <c r="CD147" s="1333"/>
      <c r="CE147" s="1333"/>
      <c r="CF147" s="1333"/>
      <c r="CG147" s="1335"/>
      <c r="CH147" s="1333"/>
      <c r="CI147" s="1332"/>
      <c r="CJ147" s="1333"/>
      <c r="CK147" s="1333"/>
      <c r="CL147" s="1333"/>
      <c r="CM147" s="1335"/>
    </row>
    <row r="148" spans="1:91">
      <c r="A148" s="1328" t="s">
        <v>397</v>
      </c>
      <c r="B148" s="45"/>
      <c r="C148" s="1329"/>
      <c r="D148" s="1330"/>
      <c r="E148" s="1330"/>
      <c r="F148" s="1330"/>
      <c r="G148" s="1331"/>
      <c r="H148" s="1330"/>
      <c r="I148" s="1329"/>
      <c r="J148" s="1330"/>
      <c r="K148" s="1330"/>
      <c r="L148" s="1330"/>
      <c r="M148" s="1331"/>
      <c r="N148" s="1330"/>
      <c r="O148" s="1329"/>
      <c r="P148" s="1330"/>
      <c r="Q148" s="1330"/>
      <c r="R148" s="1330"/>
      <c r="S148" s="1331"/>
      <c r="T148" s="1330"/>
      <c r="U148" s="1332"/>
      <c r="V148" s="1333"/>
      <c r="W148" s="1333"/>
      <c r="X148" s="1333"/>
      <c r="Y148" s="1331"/>
      <c r="Z148" s="1330"/>
      <c r="AA148" s="1332"/>
      <c r="AB148" s="1333"/>
      <c r="AC148" s="1333"/>
      <c r="AD148" s="1333"/>
      <c r="AE148" s="1331"/>
      <c r="AF148" s="1330"/>
      <c r="AG148" s="1332"/>
      <c r="AH148" s="1333"/>
      <c r="AI148" s="1333"/>
      <c r="AJ148" s="1333"/>
      <c r="AK148" s="1331"/>
      <c r="AL148" s="1330"/>
      <c r="AM148" s="1399">
        <f t="shared" si="203"/>
        <v>-0.03</v>
      </c>
      <c r="AN148" s="456">
        <f t="shared" si="203"/>
        <v>0</v>
      </c>
      <c r="AO148" s="456">
        <f t="shared" si="203"/>
        <v>0</v>
      </c>
      <c r="AP148" s="456">
        <f t="shared" si="203"/>
        <v>0</v>
      </c>
      <c r="AQ148" s="1400">
        <f t="shared" si="203"/>
        <v>0</v>
      </c>
      <c r="AR148" s="456"/>
      <c r="AS148" s="1399">
        <f t="shared" si="204"/>
        <v>-0.08</v>
      </c>
      <c r="AT148" s="456">
        <f t="shared" si="204"/>
        <v>0</v>
      </c>
      <c r="AU148" s="456">
        <f t="shared" si="204"/>
        <v>0</v>
      </c>
      <c r="AV148" s="456">
        <f t="shared" si="204"/>
        <v>0.13</v>
      </c>
      <c r="AW148" s="1400">
        <f t="shared" si="204"/>
        <v>1.2500000000000001E-2</v>
      </c>
      <c r="AX148" s="456"/>
      <c r="AY148" s="1399">
        <f t="shared" si="205"/>
        <v>0.03</v>
      </c>
      <c r="AZ148" s="456">
        <f t="shared" si="205"/>
        <v>9.9999999999999985E-3</v>
      </c>
      <c r="BA148" s="1732">
        <f t="shared" si="205"/>
        <v>0.1</v>
      </c>
      <c r="BB148" s="456">
        <f t="shared" si="205"/>
        <v>0.05</v>
      </c>
      <c r="BC148" s="1400">
        <f t="shared" si="205"/>
        <v>4.7500000000000001E-2</v>
      </c>
      <c r="BD148" s="456"/>
      <c r="BE148" s="1399">
        <f t="shared" si="205"/>
        <v>0.08</v>
      </c>
      <c r="BF148" s="456">
        <f t="shared" si="205"/>
        <v>0.05</v>
      </c>
      <c r="BG148" s="456">
        <f t="shared" si="205"/>
        <v>0.03</v>
      </c>
      <c r="BH148" s="456">
        <f t="shared" si="205"/>
        <v>0</v>
      </c>
      <c r="BI148" s="1400">
        <f t="shared" si="205"/>
        <v>4.0000000000000008E-2</v>
      </c>
      <c r="BJ148" s="1333"/>
      <c r="BK148" s="1399">
        <f t="shared" si="206"/>
        <v>4.7E-2</v>
      </c>
      <c r="BL148" s="456">
        <f t="shared" si="206"/>
        <v>9.8000000000000018E-2</v>
      </c>
      <c r="BM148" s="456">
        <f t="shared" si="206"/>
        <v>-6.5000000000000002E-2</v>
      </c>
      <c r="BN148" s="456">
        <f t="shared" si="206"/>
        <v>0.13500000000000001</v>
      </c>
      <c r="BO148" s="1400">
        <f t="shared" si="207"/>
        <v>5.3750000000000006E-2</v>
      </c>
      <c r="BP148" s="1333"/>
      <c r="BQ148" s="1332"/>
      <c r="BR148" s="1333"/>
      <c r="BS148" s="1333"/>
      <c r="BT148" s="1333"/>
      <c r="BU148" s="1335"/>
      <c r="BV148" s="1333"/>
      <c r="BW148" s="1332"/>
      <c r="BX148" s="1333"/>
      <c r="BY148" s="1333"/>
      <c r="BZ148" s="1333"/>
      <c r="CA148" s="1335"/>
      <c r="CB148" s="1333"/>
      <c r="CC148" s="1332"/>
      <c r="CD148" s="1333"/>
      <c r="CE148" s="1333"/>
      <c r="CF148" s="1333"/>
      <c r="CG148" s="1335"/>
      <c r="CH148" s="1333"/>
      <c r="CI148" s="1332"/>
      <c r="CJ148" s="1333"/>
      <c r="CK148" s="1333"/>
      <c r="CL148" s="1333"/>
      <c r="CM148" s="1335"/>
    </row>
    <row r="149" spans="1:91">
      <c r="A149" s="1782" t="s">
        <v>483</v>
      </c>
      <c r="B149" s="1361"/>
      <c r="C149" s="1606"/>
      <c r="D149" s="1362"/>
      <c r="E149" s="1362"/>
      <c r="F149" s="1362"/>
      <c r="G149" s="1607"/>
      <c r="H149" s="1362"/>
      <c r="I149" s="1606"/>
      <c r="J149" s="1362"/>
      <c r="K149" s="1362"/>
      <c r="L149" s="1362"/>
      <c r="M149" s="1607"/>
      <c r="N149" s="1362"/>
      <c r="O149" s="1606"/>
      <c r="P149" s="1362"/>
      <c r="Q149" s="1362"/>
      <c r="R149" s="1362"/>
      <c r="S149" s="1607"/>
      <c r="T149" s="1362"/>
      <c r="U149" s="1427"/>
      <c r="V149" s="1428"/>
      <c r="W149" s="1428"/>
      <c r="X149" s="1428"/>
      <c r="Y149" s="1607"/>
      <c r="Z149" s="1362"/>
      <c r="AA149" s="1427"/>
      <c r="AB149" s="1428"/>
      <c r="AC149" s="1428"/>
      <c r="AD149" s="1428"/>
      <c r="AE149" s="1607"/>
      <c r="AF149" s="1362"/>
      <c r="AG149" s="1427"/>
      <c r="AH149" s="1428"/>
      <c r="AI149" s="1428"/>
      <c r="AJ149" s="1428"/>
      <c r="AK149" s="1607"/>
      <c r="AL149" s="1362"/>
      <c r="AM149" s="1733" t="s">
        <v>6</v>
      </c>
      <c r="AN149" s="1734" t="s">
        <v>6</v>
      </c>
      <c r="AO149" s="1734" t="s">
        <v>6</v>
      </c>
      <c r="AP149" s="1734" t="s">
        <v>6</v>
      </c>
      <c r="AQ149" s="1438" t="s">
        <v>6</v>
      </c>
      <c r="AR149" s="1402"/>
      <c r="AS149" s="1733" t="s">
        <v>6</v>
      </c>
      <c r="AT149" s="1734" t="s">
        <v>6</v>
      </c>
      <c r="AU149" s="1734" t="s">
        <v>6</v>
      </c>
      <c r="AV149" s="1734" t="s">
        <v>6</v>
      </c>
      <c r="AW149" s="1438" t="s">
        <v>6</v>
      </c>
      <c r="AX149" s="1402"/>
      <c r="AY149" s="1733" t="s">
        <v>6</v>
      </c>
      <c r="AZ149" s="1734" t="s">
        <v>6</v>
      </c>
      <c r="BA149" s="1734" t="s">
        <v>6</v>
      </c>
      <c r="BB149" s="1734" t="s">
        <v>6</v>
      </c>
      <c r="BC149" s="1438" t="s">
        <v>6</v>
      </c>
      <c r="BD149" s="1402"/>
      <c r="BE149" s="1401" t="s">
        <v>6</v>
      </c>
      <c r="BF149" s="1734" t="s">
        <v>6</v>
      </c>
      <c r="BG149" s="1402" t="s">
        <v>6</v>
      </c>
      <c r="BH149" s="1402" t="s">
        <v>6</v>
      </c>
      <c r="BI149" s="1438" t="s">
        <v>6</v>
      </c>
      <c r="BJ149" s="1428"/>
      <c r="BK149" s="1401">
        <f t="shared" si="206"/>
        <v>0.31</v>
      </c>
      <c r="BL149" s="1734">
        <f t="shared" si="206"/>
        <v>0.28000000000000003</v>
      </c>
      <c r="BM149" s="1734"/>
      <c r="BN149" s="1428"/>
      <c r="BO149" s="1438" t="s">
        <v>6</v>
      </c>
      <c r="BP149" s="1428"/>
      <c r="BQ149" s="1427"/>
      <c r="BR149" s="1428"/>
      <c r="BS149" s="1428"/>
      <c r="BT149" s="1428"/>
      <c r="BU149" s="1430"/>
      <c r="BV149" s="1428"/>
      <c r="BW149" s="1427"/>
      <c r="BX149" s="1428"/>
      <c r="BY149" s="1428"/>
      <c r="BZ149" s="1428"/>
      <c r="CA149" s="1430"/>
      <c r="CB149" s="1428"/>
      <c r="CC149" s="1427"/>
      <c r="CD149" s="1428"/>
      <c r="CE149" s="1428"/>
      <c r="CF149" s="1428"/>
      <c r="CG149" s="1430"/>
      <c r="CH149" s="1428"/>
      <c r="CI149" s="1427"/>
      <c r="CJ149" s="1428"/>
      <c r="CK149" s="1428"/>
      <c r="CL149" s="1428"/>
      <c r="CM149" s="1430"/>
    </row>
    <row r="152" spans="1:91" s="97" customFormat="1">
      <c r="A152" s="1323" t="s">
        <v>557</v>
      </c>
      <c r="B152" s="1324"/>
      <c r="C152" s="1325"/>
      <c r="D152" s="1324"/>
      <c r="E152" s="1324"/>
      <c r="F152" s="1324"/>
      <c r="G152" s="1326"/>
      <c r="H152" s="1324"/>
      <c r="I152" s="1325"/>
      <c r="J152" s="1324"/>
      <c r="K152" s="1324"/>
      <c r="L152" s="1327"/>
      <c r="M152" s="1326"/>
      <c r="N152" s="1324"/>
      <c r="O152" s="1325"/>
      <c r="P152" s="1324"/>
      <c r="Q152" s="1324"/>
      <c r="R152" s="1327"/>
      <c r="S152" s="1326"/>
      <c r="T152" s="1324"/>
      <c r="U152" s="1325"/>
      <c r="V152" s="1324"/>
      <c r="W152" s="1324"/>
      <c r="X152" s="1324"/>
      <c r="Y152" s="1326"/>
      <c r="Z152" s="1324"/>
      <c r="AA152" s="1325"/>
      <c r="AB152" s="1324"/>
      <c r="AC152" s="1324"/>
      <c r="AD152" s="1327"/>
      <c r="AE152" s="1326"/>
      <c r="AF152" s="1324"/>
      <c r="AG152" s="1325"/>
      <c r="AH152" s="1324"/>
      <c r="AI152" s="1324"/>
      <c r="AJ152" s="1324"/>
      <c r="AK152" s="1326"/>
      <c r="AL152" s="1324"/>
      <c r="AM152" s="1325"/>
      <c r="AN152" s="1324"/>
      <c r="AO152" s="1324"/>
      <c r="AP152" s="1327"/>
      <c r="AQ152" s="1326"/>
      <c r="AR152" s="1324"/>
      <c r="AS152" s="1325"/>
      <c r="AT152" s="1324"/>
      <c r="AU152" s="1324"/>
      <c r="AV152" s="1324"/>
      <c r="AW152" s="1326"/>
      <c r="AX152" s="1324"/>
      <c r="AY152" s="1325"/>
      <c r="AZ152" s="1324"/>
      <c r="BA152" s="1324"/>
      <c r="BB152" s="1327"/>
      <c r="BC152" s="1326"/>
      <c r="BD152" s="1324"/>
      <c r="BE152" s="1325"/>
      <c r="BF152" s="1324"/>
      <c r="BG152" s="1997"/>
      <c r="BH152" s="1327"/>
      <c r="BI152" s="1326"/>
      <c r="BJ152" s="1324"/>
      <c r="BK152" s="1325"/>
      <c r="BL152" s="1324"/>
      <c r="BM152" s="1324"/>
      <c r="BN152" s="1324"/>
      <c r="BO152" s="1326"/>
      <c r="BP152" s="1324"/>
      <c r="BQ152" s="1325"/>
      <c r="BR152" s="1324"/>
      <c r="BS152" s="1324"/>
      <c r="BT152" s="1324"/>
      <c r="BU152" s="1326"/>
      <c r="BV152" s="1324"/>
      <c r="BW152" s="1325"/>
      <c r="BX152" s="1324"/>
      <c r="BY152" s="1324"/>
      <c r="BZ152" s="1324"/>
      <c r="CA152" s="1326"/>
      <c r="CB152" s="1324"/>
      <c r="CC152" s="1325"/>
      <c r="CD152" s="1324"/>
      <c r="CE152" s="1324"/>
      <c r="CF152" s="1324"/>
      <c r="CG152" s="1326"/>
      <c r="CH152" s="1324"/>
      <c r="CI152" s="1325"/>
      <c r="CJ152" s="1324"/>
      <c r="CK152" s="1324"/>
      <c r="CL152" s="1324"/>
      <c r="CM152" s="1326"/>
    </row>
    <row r="153" spans="1:91" s="228" customFormat="1">
      <c r="A153" s="900" t="s">
        <v>26</v>
      </c>
      <c r="B153" s="353"/>
      <c r="C153" s="860"/>
      <c r="D153" s="453"/>
      <c r="E153" s="453"/>
      <c r="F153" s="453"/>
      <c r="G153" s="861"/>
      <c r="H153" s="353"/>
      <c r="I153" s="860"/>
      <c r="J153" s="453"/>
      <c r="K153" s="453"/>
      <c r="L153" s="453"/>
      <c r="M153" s="861"/>
      <c r="N153" s="353"/>
      <c r="O153" s="1672"/>
      <c r="P153" s="1376"/>
      <c r="Q153" s="1376"/>
      <c r="R153" s="1376"/>
      <c r="S153" s="1955"/>
      <c r="T153" s="1956"/>
      <c r="U153" s="1672"/>
      <c r="V153" s="1376"/>
      <c r="W153" s="1376"/>
      <c r="X153" s="1376"/>
      <c r="Y153" s="1955"/>
      <c r="Z153" s="1956"/>
      <c r="AA153" s="1985" t="s">
        <v>476</v>
      </c>
      <c r="AB153" s="1981" t="s">
        <v>472</v>
      </c>
      <c r="AC153" s="1981" t="s">
        <v>472</v>
      </c>
      <c r="AD153" s="1981" t="s">
        <v>472</v>
      </c>
      <c r="AE153" s="1955" t="s">
        <v>399</v>
      </c>
      <c r="AF153" s="1956"/>
      <c r="AG153" s="1985" t="s">
        <v>472</v>
      </c>
      <c r="AH153" s="1981" t="s">
        <v>470</v>
      </c>
      <c r="AI153" s="1981" t="s">
        <v>470</v>
      </c>
      <c r="AJ153" s="1376" t="s">
        <v>476</v>
      </c>
      <c r="AK153" s="1955" t="s">
        <v>399</v>
      </c>
      <c r="AL153" s="1956"/>
      <c r="AM153" s="1985" t="s">
        <v>471</v>
      </c>
      <c r="AN153" s="1981" t="s">
        <v>470</v>
      </c>
      <c r="AO153" s="1981" t="s">
        <v>471</v>
      </c>
      <c r="AP153" s="1981" t="s">
        <v>471</v>
      </c>
      <c r="AQ153" s="1955" t="s">
        <v>399</v>
      </c>
      <c r="AR153" s="1956"/>
      <c r="AS153" s="1985" t="s">
        <v>476</v>
      </c>
      <c r="AT153" s="1981" t="s">
        <v>471</v>
      </c>
      <c r="AU153" s="1981" t="s">
        <v>470</v>
      </c>
      <c r="AV153" s="1376" t="s">
        <v>399</v>
      </c>
      <c r="AW153" s="1955" t="s">
        <v>399</v>
      </c>
      <c r="AX153" s="1956"/>
      <c r="AY153" s="1971" t="s">
        <v>399</v>
      </c>
      <c r="AZ153" s="1966" t="s">
        <v>399</v>
      </c>
      <c r="BA153" s="1966" t="s">
        <v>399</v>
      </c>
      <c r="BB153" s="1966" t="s">
        <v>399</v>
      </c>
      <c r="BC153" s="1977" t="s">
        <v>6</v>
      </c>
      <c r="BD153" s="1975"/>
      <c r="BE153" s="1971" t="s">
        <v>399</v>
      </c>
      <c r="BF153" s="1966" t="s">
        <v>399</v>
      </c>
      <c r="BG153" s="1966" t="s">
        <v>399</v>
      </c>
      <c r="BH153" s="1966" t="s">
        <v>399</v>
      </c>
      <c r="BI153" s="1977" t="s">
        <v>399</v>
      </c>
      <c r="BJ153" s="1956"/>
      <c r="BK153" s="2206" t="s">
        <v>470</v>
      </c>
      <c r="BL153" s="1966" t="s">
        <v>470</v>
      </c>
      <c r="BM153" s="1376" t="s">
        <v>471</v>
      </c>
      <c r="BN153" s="453"/>
      <c r="BO153" s="861"/>
      <c r="BP153" s="353"/>
      <c r="BQ153" s="860"/>
      <c r="BR153" s="453"/>
      <c r="BS153" s="453"/>
      <c r="BT153" s="453"/>
      <c r="BU153" s="861"/>
      <c r="BV153" s="353"/>
      <c r="BW153" s="860"/>
      <c r="BX153" s="453"/>
      <c r="BY153" s="453"/>
      <c r="BZ153" s="453"/>
      <c r="CA153" s="861"/>
      <c r="CB153" s="353"/>
      <c r="CC153" s="860"/>
      <c r="CD153" s="453"/>
      <c r="CE153" s="453"/>
      <c r="CF153" s="453"/>
      <c r="CG153" s="861"/>
      <c r="CH153" s="353"/>
      <c r="CI153" s="860"/>
      <c r="CJ153" s="453"/>
      <c r="CK153" s="453"/>
      <c r="CL153" s="453"/>
      <c r="CM153" s="861"/>
    </row>
    <row r="154" spans="1:91" s="228" customFormat="1">
      <c r="A154" s="900" t="s">
        <v>556</v>
      </c>
      <c r="B154" s="353"/>
      <c r="C154" s="860"/>
      <c r="D154" s="453"/>
      <c r="E154" s="453"/>
      <c r="F154" s="453"/>
      <c r="G154" s="861"/>
      <c r="H154" s="353"/>
      <c r="I154" s="860"/>
      <c r="J154" s="453"/>
      <c r="K154" s="453"/>
      <c r="L154" s="453"/>
      <c r="M154" s="861"/>
      <c r="N154" s="353"/>
      <c r="O154" s="1672"/>
      <c r="P154" s="1376"/>
      <c r="Q154" s="1376"/>
      <c r="R154" s="1376"/>
      <c r="S154" s="1955"/>
      <c r="T154" s="1956"/>
      <c r="U154" s="1672"/>
      <c r="V154" s="1376"/>
      <c r="W154" s="1376"/>
      <c r="X154" s="1376"/>
      <c r="Y154" s="1955"/>
      <c r="Z154" s="1956"/>
      <c r="AA154" s="1672" t="s">
        <v>6</v>
      </c>
      <c r="AB154" s="1376" t="s">
        <v>6</v>
      </c>
      <c r="AC154" s="1981" t="s">
        <v>6</v>
      </c>
      <c r="AD154" s="1376" t="s">
        <v>6</v>
      </c>
      <c r="AE154" s="1986" t="s">
        <v>6</v>
      </c>
      <c r="AF154" s="1956"/>
      <c r="AG154" s="1672" t="s">
        <v>6</v>
      </c>
      <c r="AH154" s="1981" t="s">
        <v>6</v>
      </c>
      <c r="AI154" s="1981" t="s">
        <v>6</v>
      </c>
      <c r="AJ154" s="1376" t="s">
        <v>6</v>
      </c>
      <c r="AK154" s="1986" t="s">
        <v>6</v>
      </c>
      <c r="AL154" s="1956"/>
      <c r="AM154" s="1985" t="s">
        <v>6</v>
      </c>
      <c r="AN154" s="1981" t="s">
        <v>6</v>
      </c>
      <c r="AO154" s="1981" t="s">
        <v>6</v>
      </c>
      <c r="AP154" s="1981" t="s">
        <v>6</v>
      </c>
      <c r="AQ154" s="1986" t="s">
        <v>6</v>
      </c>
      <c r="AR154" s="1956"/>
      <c r="AS154" s="1672" t="s">
        <v>6</v>
      </c>
      <c r="AT154" s="1981" t="s">
        <v>6</v>
      </c>
      <c r="AU154" s="1969" t="s">
        <v>6</v>
      </c>
      <c r="AV154" s="1981" t="s">
        <v>566</v>
      </c>
      <c r="AW154" s="1955" t="s">
        <v>399</v>
      </c>
      <c r="AX154" s="1956"/>
      <c r="AY154" s="1971" t="s">
        <v>399</v>
      </c>
      <c r="AZ154" s="1966" t="s">
        <v>568</v>
      </c>
      <c r="BA154" s="1966" t="s">
        <v>568</v>
      </c>
      <c r="BB154" s="1966" t="s">
        <v>563</v>
      </c>
      <c r="BC154" s="1979" t="s">
        <v>566</v>
      </c>
      <c r="BD154" s="1975" t="s">
        <v>79</v>
      </c>
      <c r="BE154" s="1971" t="s">
        <v>563</v>
      </c>
      <c r="BF154" s="1966" t="s">
        <v>561</v>
      </c>
      <c r="BG154" s="1966" t="s">
        <v>561</v>
      </c>
      <c r="BH154" s="1966" t="s">
        <v>558</v>
      </c>
      <c r="BI154" s="1977" t="s">
        <v>399</v>
      </c>
      <c r="BJ154" s="1956"/>
      <c r="BK154" s="1971" t="s">
        <v>471</v>
      </c>
      <c r="BL154" s="1966" t="s">
        <v>473</v>
      </c>
      <c r="BM154" s="1376" t="s">
        <v>554</v>
      </c>
      <c r="BN154" s="1981" t="s">
        <v>470</v>
      </c>
      <c r="BO154" s="861"/>
      <c r="BP154" s="353"/>
      <c r="BQ154" s="860"/>
      <c r="BR154" s="453"/>
      <c r="BS154" s="453"/>
      <c r="BT154" s="453"/>
      <c r="BU154" s="861"/>
      <c r="BV154" s="353"/>
      <c r="BW154" s="860"/>
      <c r="BX154" s="453"/>
      <c r="BY154" s="453"/>
      <c r="BZ154" s="453"/>
      <c r="CA154" s="861"/>
      <c r="CB154" s="353"/>
      <c r="CC154" s="860"/>
      <c r="CD154" s="453"/>
      <c r="CE154" s="453"/>
      <c r="CF154" s="453"/>
      <c r="CG154" s="861"/>
      <c r="CH154" s="353"/>
      <c r="CI154" s="860"/>
      <c r="CJ154" s="453"/>
      <c r="CK154" s="453"/>
      <c r="CL154" s="453"/>
      <c r="CM154" s="861"/>
    </row>
    <row r="155" spans="1:91" s="228" customFormat="1">
      <c r="A155" s="900" t="s">
        <v>179</v>
      </c>
      <c r="B155" s="353"/>
      <c r="C155" s="860"/>
      <c r="D155" s="453"/>
      <c r="E155" s="453"/>
      <c r="F155" s="453"/>
      <c r="G155" s="861"/>
      <c r="H155" s="353"/>
      <c r="I155" s="860"/>
      <c r="J155" s="453"/>
      <c r="K155" s="453"/>
      <c r="L155" s="453"/>
      <c r="M155" s="861"/>
      <c r="N155" s="353"/>
      <c r="O155" s="1672"/>
      <c r="P155" s="1376"/>
      <c r="Q155" s="1376"/>
      <c r="R155" s="1376"/>
      <c r="S155" s="1955"/>
      <c r="T155" s="1956"/>
      <c r="U155" s="1672"/>
      <c r="V155" s="1376"/>
      <c r="W155" s="1376"/>
      <c r="X155" s="1376"/>
      <c r="Y155" s="1955"/>
      <c r="Z155" s="1956"/>
      <c r="AA155" s="1985" t="s">
        <v>554</v>
      </c>
      <c r="AB155" s="1981" t="s">
        <v>575</v>
      </c>
      <c r="AC155" s="1981" t="s">
        <v>574</v>
      </c>
      <c r="AD155" s="1981" t="s">
        <v>477</v>
      </c>
      <c r="AE155" s="1955" t="s">
        <v>399</v>
      </c>
      <c r="AF155" s="1956"/>
      <c r="AG155" s="1985" t="s">
        <v>472</v>
      </c>
      <c r="AH155" s="1981" t="s">
        <v>472</v>
      </c>
      <c r="AI155" s="1981" t="s">
        <v>472</v>
      </c>
      <c r="AJ155" s="1376" t="s">
        <v>475</v>
      </c>
      <c r="AK155" s="1955" t="s">
        <v>399</v>
      </c>
      <c r="AL155" s="1956"/>
      <c r="AM155" s="1985" t="s">
        <v>473</v>
      </c>
      <c r="AN155" s="1981" t="s">
        <v>473</v>
      </c>
      <c r="AO155" s="1981" t="s">
        <v>472</v>
      </c>
      <c r="AP155" s="1981" t="s">
        <v>473</v>
      </c>
      <c r="AQ155" s="1955" t="s">
        <v>399</v>
      </c>
      <c r="AR155" s="1956"/>
      <c r="AS155" s="1672" t="s">
        <v>475</v>
      </c>
      <c r="AT155" s="1376" t="s">
        <v>571</v>
      </c>
      <c r="AU155" s="1981" t="s">
        <v>472</v>
      </c>
      <c r="AV155" s="1981" t="s">
        <v>566</v>
      </c>
      <c r="AW155" s="1955" t="s">
        <v>399</v>
      </c>
      <c r="AX155" s="1956"/>
      <c r="AY155" s="1972" t="s">
        <v>399</v>
      </c>
      <c r="AZ155" s="1966" t="s">
        <v>568</v>
      </c>
      <c r="BA155" s="1966" t="s">
        <v>568</v>
      </c>
      <c r="BB155" s="1966" t="s">
        <v>567</v>
      </c>
      <c r="BC155" s="1977" t="s">
        <v>6</v>
      </c>
      <c r="BD155" s="1975"/>
      <c r="BE155" s="1972" t="s">
        <v>490</v>
      </c>
      <c r="BF155" s="1966" t="s">
        <v>399</v>
      </c>
      <c r="BG155" s="1969" t="s">
        <v>577</v>
      </c>
      <c r="BH155" s="1967" t="s">
        <v>485</v>
      </c>
      <c r="BI155" s="1977" t="s">
        <v>399</v>
      </c>
      <c r="BJ155" s="1956"/>
      <c r="BK155" s="1971" t="s">
        <v>470</v>
      </c>
      <c r="BL155" s="1966" t="s">
        <v>472</v>
      </c>
      <c r="BM155" s="1376" t="s">
        <v>472</v>
      </c>
      <c r="BN155" s="1981" t="s">
        <v>476</v>
      </c>
      <c r="BO155" s="861"/>
      <c r="BP155" s="353"/>
      <c r="BQ155" s="860"/>
      <c r="BR155" s="453"/>
      <c r="BS155" s="453"/>
      <c r="BT155" s="453"/>
      <c r="BU155" s="861"/>
      <c r="BV155" s="353"/>
      <c r="BW155" s="860"/>
      <c r="BX155" s="453"/>
      <c r="BY155" s="453"/>
      <c r="BZ155" s="453"/>
      <c r="CA155" s="861"/>
      <c r="CB155" s="353"/>
      <c r="CC155" s="860"/>
      <c r="CD155" s="453"/>
      <c r="CE155" s="453"/>
      <c r="CF155" s="453"/>
      <c r="CG155" s="861"/>
      <c r="CH155" s="353"/>
      <c r="CI155" s="860"/>
      <c r="CJ155" s="453"/>
      <c r="CK155" s="453"/>
      <c r="CL155" s="453"/>
      <c r="CM155" s="861"/>
    </row>
    <row r="156" spans="1:91" s="228" customFormat="1">
      <c r="A156" s="900" t="s">
        <v>216</v>
      </c>
      <c r="B156" s="353"/>
      <c r="C156" s="860"/>
      <c r="D156" s="453"/>
      <c r="E156" s="453"/>
      <c r="F156" s="453"/>
      <c r="G156" s="861"/>
      <c r="H156" s="353"/>
      <c r="I156" s="860"/>
      <c r="J156" s="453"/>
      <c r="K156" s="453"/>
      <c r="L156" s="453"/>
      <c r="M156" s="861"/>
      <c r="N156" s="353"/>
      <c r="O156" s="1672"/>
      <c r="P156" s="1376"/>
      <c r="Q156" s="1376"/>
      <c r="R156" s="1376"/>
      <c r="S156" s="1955"/>
      <c r="T156" s="1956"/>
      <c r="U156" s="1672"/>
      <c r="V156" s="1376"/>
      <c r="W156" s="1376"/>
      <c r="X156" s="1376"/>
      <c r="Y156" s="1955"/>
      <c r="Z156" s="1956"/>
      <c r="AA156" s="1672" t="s">
        <v>554</v>
      </c>
      <c r="AB156" s="1981" t="s">
        <v>476</v>
      </c>
      <c r="AC156" s="1981" t="s">
        <v>471</v>
      </c>
      <c r="AD156" s="1981" t="s">
        <v>477</v>
      </c>
      <c r="AE156" s="1955" t="s">
        <v>399</v>
      </c>
      <c r="AF156" s="1956"/>
      <c r="AG156" s="1985" t="s">
        <v>472</v>
      </c>
      <c r="AH156" s="1981" t="s">
        <v>473</v>
      </c>
      <c r="AI156" s="1981" t="s">
        <v>473</v>
      </c>
      <c r="AJ156" s="1376" t="s">
        <v>484</v>
      </c>
      <c r="AK156" s="1955" t="s">
        <v>399</v>
      </c>
      <c r="AL156" s="1956"/>
      <c r="AM156" s="1985" t="s">
        <v>573</v>
      </c>
      <c r="AN156" s="1981" t="s">
        <v>471</v>
      </c>
      <c r="AO156" s="1981" t="s">
        <v>472</v>
      </c>
      <c r="AP156" s="1981" t="s">
        <v>471</v>
      </c>
      <c r="AQ156" s="1955" t="s">
        <v>399</v>
      </c>
      <c r="AR156" s="1956"/>
      <c r="AS156" s="1672" t="s">
        <v>475</v>
      </c>
      <c r="AT156" s="1376" t="s">
        <v>571</v>
      </c>
      <c r="AU156" s="1981" t="s">
        <v>472</v>
      </c>
      <c r="AV156" s="1981" t="s">
        <v>472</v>
      </c>
      <c r="AW156" s="1955" t="s">
        <v>399</v>
      </c>
      <c r="AX156" s="1956"/>
      <c r="AY156" s="1971" t="s">
        <v>470</v>
      </c>
      <c r="AZ156" s="1966" t="s">
        <v>399</v>
      </c>
      <c r="BA156" s="1966" t="s">
        <v>564</v>
      </c>
      <c r="BB156" s="1966" t="s">
        <v>567</v>
      </c>
      <c r="BC156" s="1979" t="s">
        <v>471</v>
      </c>
      <c r="BD156" s="1975"/>
      <c r="BE156" s="1971" t="s">
        <v>473</v>
      </c>
      <c r="BF156" s="1969" t="s">
        <v>562</v>
      </c>
      <c r="BG156" s="1969" t="s">
        <v>475</v>
      </c>
      <c r="BH156" s="1967" t="s">
        <v>485</v>
      </c>
      <c r="BI156" s="1979" t="s">
        <v>485</v>
      </c>
      <c r="BJ156" s="1956"/>
      <c r="BK156" s="1972" t="s">
        <v>475</v>
      </c>
      <c r="BL156" s="1969" t="s">
        <v>472</v>
      </c>
      <c r="BM156" s="1376" t="s">
        <v>472</v>
      </c>
      <c r="BN156" s="1981" t="s">
        <v>470</v>
      </c>
      <c r="BO156" s="861"/>
      <c r="BP156" s="353"/>
      <c r="BQ156" s="860"/>
      <c r="BR156" s="453"/>
      <c r="BS156" s="453"/>
      <c r="BT156" s="453"/>
      <c r="BU156" s="861"/>
      <c r="BV156" s="353"/>
      <c r="BW156" s="860"/>
      <c r="BX156" s="453"/>
      <c r="BY156" s="453"/>
      <c r="BZ156" s="453"/>
      <c r="CA156" s="861"/>
      <c r="CB156" s="353"/>
      <c r="CC156" s="860"/>
      <c r="CD156" s="453"/>
      <c r="CE156" s="453"/>
      <c r="CF156" s="453"/>
      <c r="CG156" s="861"/>
      <c r="CH156" s="353"/>
      <c r="CI156" s="860"/>
      <c r="CJ156" s="453"/>
      <c r="CK156" s="453"/>
      <c r="CL156" s="453"/>
      <c r="CM156" s="861"/>
    </row>
    <row r="157" spans="1:91">
      <c r="A157" s="897" t="s">
        <v>213</v>
      </c>
      <c r="B157" s="227"/>
      <c r="C157" s="848"/>
      <c r="D157" s="849"/>
      <c r="E157" s="849"/>
      <c r="F157" s="849"/>
      <c r="G157" s="850"/>
      <c r="H157" s="227"/>
      <c r="I157" s="848"/>
      <c r="J157" s="849"/>
      <c r="K157" s="849"/>
      <c r="L157" s="849"/>
      <c r="M157" s="850"/>
      <c r="N157" s="227"/>
      <c r="O157" s="1957"/>
      <c r="P157" s="1958"/>
      <c r="Q157" s="1958"/>
      <c r="R157" s="1958"/>
      <c r="S157" s="1959"/>
      <c r="T157" s="1960"/>
      <c r="U157" s="1957"/>
      <c r="V157" s="1958"/>
      <c r="W157" s="1958"/>
      <c r="X157" s="1958"/>
      <c r="Y157" s="1959"/>
      <c r="Z157" s="1960"/>
      <c r="AA157" s="1985" t="s">
        <v>471</v>
      </c>
      <c r="AB157" s="1958" t="s">
        <v>399</v>
      </c>
      <c r="AC157" s="1982" t="s">
        <v>485</v>
      </c>
      <c r="AD157" s="1376" t="s">
        <v>399</v>
      </c>
      <c r="AE157" s="1959" t="s">
        <v>399</v>
      </c>
      <c r="AF157" s="1960"/>
      <c r="AG157" s="1957" t="s">
        <v>399</v>
      </c>
      <c r="AH157" s="1958" t="s">
        <v>572</v>
      </c>
      <c r="AI157" s="1981" t="s">
        <v>470</v>
      </c>
      <c r="AJ157" s="1981" t="s">
        <v>471</v>
      </c>
      <c r="AK157" s="1959" t="s">
        <v>399</v>
      </c>
      <c r="AL157" s="1960"/>
      <c r="AM157" s="1984" t="s">
        <v>399</v>
      </c>
      <c r="AN157" s="1982" t="s">
        <v>470</v>
      </c>
      <c r="AO157" s="1982" t="s">
        <v>470</v>
      </c>
      <c r="AP157" s="1958" t="s">
        <v>399</v>
      </c>
      <c r="AQ157" s="1959" t="s">
        <v>399</v>
      </c>
      <c r="AR157" s="1960"/>
      <c r="AS157" s="1984" t="s">
        <v>471</v>
      </c>
      <c r="AT157" s="1958" t="s">
        <v>475</v>
      </c>
      <c r="AU157" s="1982" t="s">
        <v>472</v>
      </c>
      <c r="AV157" s="1982" t="s">
        <v>471</v>
      </c>
      <c r="AW157" s="1959" t="s">
        <v>399</v>
      </c>
      <c r="AX157" s="1960"/>
      <c r="AY157" s="1972" t="s">
        <v>564</v>
      </c>
      <c r="AZ157" s="1966" t="s">
        <v>564</v>
      </c>
      <c r="BA157" s="1966" t="s">
        <v>569</v>
      </c>
      <c r="BB157" s="1966" t="s">
        <v>563</v>
      </c>
      <c r="BC157" s="1979" t="s">
        <v>470</v>
      </c>
      <c r="BD157" s="1975"/>
      <c r="BE157" s="1971" t="s">
        <v>470</v>
      </c>
      <c r="BF157" s="1966" t="s">
        <v>559</v>
      </c>
      <c r="BG157" s="1969" t="s">
        <v>473</v>
      </c>
      <c r="BH157" s="1967" t="s">
        <v>472</v>
      </c>
      <c r="BI157" s="1977" t="s">
        <v>399</v>
      </c>
      <c r="BJ157" s="1956"/>
      <c r="BK157" s="1971" t="s">
        <v>471</v>
      </c>
      <c r="BL157" s="1966" t="s">
        <v>472</v>
      </c>
      <c r="BM157" s="1958" t="s">
        <v>471</v>
      </c>
      <c r="BN157" s="1982" t="s">
        <v>476</v>
      </c>
      <c r="BO157" s="850"/>
      <c r="BP157" s="227"/>
      <c r="BQ157" s="848"/>
      <c r="BR157" s="849"/>
      <c r="BS157" s="849"/>
      <c r="BT157" s="849"/>
      <c r="BU157" s="850"/>
      <c r="BV157" s="227"/>
      <c r="BW157" s="848"/>
      <c r="BX157" s="849"/>
      <c r="BY157" s="849"/>
      <c r="BZ157" s="849"/>
      <c r="CA157" s="850"/>
      <c r="CB157" s="227"/>
      <c r="CC157" s="848"/>
      <c r="CD157" s="849"/>
      <c r="CE157" s="849"/>
      <c r="CF157" s="849"/>
      <c r="CG157" s="850"/>
      <c r="CH157" s="227"/>
      <c r="CI157" s="848"/>
      <c r="CJ157" s="849"/>
      <c r="CK157" s="849"/>
      <c r="CL157" s="849"/>
      <c r="CM157" s="850"/>
    </row>
    <row r="158" spans="1:91">
      <c r="A158" s="898" t="s">
        <v>214</v>
      </c>
      <c r="B158" s="424"/>
      <c r="C158" s="899"/>
      <c r="D158" s="426"/>
      <c r="E158" s="426"/>
      <c r="F158" s="426"/>
      <c r="G158" s="427"/>
      <c r="H158" s="424"/>
      <c r="I158" s="899"/>
      <c r="J158" s="426"/>
      <c r="K158" s="426"/>
      <c r="L158" s="426"/>
      <c r="M158" s="427"/>
      <c r="N158" s="424"/>
      <c r="O158" s="1961"/>
      <c r="P158" s="1962"/>
      <c r="Q158" s="1962"/>
      <c r="R158" s="1962"/>
      <c r="S158" s="1963"/>
      <c r="T158" s="1964"/>
      <c r="U158" s="1961"/>
      <c r="V158" s="1962"/>
      <c r="W158" s="1962"/>
      <c r="X158" s="1962"/>
      <c r="Y158" s="1963"/>
      <c r="Z158" s="1964"/>
      <c r="AA158" s="1988" t="s">
        <v>471</v>
      </c>
      <c r="AB158" s="1962" t="s">
        <v>576</v>
      </c>
      <c r="AC158" s="1983" t="s">
        <v>475</v>
      </c>
      <c r="AD158" s="1987" t="s">
        <v>399</v>
      </c>
      <c r="AE158" s="1963" t="s">
        <v>399</v>
      </c>
      <c r="AF158" s="1964"/>
      <c r="AG158" s="1961" t="s">
        <v>399</v>
      </c>
      <c r="AH158" s="1962" t="s">
        <v>399</v>
      </c>
      <c r="AI158" s="1987" t="s">
        <v>399</v>
      </c>
      <c r="AJ158" s="1987" t="s">
        <v>572</v>
      </c>
      <c r="AK158" s="1963" t="s">
        <v>399</v>
      </c>
      <c r="AL158" s="1964"/>
      <c r="AM158" s="1988" t="s">
        <v>560</v>
      </c>
      <c r="AN158" s="1962" t="s">
        <v>399</v>
      </c>
      <c r="AO158" s="1983" t="s">
        <v>485</v>
      </c>
      <c r="AP158" s="1962" t="s">
        <v>399</v>
      </c>
      <c r="AQ158" s="1963" t="s">
        <v>399</v>
      </c>
      <c r="AR158" s="1964"/>
      <c r="AS158" s="1961" t="s">
        <v>399</v>
      </c>
      <c r="AT158" s="1983" t="s">
        <v>484</v>
      </c>
      <c r="AU158" s="1983" t="s">
        <v>473</v>
      </c>
      <c r="AV158" s="1983" t="s">
        <v>472</v>
      </c>
      <c r="AW158" s="1963" t="s">
        <v>399</v>
      </c>
      <c r="AX158" s="1964"/>
      <c r="AY158" s="1974" t="s">
        <v>570</v>
      </c>
      <c r="AZ158" s="1970" t="s">
        <v>569</v>
      </c>
      <c r="BA158" s="1970" t="s">
        <v>564</v>
      </c>
      <c r="BB158" s="1970" t="s">
        <v>565</v>
      </c>
      <c r="BC158" s="1980" t="s">
        <v>472</v>
      </c>
      <c r="BD158" s="1976"/>
      <c r="BE158" s="1974" t="s">
        <v>565</v>
      </c>
      <c r="BF158" s="1970" t="s">
        <v>560</v>
      </c>
      <c r="BG158" s="1998" t="s">
        <v>578</v>
      </c>
      <c r="BH158" s="1965" t="s">
        <v>471</v>
      </c>
      <c r="BI158" s="1978" t="s">
        <v>399</v>
      </c>
      <c r="BJ158" s="1968"/>
      <c r="BK158" s="1973" t="s">
        <v>473</v>
      </c>
      <c r="BL158" s="1970" t="s">
        <v>473</v>
      </c>
      <c r="BM158" s="1987" t="s">
        <v>472</v>
      </c>
      <c r="BN158" s="1983" t="s">
        <v>473</v>
      </c>
      <c r="BO158" s="427"/>
      <c r="BP158" s="424"/>
      <c r="BQ158" s="899"/>
      <c r="BR158" s="426"/>
      <c r="BS158" s="426"/>
      <c r="BT158" s="426"/>
      <c r="BU158" s="427"/>
      <c r="BV158" s="424"/>
      <c r="BW158" s="899"/>
      <c r="BX158" s="426"/>
      <c r="BY158" s="426"/>
      <c r="BZ158" s="426"/>
      <c r="CA158" s="427"/>
      <c r="CB158" s="424"/>
      <c r="CC158" s="899"/>
      <c r="CD158" s="426"/>
      <c r="CE158" s="426"/>
      <c r="CF158" s="426"/>
      <c r="CG158" s="427"/>
      <c r="CH158" s="424"/>
      <c r="CI158" s="899"/>
      <c r="CJ158" s="426"/>
      <c r="CK158" s="426"/>
      <c r="CL158" s="426"/>
      <c r="CM158" s="427"/>
    </row>
    <row r="159" spans="1:91">
      <c r="BD159" s="228"/>
    </row>
    <row r="160" spans="1:91" s="97" customFormat="1">
      <c r="A160" s="1323" t="s">
        <v>557</v>
      </c>
      <c r="B160" s="1324"/>
      <c r="C160" s="1325"/>
      <c r="D160" s="1324"/>
      <c r="E160" s="1324"/>
      <c r="F160" s="1324"/>
      <c r="G160" s="1326"/>
      <c r="H160" s="1324"/>
      <c r="I160" s="1325"/>
      <c r="J160" s="1324"/>
      <c r="K160" s="1324"/>
      <c r="L160" s="1327"/>
      <c r="M160" s="1326"/>
      <c r="N160" s="1324"/>
      <c r="O160" s="1325"/>
      <c r="P160" s="1324"/>
      <c r="Q160" s="1324"/>
      <c r="R160" s="1327"/>
      <c r="S160" s="1326"/>
      <c r="T160" s="1324"/>
      <c r="U160" s="1325"/>
      <c r="V160" s="1324"/>
      <c r="W160" s="1324"/>
      <c r="X160" s="1324"/>
      <c r="Y160" s="1326"/>
      <c r="Z160" s="1324"/>
      <c r="AA160" s="1325"/>
      <c r="AB160" s="1324"/>
      <c r="AC160" s="1324"/>
      <c r="AD160" s="1327"/>
      <c r="AE160" s="1326"/>
      <c r="AF160" s="1324"/>
      <c r="AG160" s="1325"/>
      <c r="AH160" s="1324"/>
      <c r="AI160" s="1324"/>
      <c r="AJ160" s="1324"/>
      <c r="AK160" s="1326"/>
      <c r="AL160" s="1324"/>
      <c r="AM160" s="1325"/>
      <c r="AN160" s="1324"/>
      <c r="AO160" s="1324"/>
      <c r="AP160" s="1327"/>
      <c r="AQ160" s="1326"/>
      <c r="AR160" s="1324"/>
      <c r="AS160" s="1325"/>
      <c r="AT160" s="1324"/>
      <c r="AU160" s="1324"/>
      <c r="AV160" s="1324"/>
      <c r="AW160" s="1326"/>
      <c r="AX160" s="1324"/>
      <c r="AY160" s="1325"/>
      <c r="AZ160" s="1324"/>
      <c r="BA160" s="1324"/>
      <c r="BB160" s="1327"/>
      <c r="BC160" s="1326"/>
      <c r="BD160" s="1324"/>
      <c r="BE160" s="1325"/>
      <c r="BF160" s="1324"/>
      <c r="BG160" s="1324"/>
      <c r="BH160" s="1327"/>
      <c r="BI160" s="1326"/>
      <c r="BJ160" s="1324"/>
      <c r="BK160" s="1325"/>
      <c r="BL160" s="1324"/>
      <c r="BM160" s="1324"/>
      <c r="BN160" s="1324"/>
      <c r="BO160" s="1326"/>
      <c r="BP160" s="1324"/>
      <c r="BQ160" s="1325"/>
      <c r="BR160" s="1324"/>
      <c r="BS160" s="1324"/>
      <c r="BT160" s="1324"/>
      <c r="BU160" s="1326"/>
      <c r="BV160" s="1324"/>
      <c r="BW160" s="1325"/>
      <c r="BX160" s="1324"/>
      <c r="BY160" s="1324"/>
      <c r="BZ160" s="1324"/>
      <c r="CA160" s="1326"/>
      <c r="CB160" s="1324"/>
      <c r="CC160" s="1325"/>
      <c r="CD160" s="1324"/>
      <c r="CE160" s="1324"/>
      <c r="CF160" s="1324"/>
      <c r="CG160" s="1326"/>
      <c r="CH160" s="1324"/>
      <c r="CI160" s="1325"/>
      <c r="CJ160" s="1324"/>
      <c r="CK160" s="1324"/>
      <c r="CL160" s="1324"/>
      <c r="CM160" s="1326"/>
    </row>
    <row r="161" spans="1:91" s="228" customFormat="1">
      <c r="A161" s="900" t="s">
        <v>26</v>
      </c>
      <c r="B161" s="353"/>
      <c r="C161" s="860"/>
      <c r="D161" s="453"/>
      <c r="E161" s="453"/>
      <c r="F161" s="453"/>
      <c r="G161" s="861"/>
      <c r="H161" s="353"/>
      <c r="I161" s="860"/>
      <c r="J161" s="453"/>
      <c r="K161" s="453"/>
      <c r="L161" s="453"/>
      <c r="M161" s="861"/>
      <c r="N161" s="353"/>
      <c r="O161" s="1672"/>
      <c r="P161" s="1376"/>
      <c r="Q161" s="1376"/>
      <c r="R161" s="1376"/>
      <c r="S161" s="1955"/>
      <c r="T161" s="1956"/>
      <c r="U161" s="1672"/>
      <c r="V161" s="1376"/>
      <c r="W161" s="1376"/>
      <c r="X161" s="1376"/>
      <c r="Y161" s="1955"/>
      <c r="Z161" s="1956"/>
      <c r="AA161" s="1985">
        <v>0.105</v>
      </c>
      <c r="AB161" s="1376">
        <v>0.02</v>
      </c>
      <c r="AC161" s="1376">
        <v>0.02</v>
      </c>
      <c r="AD161" s="1376">
        <v>0.02</v>
      </c>
      <c r="AE161" s="861">
        <f>AVERAGE(AA161:AD161)</f>
        <v>4.1249999999999995E-2</v>
      </c>
      <c r="AF161" s="1956"/>
      <c r="AG161" s="1985">
        <v>0.02</v>
      </c>
      <c r="AH161" s="1376">
        <v>0.08</v>
      </c>
      <c r="AI161" s="1376">
        <v>0.08</v>
      </c>
      <c r="AJ161" s="1376">
        <v>0.105</v>
      </c>
      <c r="AK161" s="861">
        <f>AVERAGE(AG161:AJ161)</f>
        <v>7.1249999999999994E-2</v>
      </c>
      <c r="AL161" s="1956"/>
      <c r="AM161" s="1985">
        <v>0.05</v>
      </c>
      <c r="AN161" s="1376">
        <v>0.08</v>
      </c>
      <c r="AO161" s="1376">
        <v>0.05</v>
      </c>
      <c r="AP161" s="1376">
        <v>0.05</v>
      </c>
      <c r="AQ161" s="861">
        <f>AVERAGE(AM161:AP161)</f>
        <v>5.7499999999999996E-2</v>
      </c>
      <c r="AR161" s="1956"/>
      <c r="AS161" s="1985">
        <v>0.105</v>
      </c>
      <c r="AT161" s="1376">
        <v>0.05</v>
      </c>
      <c r="AU161" s="1376">
        <v>0.08</v>
      </c>
      <c r="AV161" s="1989" t="s">
        <v>6</v>
      </c>
      <c r="AW161" s="861">
        <f>AVERAGE(AS161:AV161)</f>
        <v>7.8333333333333324E-2</v>
      </c>
      <c r="AX161" s="1956"/>
      <c r="AY161" s="1990" t="s">
        <v>6</v>
      </c>
      <c r="AZ161" s="1989" t="s">
        <v>6</v>
      </c>
      <c r="BA161" s="1989" t="s">
        <v>6</v>
      </c>
      <c r="BB161" s="1989" t="s">
        <v>6</v>
      </c>
      <c r="BC161" s="1996" t="s">
        <v>6</v>
      </c>
      <c r="BD161" s="1956"/>
      <c r="BE161" s="1990" t="s">
        <v>6</v>
      </c>
      <c r="BF161" s="1989" t="s">
        <v>6</v>
      </c>
      <c r="BG161" s="1989" t="s">
        <v>6</v>
      </c>
      <c r="BH161" s="1989" t="s">
        <v>6</v>
      </c>
      <c r="BI161" s="1996" t="s">
        <v>6</v>
      </c>
      <c r="BJ161" s="1991"/>
      <c r="BK161" s="1985">
        <f>8%-0.6%</f>
        <v>7.3999999999999996E-2</v>
      </c>
      <c r="BL161" s="1817">
        <f>8%+0.9%+0.6%</f>
        <v>9.5000000000000001E-2</v>
      </c>
      <c r="BM161" s="1817">
        <f>5%-0.9%</f>
        <v>4.1000000000000002E-2</v>
      </c>
      <c r="BN161" s="453"/>
      <c r="BO161" s="861"/>
      <c r="BP161" s="353"/>
      <c r="BQ161" s="860"/>
      <c r="BR161" s="453"/>
      <c r="BS161" s="453"/>
      <c r="BT161" s="453"/>
      <c r="BU161" s="861"/>
      <c r="BV161" s="353"/>
      <c r="BW161" s="860"/>
      <c r="BX161" s="453"/>
      <c r="BY161" s="453"/>
      <c r="BZ161" s="453"/>
      <c r="CA161" s="861"/>
      <c r="CB161" s="353"/>
      <c r="CC161" s="860"/>
      <c r="CD161" s="453"/>
      <c r="CE161" s="453"/>
      <c r="CF161" s="453"/>
      <c r="CG161" s="861"/>
      <c r="CH161" s="353"/>
      <c r="CI161" s="860"/>
      <c r="CJ161" s="453"/>
      <c r="CK161" s="453"/>
      <c r="CL161" s="453"/>
      <c r="CM161" s="861"/>
    </row>
    <row r="162" spans="1:91" s="228" customFormat="1">
      <c r="A162" s="900" t="s">
        <v>556</v>
      </c>
      <c r="B162" s="353"/>
      <c r="C162" s="860"/>
      <c r="D162" s="453"/>
      <c r="E162" s="453"/>
      <c r="F162" s="453"/>
      <c r="G162" s="861"/>
      <c r="H162" s="353"/>
      <c r="I162" s="860"/>
      <c r="J162" s="453"/>
      <c r="K162" s="453"/>
      <c r="L162" s="453"/>
      <c r="M162" s="861"/>
      <c r="N162" s="353"/>
      <c r="O162" s="1672"/>
      <c r="P162" s="1376"/>
      <c r="Q162" s="1376"/>
      <c r="R162" s="1376"/>
      <c r="S162" s="1955"/>
      <c r="T162" s="1956"/>
      <c r="U162" s="1672"/>
      <c r="V162" s="1376"/>
      <c r="W162" s="1376"/>
      <c r="X162" s="1376"/>
      <c r="Y162" s="1955"/>
      <c r="Z162" s="1956"/>
      <c r="AA162" s="1990" t="s">
        <v>6</v>
      </c>
      <c r="AB162" s="1989" t="s">
        <v>6</v>
      </c>
      <c r="AC162" s="1989" t="s">
        <v>6</v>
      </c>
      <c r="AD162" s="1989" t="s">
        <v>6</v>
      </c>
      <c r="AE162" s="1992" t="s">
        <v>6</v>
      </c>
      <c r="AF162" s="1956"/>
      <c r="AG162" s="1990" t="s">
        <v>6</v>
      </c>
      <c r="AH162" s="1989" t="s">
        <v>6</v>
      </c>
      <c r="AI162" s="1989" t="s">
        <v>6</v>
      </c>
      <c r="AJ162" s="1989" t="s">
        <v>6</v>
      </c>
      <c r="AK162" s="1992" t="s">
        <v>6</v>
      </c>
      <c r="AL162" s="1956"/>
      <c r="AM162" s="1990" t="s">
        <v>6</v>
      </c>
      <c r="AN162" s="1989" t="s">
        <v>6</v>
      </c>
      <c r="AO162" s="1989" t="s">
        <v>6</v>
      </c>
      <c r="AP162" s="1989" t="s">
        <v>6</v>
      </c>
      <c r="AQ162" s="1992" t="s">
        <v>6</v>
      </c>
      <c r="AR162" s="1956"/>
      <c r="AS162" s="1990" t="s">
        <v>6</v>
      </c>
      <c r="AT162" s="1989" t="s">
        <v>6</v>
      </c>
      <c r="AU162" s="1989" t="s">
        <v>6</v>
      </c>
      <c r="AV162" s="1376">
        <v>6.5000000000000002E-2</v>
      </c>
      <c r="AW162" s="861">
        <f t="shared" ref="AW162:AW166" si="208">AVERAGE(AS162:AV162)</f>
        <v>6.5000000000000002E-2</v>
      </c>
      <c r="AX162" s="1956"/>
      <c r="AY162" s="1985">
        <v>0.04</v>
      </c>
      <c r="AZ162" s="1376">
        <v>0.06</v>
      </c>
      <c r="BA162" s="1376">
        <f>8%-4%</f>
        <v>0.04</v>
      </c>
      <c r="BB162" s="1376">
        <v>8.5000000000000006E-2</v>
      </c>
      <c r="BC162" s="861">
        <f t="shared" ref="BC162:BC166" si="209">AVERAGE(AY162:BB162)</f>
        <v>5.6250000000000008E-2</v>
      </c>
      <c r="BD162" s="1956"/>
      <c r="BE162" s="1985">
        <v>8.5000000000000006E-2</v>
      </c>
      <c r="BF162" s="1376">
        <v>0.17</v>
      </c>
      <c r="BG162" s="1376">
        <f>16%+4.4%</f>
        <v>0.20400000000000001</v>
      </c>
      <c r="BH162" s="1376">
        <v>0.13500000000000001</v>
      </c>
      <c r="BI162" s="861">
        <f t="shared" ref="BI162:BI166" si="210">AVERAGE(BE162:BH162)</f>
        <v>0.14850000000000002</v>
      </c>
      <c r="BJ162" s="1956"/>
      <c r="BK162" s="1985">
        <f>5%-0.6%</f>
        <v>4.4000000000000004E-2</v>
      </c>
      <c r="BL162" s="1817">
        <f>-2%+0.9%+0.6%</f>
        <v>-4.9999999999999992E-3</v>
      </c>
      <c r="BM162" s="1817">
        <f>22%-0.9%</f>
        <v>0.21099999999999999</v>
      </c>
      <c r="BN162" s="1376">
        <v>0.08</v>
      </c>
      <c r="BO162" s="861">
        <f t="shared" ref="BO162:BO166" si="211">AVERAGE(BK162:BN162)</f>
        <v>8.2500000000000004E-2</v>
      </c>
      <c r="BP162" s="353"/>
      <c r="BQ162" s="860"/>
      <c r="BR162" s="453"/>
      <c r="BS162" s="453"/>
      <c r="BT162" s="453"/>
      <c r="BU162" s="861"/>
      <c r="BV162" s="353"/>
      <c r="BW162" s="860"/>
      <c r="BX162" s="453"/>
      <c r="BY162" s="453"/>
      <c r="BZ162" s="453"/>
      <c r="CA162" s="861"/>
      <c r="CB162" s="353"/>
      <c r="CC162" s="860"/>
      <c r="CD162" s="453"/>
      <c r="CE162" s="453"/>
      <c r="CF162" s="453"/>
      <c r="CG162" s="861"/>
      <c r="CH162" s="353"/>
      <c r="CI162" s="860"/>
      <c r="CJ162" s="453"/>
      <c r="CK162" s="453"/>
      <c r="CL162" s="453"/>
      <c r="CM162" s="861"/>
    </row>
    <row r="163" spans="1:91" s="228" customFormat="1">
      <c r="A163" s="900" t="s">
        <v>179</v>
      </c>
      <c r="B163" s="353"/>
      <c r="C163" s="860"/>
      <c r="D163" s="453"/>
      <c r="E163" s="453"/>
      <c r="F163" s="453"/>
      <c r="G163" s="861"/>
      <c r="H163" s="353"/>
      <c r="I163" s="860"/>
      <c r="J163" s="453"/>
      <c r="K163" s="453"/>
      <c r="L163" s="453"/>
      <c r="M163" s="861"/>
      <c r="N163" s="353"/>
      <c r="O163" s="1672"/>
      <c r="P163" s="1376"/>
      <c r="Q163" s="1376"/>
      <c r="R163" s="1376"/>
      <c r="S163" s="1955"/>
      <c r="T163" s="1956"/>
      <c r="U163" s="1672"/>
      <c r="V163" s="1376"/>
      <c r="W163" s="1376"/>
      <c r="X163" s="1376"/>
      <c r="Y163" s="1955"/>
      <c r="Z163" s="1956"/>
      <c r="AA163" s="1672">
        <v>0.22</v>
      </c>
      <c r="AB163" s="1376">
        <v>0.15</v>
      </c>
      <c r="AC163" s="1376">
        <v>0.13500000000000001</v>
      </c>
      <c r="AD163" s="1376">
        <v>0.12</v>
      </c>
      <c r="AE163" s="861">
        <f t="shared" ref="AE163:AE166" si="212">AVERAGE(AA163:AD163)</f>
        <v>0.15625</v>
      </c>
      <c r="AF163" s="1956"/>
      <c r="AG163" s="1672">
        <v>0.02</v>
      </c>
      <c r="AH163" s="1376">
        <v>0.02</v>
      </c>
      <c r="AI163" s="1376">
        <v>0.02</v>
      </c>
      <c r="AJ163" s="1376">
        <v>0</v>
      </c>
      <c r="AK163" s="861">
        <f t="shared" ref="AK163:AK166" si="213">AVERAGE(AG163:AJ163)</f>
        <v>1.4999999999999999E-2</v>
      </c>
      <c r="AL163" s="1956"/>
      <c r="AM163" s="1672">
        <v>-0.02</v>
      </c>
      <c r="AN163" s="1376">
        <v>-0.02</v>
      </c>
      <c r="AO163" s="1376">
        <v>0.02</v>
      </c>
      <c r="AP163" s="1376">
        <v>-0.02</v>
      </c>
      <c r="AQ163" s="861">
        <f t="shared" ref="AQ163:AQ166" si="214">AVERAGE(AM163:AP163)</f>
        <v>-0.01</v>
      </c>
      <c r="AR163" s="1956"/>
      <c r="AS163" s="1672">
        <v>0</v>
      </c>
      <c r="AT163" s="1376">
        <v>-0.01</v>
      </c>
      <c r="AU163" s="1376">
        <v>0.02</v>
      </c>
      <c r="AV163" s="1376">
        <v>6.5000000000000002E-2</v>
      </c>
      <c r="AW163" s="861">
        <f t="shared" si="208"/>
        <v>1.8749999999999999E-2</v>
      </c>
      <c r="AX163" s="1956"/>
      <c r="AY163" s="1672">
        <v>0.02</v>
      </c>
      <c r="AZ163" s="1376">
        <v>0.03</v>
      </c>
      <c r="BA163" s="1376">
        <f>5%-4%</f>
        <v>1.0000000000000002E-2</v>
      </c>
      <c r="BB163" s="1376">
        <v>4.4999999999999998E-2</v>
      </c>
      <c r="BC163" s="861">
        <f t="shared" si="209"/>
        <v>2.6250000000000002E-2</v>
      </c>
      <c r="BD163" s="1956"/>
      <c r="BE163" s="1672">
        <v>8.5000000000000006E-2</v>
      </c>
      <c r="BF163" s="1376">
        <v>0.09</v>
      </c>
      <c r="BG163" s="1376">
        <f>-10%+4.4%</f>
        <v>-5.6000000000000001E-2</v>
      </c>
      <c r="BH163" s="1376">
        <v>-0.05</v>
      </c>
      <c r="BI163" s="861">
        <f t="shared" si="210"/>
        <v>1.7249999999999998E-2</v>
      </c>
      <c r="BJ163" s="1956"/>
      <c r="BK163" s="1672">
        <f>8%-0.6%</f>
        <v>7.3999999999999996E-2</v>
      </c>
      <c r="BL163" s="1817">
        <f>2%+0.9%+0.6%</f>
        <v>3.5000000000000003E-2</v>
      </c>
      <c r="BM163" s="1817">
        <f>2%-0.9%</f>
        <v>1.0999999999999999E-2</v>
      </c>
      <c r="BN163" s="1376">
        <v>0.12</v>
      </c>
      <c r="BO163" s="861">
        <f t="shared" si="211"/>
        <v>0.06</v>
      </c>
      <c r="BP163" s="353"/>
      <c r="BQ163" s="860"/>
      <c r="BR163" s="453"/>
      <c r="BS163" s="453"/>
      <c r="BT163" s="453"/>
      <c r="BU163" s="861"/>
      <c r="BV163" s="353"/>
      <c r="BW163" s="860"/>
      <c r="BX163" s="453"/>
      <c r="BY163" s="453"/>
      <c r="BZ163" s="453"/>
      <c r="CA163" s="861"/>
      <c r="CB163" s="353"/>
      <c r="CC163" s="860"/>
      <c r="CD163" s="453"/>
      <c r="CE163" s="453"/>
      <c r="CF163" s="453"/>
      <c r="CG163" s="861"/>
      <c r="CH163" s="353"/>
      <c r="CI163" s="860"/>
      <c r="CJ163" s="453"/>
      <c r="CK163" s="453"/>
      <c r="CL163" s="453"/>
      <c r="CM163" s="861"/>
    </row>
    <row r="164" spans="1:91" s="228" customFormat="1">
      <c r="A164" s="900" t="s">
        <v>216</v>
      </c>
      <c r="B164" s="353"/>
      <c r="C164" s="860"/>
      <c r="D164" s="453"/>
      <c r="E164" s="453"/>
      <c r="F164" s="453"/>
      <c r="G164" s="861"/>
      <c r="H164" s="353"/>
      <c r="I164" s="860"/>
      <c r="J164" s="453"/>
      <c r="K164" s="453"/>
      <c r="L164" s="453"/>
      <c r="M164" s="861"/>
      <c r="N164" s="353"/>
      <c r="O164" s="1672"/>
      <c r="P164" s="1376"/>
      <c r="Q164" s="1376"/>
      <c r="R164" s="1376"/>
      <c r="S164" s="1955"/>
      <c r="T164" s="1956"/>
      <c r="U164" s="1672"/>
      <c r="V164" s="1376"/>
      <c r="W164" s="1376"/>
      <c r="X164" s="1376"/>
      <c r="Y164" s="1955"/>
      <c r="Z164" s="1956"/>
      <c r="AA164" s="1672">
        <v>0.22</v>
      </c>
      <c r="AB164" s="1376">
        <v>0.105</v>
      </c>
      <c r="AC164" s="1376">
        <v>0.05</v>
      </c>
      <c r="AD164" s="1376">
        <v>0.12</v>
      </c>
      <c r="AE164" s="861">
        <f t="shared" si="212"/>
        <v>0.12375</v>
      </c>
      <c r="AF164" s="1956"/>
      <c r="AG164" s="1672">
        <v>0.02</v>
      </c>
      <c r="AH164" s="1376">
        <v>-0.02</v>
      </c>
      <c r="AI164" s="1376">
        <v>-0.02</v>
      </c>
      <c r="AJ164" s="1376">
        <v>-0.105</v>
      </c>
      <c r="AK164" s="861">
        <f t="shared" si="213"/>
        <v>-3.125E-2</v>
      </c>
      <c r="AL164" s="1956"/>
      <c r="AM164" s="1672">
        <v>-0.15</v>
      </c>
      <c r="AN164" s="1376">
        <v>0.05</v>
      </c>
      <c r="AO164" s="1376">
        <v>0.02</v>
      </c>
      <c r="AP164" s="1376">
        <v>0.05</v>
      </c>
      <c r="AQ164" s="861">
        <f t="shared" si="214"/>
        <v>-7.4999999999999963E-3</v>
      </c>
      <c r="AR164" s="1956"/>
      <c r="AS164" s="1672">
        <v>0</v>
      </c>
      <c r="AT164" s="1376">
        <v>-0.01</v>
      </c>
      <c r="AU164" s="1376">
        <v>0.02</v>
      </c>
      <c r="AV164" s="1376">
        <v>0.02</v>
      </c>
      <c r="AW164" s="861">
        <f t="shared" si="208"/>
        <v>7.4999999999999997E-3</v>
      </c>
      <c r="AX164" s="1956"/>
      <c r="AY164" s="1672">
        <v>0.08</v>
      </c>
      <c r="AZ164" s="1376">
        <v>0.05</v>
      </c>
      <c r="BA164" s="1376">
        <f>5%-4%</f>
        <v>1.0000000000000002E-2</v>
      </c>
      <c r="BB164" s="1376">
        <v>0.04</v>
      </c>
      <c r="BC164" s="861">
        <f t="shared" si="209"/>
        <v>4.5000000000000005E-2</v>
      </c>
      <c r="BD164" s="1956"/>
      <c r="BE164" s="1672">
        <v>-0.02</v>
      </c>
      <c r="BF164" s="1376">
        <v>-9.2499999999999999E-2</v>
      </c>
      <c r="BG164" s="1376">
        <f>0.5%+4.4%</f>
        <v>4.9000000000000002E-2</v>
      </c>
      <c r="BH164" s="1376">
        <v>-0.05</v>
      </c>
      <c r="BI164" s="861">
        <f t="shared" si="210"/>
        <v>-2.8375000000000001E-2</v>
      </c>
      <c r="BJ164" s="1956"/>
      <c r="BK164" s="1672">
        <f>0%-0.6%</f>
        <v>-6.0000000000000001E-3</v>
      </c>
      <c r="BL164" s="1817">
        <f>2.5%+0.9%+0.6%</f>
        <v>0.04</v>
      </c>
      <c r="BM164" s="1817">
        <f>2%-0.9%</f>
        <v>1.0999999999999999E-2</v>
      </c>
      <c r="BN164" s="1376">
        <v>0.08</v>
      </c>
      <c r="BO164" s="861">
        <f t="shared" si="211"/>
        <v>3.125E-2</v>
      </c>
      <c r="BP164" s="353"/>
      <c r="BQ164" s="860"/>
      <c r="BR164" s="453"/>
      <c r="BS164" s="453"/>
      <c r="BT164" s="453"/>
      <c r="BU164" s="861"/>
      <c r="BV164" s="353"/>
      <c r="BW164" s="860"/>
      <c r="BX164" s="453"/>
      <c r="BY164" s="453"/>
      <c r="BZ164" s="453"/>
      <c r="CA164" s="861"/>
      <c r="CB164" s="353"/>
      <c r="CC164" s="860"/>
      <c r="CD164" s="453"/>
      <c r="CE164" s="453"/>
      <c r="CF164" s="453"/>
      <c r="CG164" s="861"/>
      <c r="CH164" s="353"/>
      <c r="CI164" s="860"/>
      <c r="CJ164" s="453"/>
      <c r="CK164" s="453"/>
      <c r="CL164" s="453"/>
      <c r="CM164" s="861"/>
    </row>
    <row r="165" spans="1:91" s="228" customFormat="1">
      <c r="A165" s="900" t="s">
        <v>213</v>
      </c>
      <c r="B165" s="353"/>
      <c r="C165" s="860"/>
      <c r="D165" s="453"/>
      <c r="E165" s="453"/>
      <c r="F165" s="453"/>
      <c r="G165" s="861"/>
      <c r="H165" s="353"/>
      <c r="I165" s="860"/>
      <c r="J165" s="453"/>
      <c r="K165" s="453"/>
      <c r="L165" s="453"/>
      <c r="M165" s="861"/>
      <c r="N165" s="353"/>
      <c r="O165" s="1672"/>
      <c r="P165" s="1376"/>
      <c r="Q165" s="1376"/>
      <c r="R165" s="1376"/>
      <c r="S165" s="1955"/>
      <c r="T165" s="1956"/>
      <c r="U165" s="1672"/>
      <c r="V165" s="1376"/>
      <c r="W165" s="1376"/>
      <c r="X165" s="1376"/>
      <c r="Y165" s="1955"/>
      <c r="Z165" s="1956"/>
      <c r="AA165" s="1672">
        <v>0.05</v>
      </c>
      <c r="AB165" s="1376">
        <v>0.05</v>
      </c>
      <c r="AC165" s="1376">
        <v>-0.05</v>
      </c>
      <c r="AD165" s="1376">
        <v>-0.02</v>
      </c>
      <c r="AE165" s="861">
        <f t="shared" si="212"/>
        <v>7.5000000000000006E-3</v>
      </c>
      <c r="AF165" s="1956"/>
      <c r="AG165" s="1672">
        <v>0.02</v>
      </c>
      <c r="AH165" s="1376">
        <v>-0.08</v>
      </c>
      <c r="AI165" s="1376">
        <v>0.08</v>
      </c>
      <c r="AJ165" s="1376">
        <v>0.05</v>
      </c>
      <c r="AK165" s="861">
        <f t="shared" si="213"/>
        <v>1.7500000000000002E-2</v>
      </c>
      <c r="AL165" s="1956"/>
      <c r="AM165" s="1993" t="s">
        <v>6</v>
      </c>
      <c r="AN165" s="1376">
        <v>0.08</v>
      </c>
      <c r="AO165" s="1376">
        <v>0.08</v>
      </c>
      <c r="AP165" s="1376">
        <v>0.02</v>
      </c>
      <c r="AQ165" s="861">
        <f t="shared" si="214"/>
        <v>0.06</v>
      </c>
      <c r="AR165" s="1956"/>
      <c r="AS165" s="1672">
        <v>0.05</v>
      </c>
      <c r="AT165" s="1376">
        <v>0</v>
      </c>
      <c r="AU165" s="1376">
        <v>0.02</v>
      </c>
      <c r="AV165" s="1376">
        <v>0.05</v>
      </c>
      <c r="AW165" s="861">
        <f t="shared" si="208"/>
        <v>3.0000000000000002E-2</v>
      </c>
      <c r="AX165" s="1956"/>
      <c r="AY165" s="1672">
        <v>0.06</v>
      </c>
      <c r="AZ165" s="1376">
        <v>0.1</v>
      </c>
      <c r="BA165" s="1376">
        <f>10%-4%</f>
        <v>6.0000000000000005E-2</v>
      </c>
      <c r="BB165" s="1376">
        <v>0.08</v>
      </c>
      <c r="BC165" s="861">
        <f t="shared" si="209"/>
        <v>7.4999999999999997E-2</v>
      </c>
      <c r="BD165" s="1956"/>
      <c r="BE165" s="1672">
        <v>0.08</v>
      </c>
      <c r="BF165" s="1376">
        <v>0.03</v>
      </c>
      <c r="BG165" s="1376">
        <f>-1%+4.4%</f>
        <v>3.4000000000000002E-2</v>
      </c>
      <c r="BH165" s="1376">
        <v>0.02</v>
      </c>
      <c r="BI165" s="861">
        <f t="shared" si="210"/>
        <v>4.1000000000000002E-2</v>
      </c>
      <c r="BJ165" s="1956"/>
      <c r="BK165" s="1672">
        <f>5%-0.6%</f>
        <v>4.4000000000000004E-2</v>
      </c>
      <c r="BL165" s="1817">
        <f>2%+0.9%+0.6%</f>
        <v>3.5000000000000003E-2</v>
      </c>
      <c r="BM165" s="1817">
        <f>5%-0.9%</f>
        <v>4.1000000000000002E-2</v>
      </c>
      <c r="BN165" s="1376">
        <v>0.12</v>
      </c>
      <c r="BO165" s="861">
        <f t="shared" si="211"/>
        <v>6.0000000000000005E-2</v>
      </c>
      <c r="BP165" s="353"/>
      <c r="BQ165" s="860"/>
      <c r="BR165" s="453"/>
      <c r="BS165" s="453"/>
      <c r="BT165" s="453"/>
      <c r="BU165" s="861"/>
      <c r="BV165" s="353"/>
      <c r="BW165" s="860"/>
      <c r="BX165" s="453"/>
      <c r="BY165" s="453"/>
      <c r="BZ165" s="453"/>
      <c r="CA165" s="861"/>
      <c r="CB165" s="353"/>
      <c r="CC165" s="860"/>
      <c r="CD165" s="453"/>
      <c r="CE165" s="453"/>
      <c r="CF165" s="453"/>
      <c r="CG165" s="861"/>
      <c r="CH165" s="353"/>
      <c r="CI165" s="860"/>
      <c r="CJ165" s="453"/>
      <c r="CK165" s="453"/>
      <c r="CL165" s="453"/>
      <c r="CM165" s="861"/>
    </row>
    <row r="166" spans="1:91" s="228" customFormat="1">
      <c r="A166" s="1999" t="s">
        <v>214</v>
      </c>
      <c r="B166" s="423"/>
      <c r="C166" s="851"/>
      <c r="D166" s="852"/>
      <c r="E166" s="852"/>
      <c r="F166" s="852"/>
      <c r="G166" s="853"/>
      <c r="H166" s="423"/>
      <c r="I166" s="851"/>
      <c r="J166" s="852"/>
      <c r="K166" s="1987">
        <v>0.17</v>
      </c>
      <c r="L166" s="852"/>
      <c r="M166" s="853"/>
      <c r="N166" s="423"/>
      <c r="O166" s="1988">
        <v>0.12</v>
      </c>
      <c r="P166" s="1987">
        <v>-0.05</v>
      </c>
      <c r="Q166" s="1987">
        <v>-0.08</v>
      </c>
      <c r="R166" s="1987">
        <v>-0.02</v>
      </c>
      <c r="S166" s="853">
        <f t="shared" ref="S166" si="215">AVERAGE(O166:R166)</f>
        <v>-7.5000000000000023E-3</v>
      </c>
      <c r="T166" s="1968"/>
      <c r="U166" s="1988">
        <v>0</v>
      </c>
      <c r="V166" s="1987">
        <v>0.05</v>
      </c>
      <c r="W166" s="1987">
        <v>0.04</v>
      </c>
      <c r="X166" s="1987">
        <v>0.05</v>
      </c>
      <c r="Y166" s="853">
        <f t="shared" ref="Y166" si="216">AVERAGE(U166:X166)</f>
        <v>3.5000000000000003E-2</v>
      </c>
      <c r="Z166" s="1968"/>
      <c r="AA166" s="1988">
        <v>0.05</v>
      </c>
      <c r="AB166" s="1987">
        <v>0.05</v>
      </c>
      <c r="AC166" s="1987">
        <v>0</v>
      </c>
      <c r="AD166" s="1987">
        <v>-0.02</v>
      </c>
      <c r="AE166" s="853">
        <f t="shared" si="212"/>
        <v>0.02</v>
      </c>
      <c r="AF166" s="1968"/>
      <c r="AG166" s="1988">
        <v>0.02</v>
      </c>
      <c r="AH166" s="1987">
        <v>-0.08</v>
      </c>
      <c r="AI166" s="1987">
        <v>0.08</v>
      </c>
      <c r="AJ166" s="1987">
        <v>0</v>
      </c>
      <c r="AK166" s="853">
        <f t="shared" si="213"/>
        <v>5.000000000000001E-3</v>
      </c>
      <c r="AL166" s="1968"/>
      <c r="AM166" s="1988">
        <v>-0.05</v>
      </c>
      <c r="AN166" s="1987">
        <v>-0.03</v>
      </c>
      <c r="AO166" s="1987">
        <v>-0.05</v>
      </c>
      <c r="AP166" s="1987">
        <v>0.02</v>
      </c>
      <c r="AQ166" s="853">
        <f t="shared" si="214"/>
        <v>-2.75E-2</v>
      </c>
      <c r="AR166" s="1968"/>
      <c r="AS166" s="1988">
        <v>0</v>
      </c>
      <c r="AT166" s="1987">
        <v>-0.105</v>
      </c>
      <c r="AU166" s="1987">
        <v>-0.02</v>
      </c>
      <c r="AV166" s="1987">
        <v>0.02</v>
      </c>
      <c r="AW166" s="853">
        <f t="shared" si="208"/>
        <v>-2.6249999999999999E-2</v>
      </c>
      <c r="AX166" s="1968"/>
      <c r="AY166" s="1988">
        <v>2.5000000000000001E-2</v>
      </c>
      <c r="AZ166" s="1987">
        <v>0.08</v>
      </c>
      <c r="BA166" s="1987">
        <f>2%-4%</f>
        <v>-0.02</v>
      </c>
      <c r="BB166" s="1987">
        <v>0.02</v>
      </c>
      <c r="BC166" s="853">
        <f t="shared" si="209"/>
        <v>2.6250000000000002E-2</v>
      </c>
      <c r="BD166" s="1968"/>
      <c r="BE166" s="1988">
        <v>0.02</v>
      </c>
      <c r="BF166" s="1987">
        <v>-0.04</v>
      </c>
      <c r="BG166" s="1987">
        <f>-4%+4.4%</f>
        <v>4.0000000000000036E-3</v>
      </c>
      <c r="BH166" s="1987">
        <v>0.05</v>
      </c>
      <c r="BI166" s="853">
        <f t="shared" si="210"/>
        <v>8.5000000000000006E-3</v>
      </c>
      <c r="BJ166" s="1968"/>
      <c r="BK166" s="1988">
        <f>-2%-0.6%</f>
        <v>-2.6000000000000002E-2</v>
      </c>
      <c r="BL166" s="2204">
        <f>-2%+0.9%+0.6%</f>
        <v>-4.9999999999999992E-3</v>
      </c>
      <c r="BM166" s="2204">
        <f>2%-0.9%</f>
        <v>1.0999999999999999E-2</v>
      </c>
      <c r="BN166" s="1987">
        <v>-0.02</v>
      </c>
      <c r="BO166" s="853">
        <f t="shared" si="211"/>
        <v>-0.01</v>
      </c>
      <c r="BP166" s="423"/>
      <c r="BQ166" s="851"/>
      <c r="BR166" s="852"/>
      <c r="BS166" s="852"/>
      <c r="BT166" s="852"/>
      <c r="BU166" s="853"/>
      <c r="BV166" s="423"/>
      <c r="BW166" s="851"/>
      <c r="BX166" s="852"/>
      <c r="BY166" s="852"/>
      <c r="BZ166" s="852"/>
      <c r="CA166" s="853"/>
      <c r="CB166" s="423"/>
      <c r="CC166" s="851"/>
      <c r="CD166" s="852"/>
      <c r="CE166" s="852"/>
      <c r="CF166" s="852"/>
      <c r="CG166" s="853"/>
      <c r="CH166" s="423"/>
      <c r="CI166" s="851"/>
      <c r="CJ166" s="852"/>
      <c r="CK166" s="852"/>
      <c r="CL166" s="852"/>
      <c r="CM166" s="853"/>
    </row>
  </sheetData>
  <pageMargins left="0" right="0" top="0" bottom="0" header="0" footer="0"/>
  <pageSetup scale="58"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ET114"/>
  <sheetViews>
    <sheetView zoomScaleNormal="100" zoomScaleSheetLayoutView="100" workbookViewId="0">
      <pane xSplit="2" ySplit="6" topLeftCell="C7" activePane="bottomRight" state="frozen"/>
      <selection activeCell="A53" sqref="A53"/>
      <selection pane="topRight" activeCell="A53" sqref="A53"/>
      <selection pane="bottomLeft" activeCell="A53" sqref="A53"/>
      <selection pane="bottomRight"/>
    </sheetView>
  </sheetViews>
  <sheetFormatPr defaultRowHeight="11.25" outlineLevelRow="1" outlineLevelCol="2"/>
  <cols>
    <col min="1" max="1" width="22.7109375" style="226" customWidth="1"/>
    <col min="2" max="2" width="0.85546875" style="226" customWidth="1"/>
    <col min="3" max="7" width="6.7109375" style="226" hidden="1" customWidth="1" outlineLevel="1"/>
    <col min="8" max="8" width="0.85546875" style="226" hidden="1" customWidth="1" outlineLevel="1"/>
    <col min="9" max="13" width="6.7109375" style="226" hidden="1" customWidth="1" outlineLevel="1"/>
    <col min="14" max="14" width="0.85546875" style="226" hidden="1" customWidth="1" outlineLevel="1"/>
    <col min="15" max="19" width="6.7109375" style="226" hidden="1" customWidth="1" outlineLevel="1"/>
    <col min="20" max="20" width="0.85546875" style="226" hidden="1" customWidth="1" outlineLevel="1"/>
    <col min="21" max="25" width="6.7109375" style="226" hidden="1" customWidth="1" outlineLevel="1"/>
    <col min="26" max="26" width="0.85546875" style="226" hidden="1" customWidth="1" outlineLevel="1"/>
    <col min="27" max="30" width="6.7109375" style="226" hidden="1" customWidth="1" outlineLevel="1"/>
    <col min="31" max="31" width="6.7109375" style="226" hidden="1" customWidth="1" outlineLevel="1" collapsed="1"/>
    <col min="32" max="32" width="0.85546875" style="226" hidden="1" customWidth="1" outlineLevel="1"/>
    <col min="33" max="36" width="6.7109375" style="226" hidden="1" customWidth="1" outlineLevel="1"/>
    <col min="37" max="37" width="6.7109375" style="226" customWidth="1" collapsed="1"/>
    <col min="38" max="38" width="0.85546875" style="226" customWidth="1"/>
    <col min="39" max="42" width="6.7109375" style="226" hidden="1" customWidth="1" outlineLevel="1"/>
    <col min="43" max="43" width="6.7109375" style="226" customWidth="1" collapsed="1"/>
    <col min="44" max="44" width="0.85546875" style="226" customWidth="1"/>
    <col min="45" max="48" width="6.7109375" style="226" hidden="1" customWidth="1" outlineLevel="1"/>
    <col min="49" max="49" width="6.7109375" style="226" customWidth="1" collapsed="1"/>
    <col min="50" max="50" width="0.85546875" style="226" customWidth="1"/>
    <col min="51" max="54" width="6.7109375" style="226" hidden="1" customWidth="1" outlineLevel="1"/>
    <col min="55" max="55" width="6.7109375" style="226" customWidth="1" collapsed="1"/>
    <col min="56" max="56" width="0.85546875" style="226" customWidth="1"/>
    <col min="57" max="60" width="6.7109375" style="226" hidden="1" customWidth="1" outlineLevel="1"/>
    <col min="61" max="61" width="6.7109375" style="226" customWidth="1" collapsed="1"/>
    <col min="62" max="62" width="0.85546875" style="226" customWidth="1"/>
    <col min="63" max="66" width="6.7109375" style="226" hidden="1" customWidth="1" outlineLevel="1"/>
    <col min="67" max="67" width="6.7109375" style="226" customWidth="1" collapsed="1"/>
    <col min="68" max="68" width="0.85546875" style="226" customWidth="1"/>
    <col min="69" max="72" width="6.7109375" style="226" customWidth="1" outlineLevel="1"/>
    <col min="73" max="73" width="6.7109375" style="226" customWidth="1"/>
    <col min="74" max="74" width="0.85546875" style="226" customWidth="1"/>
    <col min="75" max="78" width="6.7109375" style="226" customWidth="1" outlineLevel="1"/>
    <col min="79" max="79" width="6.7109375" style="226" customWidth="1"/>
    <col min="80" max="80" width="0.85546875" style="226" customWidth="1"/>
    <col min="81" max="81" width="7.140625" style="226" hidden="1" customWidth="1" outlineLevel="1"/>
    <col min="82" max="84" width="6.7109375" style="226" hidden="1" customWidth="1" outlineLevel="1"/>
    <col min="85" max="85" width="6.7109375" style="226" customWidth="1" collapsed="1"/>
    <col min="86" max="86" width="0.85546875" style="226" customWidth="1"/>
    <col min="87" max="90" width="6.7109375" style="226" hidden="1" customWidth="1" outlineLevel="1"/>
    <col min="91" max="91" width="6.7109375" style="226" customWidth="1" collapsed="1"/>
    <col min="92" max="96" width="9.140625" style="226"/>
    <col min="97" max="97" width="19.5703125" style="226" customWidth="1"/>
    <col min="98" max="101" width="6.7109375" style="226" hidden="1" customWidth="1" outlineLevel="2"/>
    <col min="102" max="102" width="6.7109375" style="226" hidden="1" customWidth="1" outlineLevel="2" collapsed="1"/>
    <col min="103" max="105" width="6.7109375" style="226" hidden="1" customWidth="1" outlineLevel="2"/>
    <col min="106" max="109" width="6.7109375" style="226" hidden="1" customWidth="1" outlineLevel="1"/>
    <col min="110" max="110" width="6.85546875" style="226" customWidth="1" collapsed="1"/>
    <col min="111" max="125" width="6.85546875" style="226" customWidth="1"/>
    <col min="126" max="16384" width="9.140625" style="226"/>
  </cols>
  <sheetData>
    <row r="1" spans="1:125">
      <c r="A1" s="353"/>
      <c r="B1" s="228"/>
      <c r="C1" s="228"/>
      <c r="D1" s="228"/>
      <c r="E1" s="228"/>
      <c r="F1" s="228"/>
      <c r="G1" s="228"/>
      <c r="H1" s="228"/>
      <c r="I1" s="228"/>
      <c r="J1" s="228"/>
      <c r="K1" s="228"/>
      <c r="L1" s="228"/>
      <c r="M1" s="228"/>
      <c r="N1" s="228"/>
      <c r="O1" s="228"/>
      <c r="P1" s="228"/>
      <c r="Q1" s="228"/>
      <c r="R1" s="228"/>
      <c r="S1" s="228"/>
      <c r="T1" s="228"/>
      <c r="U1" s="353"/>
      <c r="V1" s="1439"/>
      <c r="W1" s="353"/>
      <c r="X1" s="353"/>
      <c r="Y1" s="353"/>
      <c r="Z1" s="228"/>
      <c r="AA1" s="353"/>
      <c r="AB1" s="353"/>
      <c r="AC1" s="228"/>
      <c r="AD1" s="228"/>
      <c r="AE1" s="228"/>
      <c r="AF1" s="228"/>
      <c r="AG1" s="799"/>
      <c r="AH1" s="228"/>
      <c r="AI1" s="228"/>
      <c r="AJ1" s="353"/>
      <c r="AK1" s="353"/>
      <c r="AL1" s="228"/>
      <c r="AM1" s="799"/>
      <c r="AN1" s="228"/>
      <c r="AO1" s="228"/>
      <c r="AP1" s="353"/>
      <c r="AQ1" s="353"/>
      <c r="AR1" s="228"/>
      <c r="AS1" s="799"/>
      <c r="AT1" s="228"/>
      <c r="AU1" s="228"/>
      <c r="AV1" s="353"/>
      <c r="AW1" s="353"/>
      <c r="AX1" s="228"/>
      <c r="AY1" s="799"/>
      <c r="AZ1" s="228"/>
      <c r="BA1" s="1677"/>
      <c r="BB1" s="353"/>
      <c r="BC1" s="353"/>
      <c r="BD1" s="228"/>
      <c r="BE1" s="799"/>
      <c r="BF1" s="228"/>
      <c r="BG1" s="1677"/>
      <c r="BH1" s="353"/>
      <c r="BI1" s="353"/>
      <c r="BJ1" s="228"/>
      <c r="BK1" s="799"/>
      <c r="BL1" s="228"/>
      <c r="BM1" s="228"/>
      <c r="BN1" s="353"/>
      <c r="BO1" s="353"/>
      <c r="BP1" s="228"/>
      <c r="BQ1" s="799"/>
      <c r="BR1" s="228"/>
      <c r="BS1" s="228"/>
      <c r="BT1" s="353"/>
      <c r="BU1" s="353"/>
      <c r="BV1" s="228"/>
      <c r="BW1" s="799"/>
      <c r="BX1" s="228"/>
      <c r="BY1" s="228"/>
      <c r="BZ1" s="353"/>
      <c r="CA1" s="353"/>
      <c r="CB1" s="228"/>
      <c r="CC1" s="799"/>
      <c r="CD1" s="228"/>
      <c r="CE1" s="228"/>
      <c r="CF1" s="353"/>
      <c r="CG1" s="353"/>
      <c r="CH1" s="228"/>
      <c r="CI1" s="799"/>
      <c r="CJ1" s="228"/>
      <c r="CK1" s="228"/>
      <c r="CL1" s="353"/>
      <c r="CM1" s="353"/>
    </row>
    <row r="2" spans="1:125">
      <c r="A2" s="37" t="s">
        <v>217</v>
      </c>
      <c r="B2" s="228"/>
      <c r="C2" s="228"/>
      <c r="D2" s="228"/>
      <c r="E2" s="228"/>
      <c r="F2" s="228"/>
      <c r="G2" s="228"/>
      <c r="H2" s="228"/>
      <c r="I2" s="228"/>
      <c r="J2" s="228"/>
      <c r="K2" s="228"/>
      <c r="L2" s="228"/>
      <c r="M2" s="228"/>
      <c r="N2" s="228"/>
      <c r="O2" s="228"/>
      <c r="P2" s="228"/>
      <c r="Q2" s="800"/>
      <c r="R2" s="228"/>
      <c r="S2" s="228"/>
      <c r="T2" s="228"/>
      <c r="U2" s="353"/>
      <c r="V2" s="1440"/>
      <c r="W2" s="1440"/>
      <c r="X2" s="1440"/>
      <c r="Y2" s="1440"/>
      <c r="Z2" s="228"/>
      <c r="AA2" s="1440"/>
      <c r="AB2" s="1440"/>
      <c r="AC2" s="228"/>
      <c r="AD2" s="228"/>
      <c r="AE2" s="228"/>
      <c r="AF2" s="228"/>
      <c r="AG2" s="228"/>
      <c r="AH2" s="228"/>
      <c r="AI2" s="228"/>
      <c r="AJ2" s="353"/>
      <c r="AK2" s="353"/>
      <c r="AL2" s="228"/>
      <c r="AM2" s="228"/>
      <c r="AN2" s="228"/>
      <c r="AO2" s="228"/>
      <c r="AP2" s="353"/>
      <c r="AQ2" s="353"/>
      <c r="AR2" s="228"/>
      <c r="AS2" s="228"/>
      <c r="AT2" s="228"/>
      <c r="AU2" s="228"/>
      <c r="AV2" s="353"/>
      <c r="AW2" s="353"/>
      <c r="AX2" s="228"/>
      <c r="AY2" s="228"/>
      <c r="AZ2" s="228"/>
      <c r="BA2" s="228"/>
      <c r="BB2" s="353"/>
      <c r="BC2" s="353"/>
      <c r="BD2" s="228"/>
      <c r="BE2" s="228"/>
      <c r="BF2" s="228"/>
      <c r="BG2" s="228"/>
      <c r="BH2" s="353"/>
      <c r="BI2" s="353"/>
      <c r="BJ2" s="228"/>
      <c r="BK2" s="228"/>
      <c r="BL2" s="228"/>
      <c r="BM2" s="228"/>
      <c r="BN2" s="353"/>
      <c r="BO2" s="353"/>
      <c r="BP2" s="228"/>
      <c r="BQ2" s="228"/>
      <c r="BR2" s="228"/>
      <c r="BS2" s="228"/>
      <c r="BT2" s="353"/>
      <c r="BU2" s="353"/>
      <c r="BV2" s="228"/>
      <c r="BW2" s="228"/>
      <c r="BX2" s="228"/>
      <c r="BY2" s="228"/>
      <c r="BZ2" s="353"/>
      <c r="CA2" s="353"/>
      <c r="CB2" s="228"/>
      <c r="CC2" s="228"/>
      <c r="CD2" s="228"/>
      <c r="CE2" s="228"/>
      <c r="CF2" s="353"/>
      <c r="CG2" s="353"/>
      <c r="CH2" s="228"/>
      <c r="CI2" s="228"/>
      <c r="CJ2" s="228"/>
      <c r="CK2" s="228"/>
      <c r="CL2" s="353"/>
      <c r="CM2" s="353"/>
    </row>
    <row r="3" spans="1:125">
      <c r="A3" s="33" t="s">
        <v>147</v>
      </c>
      <c r="B3" s="801"/>
      <c r="C3" s="801"/>
      <c r="D3" s="801"/>
      <c r="E3" s="801"/>
      <c r="F3" s="801"/>
      <c r="G3" s="801"/>
      <c r="H3" s="801"/>
      <c r="I3" s="801"/>
      <c r="J3" s="801"/>
      <c r="K3" s="801"/>
      <c r="L3" s="801"/>
      <c r="M3" s="801"/>
      <c r="N3" s="801"/>
      <c r="O3" s="353"/>
      <c r="P3" s="353"/>
      <c r="Q3" s="353"/>
      <c r="R3" s="353"/>
      <c r="S3" s="353"/>
      <c r="T3" s="801"/>
      <c r="U3" s="353"/>
      <c r="V3" s="802"/>
      <c r="W3" s="802"/>
      <c r="X3" s="802"/>
      <c r="Y3" s="802"/>
      <c r="Z3" s="801"/>
      <c r="AA3" s="353"/>
      <c r="AB3" s="802"/>
      <c r="AC3" s="353"/>
      <c r="AD3" s="353"/>
      <c r="AE3" s="353"/>
      <c r="AF3" s="801"/>
      <c r="AG3" s="353"/>
      <c r="AH3" s="353"/>
      <c r="AI3" s="803"/>
      <c r="AJ3" s="353"/>
      <c r="AK3" s="844"/>
      <c r="AL3" s="801"/>
      <c r="AM3" s="353"/>
      <c r="AN3" s="353"/>
      <c r="AO3" s="803"/>
      <c r="AP3" s="353"/>
      <c r="AQ3" s="353"/>
      <c r="AR3" s="801"/>
      <c r="AS3" s="353"/>
      <c r="AT3" s="353"/>
      <c r="AU3" s="803"/>
      <c r="AV3" s="353"/>
      <c r="AW3" s="353"/>
      <c r="AX3" s="801"/>
      <c r="AY3" s="353"/>
      <c r="AZ3" s="353"/>
      <c r="BA3" s="803"/>
      <c r="BB3" s="353"/>
      <c r="BC3" s="353"/>
      <c r="BD3" s="801"/>
      <c r="BE3" s="353"/>
      <c r="BF3" s="353"/>
      <c r="BG3" s="803"/>
      <c r="BH3" s="353"/>
      <c r="BI3" s="353"/>
      <c r="BJ3" s="801"/>
      <c r="BK3" s="353"/>
      <c r="BL3" s="353"/>
      <c r="BM3" s="803"/>
      <c r="BN3" s="353"/>
      <c r="BO3" s="353"/>
      <c r="BP3" s="801"/>
      <c r="BQ3" s="353"/>
      <c r="BR3" s="353"/>
      <c r="BS3" s="803"/>
      <c r="BT3" s="353"/>
      <c r="BU3" s="353"/>
      <c r="BV3" s="801"/>
      <c r="BW3" s="353"/>
      <c r="BX3" s="353"/>
      <c r="BY3" s="803"/>
      <c r="BZ3" s="353"/>
      <c r="CA3" s="353"/>
      <c r="CB3" s="801"/>
      <c r="CC3" s="353"/>
      <c r="CD3" s="353"/>
      <c r="CE3" s="803"/>
      <c r="CF3" s="353"/>
      <c r="CG3" s="353"/>
      <c r="CH3" s="801"/>
      <c r="CI3" s="353"/>
      <c r="CJ3" s="353"/>
      <c r="CK3" s="803"/>
      <c r="CL3" s="353"/>
      <c r="CM3" s="353"/>
    </row>
    <row r="4" spans="1:125">
      <c r="A4" s="353"/>
      <c r="B4" s="804"/>
      <c r="C4" s="804"/>
      <c r="D4" s="804"/>
      <c r="E4" s="804"/>
      <c r="F4" s="804"/>
      <c r="G4" s="804"/>
      <c r="H4" s="804"/>
      <c r="I4" s="804"/>
      <c r="J4" s="804"/>
      <c r="K4" s="804"/>
      <c r="L4" s="804"/>
      <c r="M4" s="804"/>
      <c r="N4" s="804"/>
      <c r="O4" s="228"/>
      <c r="P4" s="228"/>
      <c r="Q4" s="228"/>
      <c r="R4" s="228"/>
      <c r="S4" s="228"/>
      <c r="T4" s="804"/>
      <c r="U4" s="353"/>
      <c r="V4" s="805"/>
      <c r="W4" s="805"/>
      <c r="X4" s="805"/>
      <c r="Y4" s="805"/>
      <c r="Z4" s="804"/>
      <c r="AA4" s="805"/>
      <c r="AB4" s="228"/>
      <c r="AC4" s="228"/>
      <c r="AD4" s="228"/>
      <c r="AE4" s="228"/>
      <c r="AF4" s="804"/>
      <c r="AG4" s="228"/>
      <c r="AH4" s="228"/>
      <c r="AI4" s="228"/>
      <c r="AJ4" s="353"/>
      <c r="AK4" s="353"/>
      <c r="AL4" s="804"/>
      <c r="AM4" s="228"/>
      <c r="AN4" s="228"/>
      <c r="AO4" s="228"/>
      <c r="AP4" s="353"/>
      <c r="AQ4" s="353"/>
      <c r="AR4" s="804"/>
      <c r="AS4" s="228"/>
      <c r="AT4" s="228"/>
      <c r="AU4" s="228"/>
      <c r="AV4" s="353"/>
      <c r="AW4" s="353"/>
      <c r="AX4" s="804"/>
      <c r="AY4" s="228"/>
      <c r="AZ4" s="228"/>
      <c r="BA4" s="228"/>
      <c r="BB4" s="353"/>
      <c r="BC4" s="353"/>
      <c r="BD4" s="804"/>
      <c r="BE4" s="228"/>
      <c r="BF4" s="228"/>
      <c r="BG4" s="228"/>
      <c r="BH4" s="353"/>
      <c r="BI4" s="353"/>
      <c r="BJ4" s="804"/>
      <c r="BK4" s="228"/>
      <c r="BL4" s="228"/>
      <c r="BM4" s="228"/>
      <c r="BN4" s="353"/>
      <c r="BO4" s="353"/>
      <c r="BP4" s="804"/>
      <c r="BQ4" s="228"/>
      <c r="BR4" s="228"/>
      <c r="BS4" s="228"/>
      <c r="BT4" s="353"/>
      <c r="BU4" s="353"/>
      <c r="BV4" s="804"/>
      <c r="BW4" s="228"/>
      <c r="BX4" s="228"/>
      <c r="BY4" s="228"/>
      <c r="BZ4" s="353"/>
      <c r="CA4" s="353"/>
      <c r="CB4" s="804"/>
      <c r="CC4" s="228"/>
      <c r="CD4" s="228"/>
      <c r="CE4" s="228"/>
      <c r="CF4" s="353"/>
      <c r="CG4" s="353"/>
      <c r="CH4" s="804"/>
      <c r="CI4" s="228"/>
      <c r="CJ4" s="228"/>
      <c r="CK4" s="228"/>
      <c r="CL4" s="353"/>
      <c r="CM4" s="353"/>
    </row>
    <row r="5" spans="1:125">
      <c r="A5" s="1386"/>
      <c r="B5" s="1386"/>
      <c r="C5" s="876">
        <v>2007</v>
      </c>
      <c r="D5" s="877"/>
      <c r="E5" s="877"/>
      <c r="F5" s="877"/>
      <c r="G5" s="878">
        <v>2007</v>
      </c>
      <c r="H5" s="263"/>
      <c r="I5" s="876">
        <f>C5+1</f>
        <v>2008</v>
      </c>
      <c r="J5" s="877"/>
      <c r="K5" s="877"/>
      <c r="L5" s="877"/>
      <c r="M5" s="878">
        <f>G5+1</f>
        <v>2008</v>
      </c>
      <c r="N5" s="879"/>
      <c r="O5" s="876">
        <f>I5+1</f>
        <v>2009</v>
      </c>
      <c r="P5" s="877"/>
      <c r="Q5" s="877"/>
      <c r="R5" s="877"/>
      <c r="S5" s="878">
        <f>M5+1</f>
        <v>2009</v>
      </c>
      <c r="T5" s="879"/>
      <c r="U5" s="876">
        <f>O5+1</f>
        <v>2010</v>
      </c>
      <c r="V5" s="877"/>
      <c r="W5" s="877"/>
      <c r="X5" s="877"/>
      <c r="Y5" s="878">
        <f>S5+1</f>
        <v>2010</v>
      </c>
      <c r="Z5" s="879"/>
      <c r="AA5" s="876">
        <f>U5+1</f>
        <v>2011</v>
      </c>
      <c r="AB5" s="877"/>
      <c r="AC5" s="877"/>
      <c r="AD5" s="877"/>
      <c r="AE5" s="878">
        <f>Y5+1</f>
        <v>2011</v>
      </c>
      <c r="AF5" s="879"/>
      <c r="AG5" s="876">
        <f>AA5+1</f>
        <v>2012</v>
      </c>
      <c r="AH5" s="877"/>
      <c r="AI5" s="877"/>
      <c r="AJ5" s="877"/>
      <c r="AK5" s="878">
        <f>AE5+1</f>
        <v>2012</v>
      </c>
      <c r="AL5" s="879"/>
      <c r="AM5" s="876">
        <f>AG5+1</f>
        <v>2013</v>
      </c>
      <c r="AN5" s="877"/>
      <c r="AO5" s="877"/>
      <c r="AP5" s="877"/>
      <c r="AQ5" s="878">
        <f>AK5+1</f>
        <v>2013</v>
      </c>
      <c r="AR5" s="879"/>
      <c r="AS5" s="876">
        <f>AM5+1</f>
        <v>2014</v>
      </c>
      <c r="AT5" s="877"/>
      <c r="AU5" s="877"/>
      <c r="AV5" s="877"/>
      <c r="AW5" s="878">
        <f>AQ5+1</f>
        <v>2014</v>
      </c>
      <c r="AX5" s="879"/>
      <c r="AY5" s="876">
        <f>AS5+1</f>
        <v>2015</v>
      </c>
      <c r="AZ5" s="877"/>
      <c r="BA5" s="877"/>
      <c r="BB5" s="877"/>
      <c r="BC5" s="878">
        <f>AW5+1</f>
        <v>2015</v>
      </c>
      <c r="BD5" s="879"/>
      <c r="BE5" s="876">
        <f>AY5+1</f>
        <v>2016</v>
      </c>
      <c r="BF5" s="877"/>
      <c r="BG5" s="877"/>
      <c r="BH5" s="877"/>
      <c r="BI5" s="878">
        <f>BC5+1</f>
        <v>2016</v>
      </c>
      <c r="BJ5" s="879"/>
      <c r="BK5" s="876">
        <f>BE5+1</f>
        <v>2017</v>
      </c>
      <c r="BL5" s="877"/>
      <c r="BM5" s="877"/>
      <c r="BN5" s="877"/>
      <c r="BO5" s="878">
        <f>BI5+1</f>
        <v>2017</v>
      </c>
      <c r="BP5" s="879"/>
      <c r="BQ5" s="881">
        <f>BK5+1</f>
        <v>2018</v>
      </c>
      <c r="BR5" s="877"/>
      <c r="BS5" s="877"/>
      <c r="BT5" s="877"/>
      <c r="BU5" s="880">
        <f>BO5+1</f>
        <v>2018</v>
      </c>
      <c r="BV5" s="879"/>
      <c r="BW5" s="881">
        <f>BQ5+1</f>
        <v>2019</v>
      </c>
      <c r="BX5" s="877"/>
      <c r="BY5" s="877"/>
      <c r="BZ5" s="877"/>
      <c r="CA5" s="880">
        <f>BU5+1</f>
        <v>2019</v>
      </c>
      <c r="CB5" s="879"/>
      <c r="CC5" s="881">
        <f>BW5+1</f>
        <v>2020</v>
      </c>
      <c r="CD5" s="877"/>
      <c r="CE5" s="877"/>
      <c r="CF5" s="877"/>
      <c r="CG5" s="880">
        <f>CA5+1</f>
        <v>2020</v>
      </c>
      <c r="CH5" s="879"/>
      <c r="CI5" s="881">
        <f>CC5+1</f>
        <v>2021</v>
      </c>
      <c r="CJ5" s="877"/>
      <c r="CK5" s="877"/>
      <c r="CL5" s="877"/>
      <c r="CM5" s="880">
        <f>CG5+1</f>
        <v>2021</v>
      </c>
      <c r="CS5" s="469" t="s">
        <v>460</v>
      </c>
      <c r="CT5" s="1386"/>
      <c r="CU5" s="1386"/>
      <c r="CV5" s="1386"/>
      <c r="CW5" s="1386"/>
      <c r="CX5" s="1386"/>
      <c r="CY5" s="1386"/>
      <c r="CZ5" s="1386"/>
      <c r="DA5" s="1386"/>
      <c r="DB5" s="1386"/>
      <c r="DC5" s="1386"/>
      <c r="DD5" s="1386"/>
      <c r="DE5" s="353"/>
      <c r="DF5" s="228"/>
      <c r="DG5" s="228"/>
      <c r="DH5" s="228"/>
      <c r="DI5" s="228"/>
      <c r="DJ5" s="228"/>
      <c r="DK5" s="228"/>
      <c r="DL5" s="228"/>
      <c r="DM5" s="228"/>
    </row>
    <row r="6" spans="1:125">
      <c r="A6" s="1386"/>
      <c r="B6" s="1441"/>
      <c r="C6" s="1442">
        <v>39172</v>
      </c>
      <c r="D6" s="1443">
        <f>C6+FLOOR(365/4,1)</f>
        <v>39263</v>
      </c>
      <c r="E6" s="1443">
        <f>D6+FLOOR(365/4,1)+1</f>
        <v>39355</v>
      </c>
      <c r="F6" s="1443">
        <f>E6+FLOOR(365/4,1)+1</f>
        <v>39447</v>
      </c>
      <c r="G6" s="1444"/>
      <c r="H6" s="1445"/>
      <c r="I6" s="1442">
        <f>C6+366</f>
        <v>39538</v>
      </c>
      <c r="J6" s="1443">
        <f>I6+FLOOR(365/4,1)</f>
        <v>39629</v>
      </c>
      <c r="K6" s="1443">
        <f>J6+FLOOR(365/4,1)+1</f>
        <v>39721</v>
      </c>
      <c r="L6" s="1443">
        <f>K6+FLOOR(365/4,1)+1</f>
        <v>39813</v>
      </c>
      <c r="M6" s="1444"/>
      <c r="N6" s="1446"/>
      <c r="O6" s="1442">
        <f>I6+365</f>
        <v>39903</v>
      </c>
      <c r="P6" s="1443">
        <f>O6+FLOOR(365/4,1)</f>
        <v>39994</v>
      </c>
      <c r="Q6" s="1443">
        <f>P6+FLOOR(365/4,1)+1</f>
        <v>40086</v>
      </c>
      <c r="R6" s="1443">
        <f>Q6+FLOOR(365/4,1)+1</f>
        <v>40178</v>
      </c>
      <c r="S6" s="1444"/>
      <c r="T6" s="1446"/>
      <c r="U6" s="1442">
        <f>O6+365</f>
        <v>40268</v>
      </c>
      <c r="V6" s="1443">
        <f>U6+FLOOR(365/4,1)</f>
        <v>40359</v>
      </c>
      <c r="W6" s="1443">
        <f>V6+FLOOR(365/4,1)+1</f>
        <v>40451</v>
      </c>
      <c r="X6" s="1443">
        <f>W6+FLOOR(365/4,1)+1</f>
        <v>40543</v>
      </c>
      <c r="Y6" s="1444"/>
      <c r="Z6" s="1446"/>
      <c r="AA6" s="1442">
        <f>U6+365</f>
        <v>40633</v>
      </c>
      <c r="AB6" s="1443">
        <f>AA6+FLOOR(365/4,1)</f>
        <v>40724</v>
      </c>
      <c r="AC6" s="1443">
        <f>AB6+FLOOR(365/4,1)+1</f>
        <v>40816</v>
      </c>
      <c r="AD6" s="1443">
        <f>AC6+FLOOR(365/4,1)+1</f>
        <v>40908</v>
      </c>
      <c r="AE6" s="1444"/>
      <c r="AF6" s="1446"/>
      <c r="AG6" s="1442">
        <f>AA6+366</f>
        <v>40999</v>
      </c>
      <c r="AH6" s="1443">
        <f>AG6+FLOOR(365/4,1)</f>
        <v>41090</v>
      </c>
      <c r="AI6" s="1443">
        <f>AH6+FLOOR(365/4,1)+1</f>
        <v>41182</v>
      </c>
      <c r="AJ6" s="1443">
        <f>AI6+FLOOR(365/4,1)+1</f>
        <v>41274</v>
      </c>
      <c r="AK6" s="1444"/>
      <c r="AL6" s="1446"/>
      <c r="AM6" s="1442">
        <f>AG6+365</f>
        <v>41364</v>
      </c>
      <c r="AN6" s="1443">
        <f>AM6+FLOOR(365/4,1)</f>
        <v>41455</v>
      </c>
      <c r="AO6" s="1443">
        <f>AN6+FLOOR(365/4,1)+1</f>
        <v>41547</v>
      </c>
      <c r="AP6" s="1443">
        <f>AO6+FLOOR(365/4,1)+1</f>
        <v>41639</v>
      </c>
      <c r="AQ6" s="1444"/>
      <c r="AR6" s="1446"/>
      <c r="AS6" s="1442">
        <f>AM6+365</f>
        <v>41729</v>
      </c>
      <c r="AT6" s="1443">
        <f>AS6+FLOOR(365/4,1)</f>
        <v>41820</v>
      </c>
      <c r="AU6" s="1443">
        <f>AT6+FLOOR(365/4,1)+1</f>
        <v>41912</v>
      </c>
      <c r="AV6" s="1443">
        <f>AU6+FLOOR(365/4,1)+1</f>
        <v>42004</v>
      </c>
      <c r="AW6" s="1444"/>
      <c r="AX6" s="1446"/>
      <c r="AY6" s="1442">
        <f>AS6+365</f>
        <v>42094</v>
      </c>
      <c r="AZ6" s="1443">
        <f>AY6+FLOOR(365/4,1)</f>
        <v>42185</v>
      </c>
      <c r="BA6" s="1443">
        <f>AZ6+FLOOR(365/4,1)+1</f>
        <v>42277</v>
      </c>
      <c r="BB6" s="1443">
        <f>BA6+FLOOR(365/4,1)+1</f>
        <v>42369</v>
      </c>
      <c r="BC6" s="1444"/>
      <c r="BD6" s="1446"/>
      <c r="BE6" s="1442">
        <f>AY6+365+1</f>
        <v>42460</v>
      </c>
      <c r="BF6" s="1443">
        <f>BE6+FLOOR(365/4,1)</f>
        <v>42551</v>
      </c>
      <c r="BG6" s="1443">
        <f>BF6+FLOOR(365/4,1)+1</f>
        <v>42643</v>
      </c>
      <c r="BH6" s="1443">
        <f>BG6+FLOOR(365/4,1)+1</f>
        <v>42735</v>
      </c>
      <c r="BI6" s="1444"/>
      <c r="BJ6" s="1446"/>
      <c r="BK6" s="1442">
        <f>BE6+365</f>
        <v>42825</v>
      </c>
      <c r="BL6" s="1443">
        <f>BK6+FLOOR(365/4,1)</f>
        <v>42916</v>
      </c>
      <c r="BM6" s="1443">
        <f>BL6+FLOOR(365/4,1)+1</f>
        <v>43008</v>
      </c>
      <c r="BN6" s="1443">
        <f>BM6+FLOOR(365/4,1)+1</f>
        <v>43100</v>
      </c>
      <c r="BO6" s="1444"/>
      <c r="BP6" s="1446"/>
      <c r="BQ6" s="1448">
        <f>BK6+365</f>
        <v>43190</v>
      </c>
      <c r="BR6" s="1447">
        <f>BQ6+FLOOR(365/4,1)</f>
        <v>43281</v>
      </c>
      <c r="BS6" s="1447">
        <f>BR6+FLOOR(365/4,1)+1</f>
        <v>43373</v>
      </c>
      <c r="BT6" s="1447">
        <f>BS6+FLOOR(365/4,1)+1</f>
        <v>43465</v>
      </c>
      <c r="BU6" s="1444"/>
      <c r="BV6" s="1446"/>
      <c r="BW6" s="1448">
        <f>BQ6+365</f>
        <v>43555</v>
      </c>
      <c r="BX6" s="1447">
        <f>BW6+FLOOR(365/4,1)</f>
        <v>43646</v>
      </c>
      <c r="BY6" s="1447">
        <f>BX6+FLOOR(365/4,1)+1</f>
        <v>43738</v>
      </c>
      <c r="BZ6" s="1447">
        <f>BY6+FLOOR(365/4,1)+1</f>
        <v>43830</v>
      </c>
      <c r="CA6" s="1444"/>
      <c r="CB6" s="1446"/>
      <c r="CC6" s="1448">
        <f>BW6+365</f>
        <v>43920</v>
      </c>
      <c r="CD6" s="1447">
        <f>CC6+FLOOR(365/4,1)</f>
        <v>44011</v>
      </c>
      <c r="CE6" s="1447">
        <f>CD6+FLOOR(365/4,1)+1</f>
        <v>44103</v>
      </c>
      <c r="CF6" s="1447">
        <f>CE6+FLOOR(365/4,1)+1</f>
        <v>44195</v>
      </c>
      <c r="CG6" s="1444"/>
      <c r="CH6" s="1446"/>
      <c r="CI6" s="1448">
        <f>CC6+365</f>
        <v>44285</v>
      </c>
      <c r="CJ6" s="1447">
        <f>CI6+FLOOR(365/4,1)</f>
        <v>44376</v>
      </c>
      <c r="CK6" s="1447">
        <f>CJ6+FLOOR(365/4,1)+1</f>
        <v>44468</v>
      </c>
      <c r="CL6" s="1447">
        <f>CK6+FLOOR(365/4,1)+1</f>
        <v>44560</v>
      </c>
      <c r="CM6" s="1444"/>
      <c r="CS6" s="1387"/>
      <c r="CT6" s="1388" t="s">
        <v>461</v>
      </c>
      <c r="CU6" s="1388" t="s">
        <v>78</v>
      </c>
      <c r="CV6" s="1388" t="s">
        <v>72</v>
      </c>
      <c r="CW6" s="1388" t="s">
        <v>71</v>
      </c>
      <c r="CX6" s="1388" t="s">
        <v>63</v>
      </c>
      <c r="CY6" s="1388" t="s">
        <v>69</v>
      </c>
      <c r="CZ6" s="1388" t="s">
        <v>57</v>
      </c>
      <c r="DA6" s="1388" t="s">
        <v>68</v>
      </c>
      <c r="DB6" s="1388" t="s">
        <v>64</v>
      </c>
      <c r="DC6" s="1388" t="s">
        <v>462</v>
      </c>
      <c r="DD6" s="1388" t="s">
        <v>463</v>
      </c>
      <c r="DE6" s="1388" t="s">
        <v>467</v>
      </c>
      <c r="DF6" s="1388" t="s">
        <v>492</v>
      </c>
      <c r="DG6" s="1388" t="s">
        <v>493</v>
      </c>
      <c r="DH6" s="1388" t="s">
        <v>500</v>
      </c>
      <c r="DI6" s="1388" t="s">
        <v>510</v>
      </c>
      <c r="DJ6" s="1388" t="s">
        <v>511</v>
      </c>
      <c r="DK6" s="1388" t="s">
        <v>512</v>
      </c>
      <c r="DL6" s="1388" t="s">
        <v>516</v>
      </c>
      <c r="DM6" s="1388" t="s">
        <v>535</v>
      </c>
      <c r="DN6" s="1388" t="s">
        <v>552</v>
      </c>
      <c r="DO6" s="1388" t="s">
        <v>673</v>
      </c>
      <c r="DP6" s="1388" t="s">
        <v>694</v>
      </c>
      <c r="DQ6" s="1388" t="s">
        <v>721</v>
      </c>
      <c r="DR6" s="1388" t="s">
        <v>719</v>
      </c>
      <c r="DS6" s="1388" t="s">
        <v>720</v>
      </c>
      <c r="DT6" s="1388" t="s">
        <v>692</v>
      </c>
      <c r="DU6" s="1388" t="s">
        <v>693</v>
      </c>
    </row>
    <row r="7" spans="1:125" s="228" customFormat="1">
      <c r="A7" s="1010" t="s">
        <v>208</v>
      </c>
      <c r="B7" s="1011"/>
      <c r="C7" s="1012"/>
      <c r="D7" s="1013"/>
      <c r="E7" s="1013"/>
      <c r="F7" s="1013"/>
      <c r="G7" s="1014"/>
      <c r="H7" s="1015"/>
      <c r="I7" s="1012"/>
      <c r="J7" s="1013"/>
      <c r="K7" s="1013"/>
      <c r="L7" s="1013"/>
      <c r="M7" s="1014"/>
      <c r="N7" s="1016"/>
      <c r="O7" s="1012"/>
      <c r="P7" s="1013"/>
      <c r="Q7" s="1013"/>
      <c r="R7" s="1013"/>
      <c r="S7" s="1014"/>
      <c r="T7" s="1016"/>
      <c r="U7" s="1012"/>
      <c r="V7" s="1013"/>
      <c r="W7" s="1013"/>
      <c r="X7" s="1013"/>
      <c r="Y7" s="1014"/>
      <c r="Z7" s="1016"/>
      <c r="AA7" s="1012"/>
      <c r="AB7" s="1013"/>
      <c r="AC7" s="1013"/>
      <c r="AD7" s="1013"/>
      <c r="AE7" s="1014"/>
      <c r="AF7" s="1016"/>
      <c r="AG7" s="1012"/>
      <c r="AH7" s="1013"/>
      <c r="AI7" s="1013"/>
      <c r="AJ7" s="1013"/>
      <c r="AK7" s="1014"/>
      <c r="AL7" s="1016"/>
      <c r="AM7" s="1012"/>
      <c r="AN7" s="1013"/>
      <c r="AO7" s="1013"/>
      <c r="AP7" s="1013"/>
      <c r="AQ7" s="1014"/>
      <c r="AR7" s="1016"/>
      <c r="AS7" s="1012"/>
      <c r="AT7" s="1013"/>
      <c r="AU7" s="1013"/>
      <c r="AV7" s="1013"/>
      <c r="AW7" s="1014"/>
      <c r="AX7" s="1016"/>
      <c r="AY7" s="1012"/>
      <c r="AZ7" s="1013"/>
      <c r="BA7" s="1013"/>
      <c r="BB7" s="1013"/>
      <c r="BC7" s="1014"/>
      <c r="BD7" s="1016"/>
      <c r="BE7" s="1012"/>
      <c r="BF7" s="1013"/>
      <c r="BG7" s="1013"/>
      <c r="BH7" s="1013"/>
      <c r="BI7" s="1014"/>
      <c r="BJ7" s="1016"/>
      <c r="BK7" s="1012"/>
      <c r="BL7" s="1013"/>
      <c r="BM7" s="1013"/>
      <c r="BN7" s="1013"/>
      <c r="BO7" s="1014"/>
      <c r="BP7" s="1016"/>
      <c r="BQ7" s="1012"/>
      <c r="BR7" s="1013"/>
      <c r="BS7" s="1013"/>
      <c r="BT7" s="1013"/>
      <c r="BU7" s="1014"/>
      <c r="BV7" s="1016"/>
      <c r="BW7" s="1012"/>
      <c r="BX7" s="1013"/>
      <c r="BY7" s="1013"/>
      <c r="BZ7" s="1013"/>
      <c r="CA7" s="1014"/>
      <c r="CB7" s="1016"/>
      <c r="CC7" s="1012"/>
      <c r="CD7" s="1013"/>
      <c r="CE7" s="1013"/>
      <c r="CF7" s="1013"/>
      <c r="CG7" s="1014"/>
      <c r="CH7" s="1016"/>
      <c r="CI7" s="1012"/>
      <c r="CJ7" s="1013"/>
      <c r="CK7" s="1013"/>
      <c r="CL7" s="1013"/>
      <c r="CM7" s="1014"/>
      <c r="CS7" s="1389" t="s">
        <v>208</v>
      </c>
      <c r="CT7" s="1390">
        <f>AG15</f>
        <v>-0.24871054843943091</v>
      </c>
      <c r="CU7" s="1390">
        <f>AH15</f>
        <v>-0.24574618595218159</v>
      </c>
      <c r="CV7" s="1390">
        <f>AI15</f>
        <v>-0.15765032799472986</v>
      </c>
      <c r="CW7" s="1390">
        <f>AJ15</f>
        <v>0.11741580270744238</v>
      </c>
      <c r="CX7" s="1390">
        <f>AM15</f>
        <v>2.4682450185021368E-2</v>
      </c>
      <c r="CY7" s="1390">
        <f>AN15</f>
        <v>2.5855479741012141E-2</v>
      </c>
      <c r="CZ7" s="1390">
        <f>AO15</f>
        <v>3.2629774241200962E-2</v>
      </c>
      <c r="DA7" s="1390">
        <f>AP15</f>
        <v>7.4633916575640238E-2</v>
      </c>
      <c r="DB7" s="1390">
        <f>AS15</f>
        <v>4.8541798355776766E-3</v>
      </c>
      <c r="DC7" s="1390">
        <f>AT15</f>
        <v>9.1887619126305321E-3</v>
      </c>
      <c r="DD7" s="1390">
        <f>AU15</f>
        <v>9.1904582496549869E-2</v>
      </c>
      <c r="DE7" s="1390">
        <f>AV15</f>
        <v>7.6350397319650473E-2</v>
      </c>
      <c r="DF7" s="1390">
        <f>+AY15</f>
        <v>4.0017727893033123E-2</v>
      </c>
      <c r="DG7" s="1390">
        <f>+AZ15</f>
        <v>4.0935645907510941E-2</v>
      </c>
      <c r="DH7" s="1390">
        <f>+BA15</f>
        <v>-2.2038008434119079E-2</v>
      </c>
      <c r="DI7" s="1390">
        <f>+BB15</f>
        <v>7.7868053641089938E-3</v>
      </c>
      <c r="DJ7" s="1390">
        <f>+BE15</f>
        <v>0.10104985363110189</v>
      </c>
      <c r="DK7" s="1390">
        <f>+BF15</f>
        <v>0.12125878197249906</v>
      </c>
      <c r="DL7" s="1390">
        <f>+BG15</f>
        <v>0.11091062107522837</v>
      </c>
      <c r="DM7" s="1390">
        <f>+BH15</f>
        <v>7.1628062357420266E-2</v>
      </c>
      <c r="DN7" s="1390">
        <f>+BK15</f>
        <v>8.0712345930662191E-2</v>
      </c>
      <c r="DO7" s="1390">
        <f>+BL15</f>
        <v>3.4691466066724845E-2</v>
      </c>
      <c r="DP7" s="1390">
        <f>+BM15</f>
        <v>3.6905677657054548E-2</v>
      </c>
      <c r="DQ7" s="1390">
        <f>+BN15</f>
        <v>6.2172342260066932E-2</v>
      </c>
      <c r="DR7" s="1390">
        <f>+BQ15</f>
        <v>3.3026533192480168E-2</v>
      </c>
      <c r="DS7" s="1390">
        <f t="shared" ref="DS7:DU7" si="0">+BR15</f>
        <v>8.49703242971106E-2</v>
      </c>
      <c r="DT7" s="1390">
        <f t="shared" si="0"/>
        <v>8.4306742359542164E-2</v>
      </c>
      <c r="DU7" s="1390">
        <f t="shared" si="0"/>
        <v>4.2991716344050968E-2</v>
      </c>
    </row>
    <row r="8" spans="1:125" s="228" customFormat="1" hidden="1" outlineLevel="1">
      <c r="A8" s="897" t="str">
        <f>ProFormaRevBuild!A31</f>
        <v>Screening</v>
      </c>
      <c r="B8" s="996"/>
      <c r="C8" s="1894"/>
      <c r="D8" s="1895"/>
      <c r="E8" s="1895"/>
      <c r="F8" s="1895"/>
      <c r="G8" s="1896"/>
      <c r="H8" s="1897"/>
      <c r="I8" s="1894"/>
      <c r="J8" s="1895"/>
      <c r="K8" s="1895"/>
      <c r="L8" s="1895"/>
      <c r="M8" s="1896"/>
      <c r="N8" s="1898"/>
      <c r="O8" s="1899"/>
      <c r="P8" s="1900"/>
      <c r="Q8" s="1900"/>
      <c r="R8" s="1900"/>
      <c r="S8" s="1901"/>
      <c r="T8" s="1898"/>
      <c r="U8" s="1899"/>
      <c r="V8" s="1900"/>
      <c r="W8" s="1900"/>
      <c r="X8" s="1900"/>
      <c r="Y8" s="1901"/>
      <c r="Z8" s="1898"/>
      <c r="AA8" s="1899"/>
      <c r="AB8" s="1900"/>
      <c r="AC8" s="1900"/>
      <c r="AD8" s="1900"/>
      <c r="AE8" s="1901"/>
      <c r="AF8" s="1898"/>
      <c r="AG8" s="1899">
        <f>ProFormaRevBuild!AG32-ProFormaRevBuild!AG19</f>
        <v>0.15337649955316279</v>
      </c>
      <c r="AH8" s="1900">
        <f>ProFormaRevBuild!AH32-ProFormaRevBuild!AH19</f>
        <v>8.5705275810249087E-2</v>
      </c>
      <c r="AI8" s="1900">
        <f>ProFormaRevBuild!AI32-ProFormaRevBuild!AI19</f>
        <v>0.12913541698611927</v>
      </c>
      <c r="AJ8" s="1900">
        <f>ProFormaRevBuild!AJ32-ProFormaRevBuild!AJ19</f>
        <v>1.4419590576211774E-2</v>
      </c>
      <c r="AK8" s="1901">
        <f>ProFormaRevBuild!AK32-ProFormaRevBuild!AK19</f>
        <v>9.3970131013644903E-2</v>
      </c>
      <c r="AL8" s="1898"/>
      <c r="AM8" s="1899">
        <f>ProFormaRevBuild!AM32-ProFormaRevBuild!AM19</f>
        <v>0.05</v>
      </c>
      <c r="AN8" s="1900">
        <f>ProFormaRevBuild!AN32-ProFormaRevBuild!AN19</f>
        <v>2.0999999999999998E-2</v>
      </c>
      <c r="AO8" s="1900">
        <f>ProFormaRevBuild!AO32-ProFormaRevBuild!AO19</f>
        <v>2.4E-2</v>
      </c>
      <c r="AP8" s="1900">
        <f>ProFormaRevBuild!AP32-ProFormaRevBuild!AP19</f>
        <v>7.0000000000000007E-2</v>
      </c>
      <c r="AQ8" s="1901">
        <f>ProFormaRevBuild!AQ32-ProFormaRevBuild!AQ19</f>
        <v>4.1240328704748704E-2</v>
      </c>
      <c r="AR8" s="1898"/>
      <c r="AS8" s="1899">
        <f>ProFormaRevBuild!AS32-ProFormaRevBuild!AS19</f>
        <v>6.0000000000000001E-3</v>
      </c>
      <c r="AT8" s="1900">
        <f>ProFormaRevBuild!AT32-ProFormaRevBuild!AT19</f>
        <v>5.899999999999999E-3</v>
      </c>
      <c r="AU8" s="1900">
        <f>ProFormaRevBuild!AU32-ProFormaRevBuild!AU19</f>
        <v>0.153</v>
      </c>
      <c r="AV8" s="1900">
        <f>ProFormaRevBuild!AV32-ProFormaRevBuild!AV19</f>
        <v>0.126</v>
      </c>
      <c r="AW8" s="1901">
        <f>ProFormaRevBuild!AW32-ProFormaRevBuild!AW19</f>
        <v>7.3994684817685188E-2</v>
      </c>
      <c r="AX8" s="1898"/>
      <c r="AY8" s="1899">
        <f>ProFormaRevBuild!AY32-ProFormaRevBuild!AY19</f>
        <v>8.8999999999999996E-2</v>
      </c>
      <c r="AZ8" s="1900">
        <f>ProFormaRevBuild!AZ32-ProFormaRevBuild!AZ19</f>
        <v>6.6000000000000003E-2</v>
      </c>
      <c r="BA8" s="1900">
        <f>ProFormaRevBuild!BA32-ProFormaRevBuild!BA19-4%</f>
        <v>9.999999999999995E-3</v>
      </c>
      <c r="BB8" s="1900">
        <f>ProFormaRevBuild!BB32-ProFormaRevBuild!BB19</f>
        <v>7.2606630565376015E-2</v>
      </c>
      <c r="BC8" s="1901">
        <f>AVERAGE(AY8:BB8)</f>
        <v>5.9401657641344002E-2</v>
      </c>
      <c r="BD8" s="1898"/>
      <c r="BE8" s="1899">
        <f>ProFormaRevBuild!BE32-ProFormaRevBuild!BE19-(-5/ProFormaRevBuild!AY31)</f>
        <v>0.17013860938415629</v>
      </c>
      <c r="BF8" s="1900">
        <f>ProFormaRevBuild!BF32-ProFormaRevBuild!BF19-(-5/ProFormaRevBuild!AZ31)</f>
        <v>0.20215652545128462</v>
      </c>
      <c r="BG8" s="1900">
        <f>ProFormaRevBuild!BG32-ProFormaRevBuild!BG19-(-5/ProFormaRevBuild!BA31)-(-4.4%)-(0.75/ProFormaRevBuild!BA31)</f>
        <v>0.1657321715472248</v>
      </c>
      <c r="BH8" s="1900">
        <f>ProFormaRevBuild!BH32-ProFormaRevBuild!BH19-(-5/ProFormaRevBuild!BB31)-(0.75/ProFormaRevBuild!BB31)</f>
        <v>0.15676353126773931</v>
      </c>
      <c r="BI8" s="1901">
        <f t="shared" ref="BI8:BI11" si="1">AVERAGE(BE8:BH8)</f>
        <v>0.17369770941260126</v>
      </c>
      <c r="BJ8" s="1898"/>
      <c r="BK8" s="1899">
        <f>ProFormaRevBuild!BK32-ProFormaRevBuild!BK19-(6/ProFormaRevBuild!BE31)-(1/ProFormaRevBuild!BE31)-(-6.5/ProFormaRevBuild!BE31)-0.6%</f>
        <v>0.11021590615140078</v>
      </c>
      <c r="BL8" s="1900">
        <f>ProFormaRevBuild!BL32-ProFormaRevBuild!BL19-(8/ProFormaRevBuild!BF31)-(0.75/ProFormaRevBuild!BF31)+0.9%+0.6%</f>
        <v>1.6678531145175771E-2</v>
      </c>
      <c r="BM8" s="1900">
        <f>ProFormaRevBuild!BM32-ProFormaRevBuild!BM19-(10/ProFormaRevBuild!BG31)-0.9%</f>
        <v>5.4265136718878518E-3</v>
      </c>
      <c r="BN8" s="1900">
        <f>ProFormaRevBuild!BN32-ProFormaRevBuild!BN19-(9.5/ProFormaRevBuild!BH31)</f>
        <v>3.0648692940488637E-2</v>
      </c>
      <c r="BO8" s="1901">
        <f>AVERAGE(BK8:BN8)</f>
        <v>4.0742410977238262E-2</v>
      </c>
      <c r="BP8" s="1898"/>
      <c r="BQ8" s="1899">
        <f>ProFormaRevBuild!BQ32-ProFormaRevBuild!BQ19-(2.5/ProFormaRevBuild!BK31)</f>
        <v>2.4557777025609285E-2</v>
      </c>
      <c r="BR8" s="1900">
        <f>ProFormaRevBuild!BR32-ProFormaRevBuild!BR19</f>
        <v>9.9569583527779781E-2</v>
      </c>
      <c r="BS8" s="1900">
        <f>ProFormaRevBuild!BS32-ProFormaRevBuild!BS19</f>
        <v>8.7650604606185928E-2</v>
      </c>
      <c r="BT8" s="1900">
        <f>ProFormaRevBuild!BT32-ProFormaRevBuild!BT19</f>
        <v>0.13820618236927321</v>
      </c>
      <c r="BU8" s="1901">
        <f>AVERAGE(BQ8:BT8)</f>
        <v>8.7496036882212053E-2</v>
      </c>
      <c r="BV8" s="1900">
        <f>ProFormaRevBuild!BV32-ProFormaRevBuild!BV19</f>
        <v>0</v>
      </c>
      <c r="BW8" s="1899">
        <f>ProFormaRevBuild!BW32-ProFormaRevBuild!BW19</f>
        <v>7.0000000000000007E-2</v>
      </c>
      <c r="BX8" s="1900">
        <f>ProFormaRevBuild!BX32-ProFormaRevBuild!BX19</f>
        <v>7.0000000000000007E-2</v>
      </c>
      <c r="BY8" s="1900">
        <f>ProFormaRevBuild!BY32-ProFormaRevBuild!BY19</f>
        <v>7.0000000000000007E-2</v>
      </c>
      <c r="BZ8" s="1900">
        <f>ProFormaRevBuild!BZ32-ProFormaRevBuild!BZ19</f>
        <v>7.0000000000000007E-2</v>
      </c>
      <c r="CA8" s="1901">
        <f>ProFormaRevBuild!CA32-ProFormaRevBuild!CA19</f>
        <v>7.0000000000000062E-2</v>
      </c>
      <c r="CB8" s="1900">
        <f>ProFormaRevBuild!CB32-ProFormaRevBuild!CB19</f>
        <v>0</v>
      </c>
      <c r="CC8" s="1899">
        <f>ProFormaRevBuild!CC32-ProFormaRevBuild!CC19</f>
        <v>7.0000000000000007E-2</v>
      </c>
      <c r="CD8" s="1900">
        <f>ProFormaRevBuild!CD32-ProFormaRevBuild!CD19</f>
        <v>7.0000000000000007E-2</v>
      </c>
      <c r="CE8" s="1900">
        <f>ProFormaRevBuild!CE32-ProFormaRevBuild!CE19</f>
        <v>7.0000000000000007E-2</v>
      </c>
      <c r="CF8" s="1900">
        <f>ProFormaRevBuild!CF32-ProFormaRevBuild!CF19</f>
        <v>7.0000000000000007E-2</v>
      </c>
      <c r="CG8" s="1901">
        <f>ProFormaRevBuild!CG32-ProFormaRevBuild!CG19</f>
        <v>6.999999999999984E-2</v>
      </c>
      <c r="CH8" s="1900">
        <f>ProFormaRevBuild!CH32-ProFormaRevBuild!CH19</f>
        <v>0</v>
      </c>
      <c r="CI8" s="1899">
        <f>ProFormaRevBuild!CI32-ProFormaRevBuild!CI19</f>
        <v>7.0000000000000007E-2</v>
      </c>
      <c r="CJ8" s="1900">
        <f>ProFormaRevBuild!CJ32-ProFormaRevBuild!CJ19</f>
        <v>7.0000000000000007E-2</v>
      </c>
      <c r="CK8" s="1900">
        <f>ProFormaRevBuild!CK32-ProFormaRevBuild!CK19</f>
        <v>7.0000000000000007E-2</v>
      </c>
      <c r="CL8" s="1900">
        <f>ProFormaRevBuild!CL32-ProFormaRevBuild!CL19</f>
        <v>7.0000000000000007E-2</v>
      </c>
      <c r="CM8" s="1901">
        <f>ProFormaRevBuild!CM32-ProFormaRevBuild!CM19</f>
        <v>7.0000000000000062E-2</v>
      </c>
      <c r="CS8" s="2372" t="s">
        <v>727</v>
      </c>
      <c r="CT8" s="2373" t="s">
        <v>581</v>
      </c>
      <c r="CU8" s="2373" t="s">
        <v>581</v>
      </c>
      <c r="CV8" s="2373" t="s">
        <v>581</v>
      </c>
      <c r="CW8" s="2373" t="s">
        <v>581</v>
      </c>
      <c r="CX8" s="2373" t="s">
        <v>581</v>
      </c>
      <c r="CY8" s="2373" t="s">
        <v>581</v>
      </c>
      <c r="CZ8" s="2373" t="s">
        <v>581</v>
      </c>
      <c r="DA8" s="2373" t="s">
        <v>581</v>
      </c>
      <c r="DB8" s="2373" t="s">
        <v>581</v>
      </c>
      <c r="DC8" s="2373" t="s">
        <v>581</v>
      </c>
      <c r="DD8" s="2373" t="s">
        <v>581</v>
      </c>
      <c r="DE8" s="2373" t="s">
        <v>581</v>
      </c>
      <c r="DF8" s="2373" t="s">
        <v>581</v>
      </c>
      <c r="DG8" s="2373" t="s">
        <v>581</v>
      </c>
      <c r="DH8" s="2373" t="s">
        <v>581</v>
      </c>
      <c r="DI8" s="2373" t="s">
        <v>581</v>
      </c>
      <c r="DJ8" s="2373" t="s">
        <v>581</v>
      </c>
      <c r="DK8" s="2373" t="s">
        <v>581</v>
      </c>
      <c r="DL8" s="2373" t="s">
        <v>581</v>
      </c>
      <c r="DM8" s="2373" t="s">
        <v>581</v>
      </c>
      <c r="DN8" s="2373" t="s">
        <v>581</v>
      </c>
      <c r="DO8" s="2373" t="s">
        <v>581</v>
      </c>
      <c r="DP8" s="2373" t="s">
        <v>581</v>
      </c>
      <c r="DQ8" s="2373" t="s">
        <v>581</v>
      </c>
      <c r="DR8" s="2373" t="s">
        <v>581</v>
      </c>
      <c r="DS8" s="2373" t="s">
        <v>581</v>
      </c>
      <c r="DT8" s="2373" t="s">
        <v>581</v>
      </c>
      <c r="DU8" s="2373" t="s">
        <v>581</v>
      </c>
    </row>
    <row r="9" spans="1:125" s="228" customFormat="1" hidden="1" outlineLevel="1">
      <c r="A9" s="897" t="str">
        <f>ProFormaRevBuild!A33</f>
        <v>Cord Blood Banking</v>
      </c>
      <c r="B9" s="996"/>
      <c r="C9" s="1894"/>
      <c r="D9" s="1895"/>
      <c r="E9" s="1895"/>
      <c r="F9" s="1895"/>
      <c r="G9" s="1896"/>
      <c r="H9" s="1897"/>
      <c r="I9" s="1894"/>
      <c r="J9" s="1895"/>
      <c r="K9" s="1895"/>
      <c r="L9" s="1895"/>
      <c r="M9" s="1896"/>
      <c r="N9" s="1898"/>
      <c r="O9" s="1899"/>
      <c r="P9" s="1900"/>
      <c r="Q9" s="1900"/>
      <c r="R9" s="1900"/>
      <c r="S9" s="1901"/>
      <c r="T9" s="1898"/>
      <c r="U9" s="1899"/>
      <c r="V9" s="1900"/>
      <c r="W9" s="1900"/>
      <c r="X9" s="1900"/>
      <c r="Y9" s="1901"/>
      <c r="Z9" s="1898"/>
      <c r="AA9" s="1899"/>
      <c r="AB9" s="1900"/>
      <c r="AC9" s="1900"/>
      <c r="AD9" s="1900"/>
      <c r="AE9" s="1901"/>
      <c r="AF9" s="1898"/>
      <c r="AG9" s="1899">
        <f>ProFormaRevBuild!AG34-ProFormaRevBuild!AG19</f>
        <v>6.0000000000000005E-2</v>
      </c>
      <c r="AH9" s="1900">
        <f>ProFormaRevBuild!AH34-ProFormaRevBuild!AH19</f>
        <v>5.1000000000000004E-2</v>
      </c>
      <c r="AI9" s="1900">
        <f>ProFormaRevBuild!AI34-ProFormaRevBuild!AI19</f>
        <v>3.9E-2</v>
      </c>
      <c r="AJ9" s="1900">
        <f>ProFormaRevBuild!AJ34-ProFormaRevBuild!AJ19</f>
        <v>8.9999999999999993E-3</v>
      </c>
      <c r="AK9" s="1901">
        <f>ProFormaRevBuild!AK34-ProFormaRevBuild!AK19</f>
        <v>4.2028169014084439E-2</v>
      </c>
      <c r="AL9" s="1898"/>
      <c r="AM9" s="1899">
        <f>ProFormaRevBuild!AM34-ProFormaRevBuild!AM19</f>
        <v>-1.4E-2</v>
      </c>
      <c r="AN9" s="1900">
        <f>ProFormaRevBuild!AN34-ProFormaRevBuild!AN19</f>
        <v>1.0999999999999999E-2</v>
      </c>
      <c r="AO9" s="1900">
        <f>ProFormaRevBuild!AO34-ProFormaRevBuild!AO19</f>
        <v>1.4E-2</v>
      </c>
      <c r="AP9" s="1900">
        <f>ProFormaRevBuild!AP34-ProFormaRevBuild!AP19</f>
        <v>-4.1000000000000002E-2</v>
      </c>
      <c r="AQ9" s="1901">
        <f>ProFormaRevBuild!AQ34-ProFormaRevBuild!AQ19</f>
        <v>-5.9290729261499611E-3</v>
      </c>
      <c r="AR9" s="1898"/>
      <c r="AS9" s="1899">
        <f>ProFormaRevBuild!AS34-ProFormaRevBuild!AS19</f>
        <v>-3.9E-2</v>
      </c>
      <c r="AT9" s="1900">
        <f>ProFormaRevBuild!AT34-ProFormaRevBuild!AT19</f>
        <v>5.8900000000000001E-2</v>
      </c>
      <c r="AU9" s="1900">
        <f>ProFormaRevBuild!AU34-ProFormaRevBuild!AU19</f>
        <v>1.2999999999999999E-2</v>
      </c>
      <c r="AV9" s="1900">
        <f>ProFormaRevBuild!AV34-ProFormaRevBuild!AV19</f>
        <v>0.14000000000000001</v>
      </c>
      <c r="AW9" s="1901">
        <f>ProFormaRevBuild!AW34-ProFormaRevBuild!AW19</f>
        <v>4.1203624164485385E-2</v>
      </c>
      <c r="AX9" s="1898"/>
      <c r="AY9" s="1899">
        <f>ProFormaRevBuild!AY34-ProFormaRevBuild!AY19</f>
        <v>-9.6561368003048875E-3</v>
      </c>
      <c r="AZ9" s="1900">
        <f>ProFormaRevBuild!AZ34-ProFormaRevBuild!AZ19</f>
        <v>4.4769151398622094E-2</v>
      </c>
      <c r="BA9" s="1900">
        <f>ProFormaRevBuild!BA34-ProFormaRevBuild!BA19-4%</f>
        <v>-0.14875613521985509</v>
      </c>
      <c r="BB9" s="1900">
        <f>ProFormaRevBuild!BB34-ProFormaRevBuild!BB19</f>
        <v>-8.0752539871704554E-2</v>
      </c>
      <c r="BC9" s="1901">
        <f t="shared" ref="BC9:BC11" si="2">AVERAGE(AY9:BB9)</f>
        <v>-4.8598915123310611E-2</v>
      </c>
      <c r="BD9" s="1898"/>
      <c r="BE9" s="1899">
        <f>ProFormaRevBuild!BE34-ProFormaRevBuild!BE19</f>
        <v>2.7240716679933635E-2</v>
      </c>
      <c r="BF9" s="1900">
        <f>ProFormaRevBuild!BF34-ProFormaRevBuild!BF19</f>
        <v>-3.0778137976691117E-3</v>
      </c>
      <c r="BG9" s="1900">
        <f>ProFormaRevBuild!BG34-ProFormaRevBuild!BG19-(-4.4%)</f>
        <v>5.838727798792194E-2</v>
      </c>
      <c r="BH9" s="1900">
        <f>ProFormaRevBuild!BH34-ProFormaRevBuild!BH19</f>
        <v>3.6725258064249922E-2</v>
      </c>
      <c r="BI9" s="1901">
        <f t="shared" si="1"/>
        <v>2.9818859733609097E-2</v>
      </c>
      <c r="BJ9" s="1898"/>
      <c r="BK9" s="1899">
        <f>ProFormaRevBuild!BK34-ProFormaRevBuild!BK19-0.6%</f>
        <v>8.0508359243743853E-3</v>
      </c>
      <c r="BL9" s="1900">
        <f>ProFormaRevBuild!BL34-ProFormaRevBuild!BL19+0.9%+0.6%</f>
        <v>2.5253198065687578E-2</v>
      </c>
      <c r="BM9" s="1900">
        <f>ProFormaRevBuild!BM34-ProFormaRevBuild!BM19-0.9%</f>
        <v>-1.9000000000000003E-2</v>
      </c>
      <c r="BN9" s="1900">
        <f>ProFormaRevBuild!BN34-ProFormaRevBuild!BN19</f>
        <v>-1.8000000000000002E-2</v>
      </c>
      <c r="BO9" s="1901">
        <f>AVERAGE(BK9:BN9)</f>
        <v>-9.2399150248451134E-4</v>
      </c>
      <c r="BP9" s="1898"/>
      <c r="BQ9" s="1899">
        <f>ProFormaRevBuild!BQ34-ProFormaRevBuild!BQ19</f>
        <v>-5.0537504150991605E-2</v>
      </c>
      <c r="BR9" s="1900">
        <f>ProFormaRevBuild!BR34-ProFormaRevBuild!BR19</f>
        <v>-4.0430416472220218E-2</v>
      </c>
      <c r="BS9" s="1900">
        <f>ProFormaRevBuild!BS34-ProFormaRevBuild!BS19</f>
        <v>-4.234939539381407E-2</v>
      </c>
      <c r="BT9" s="1900">
        <f>ProFormaRevBuild!BT34-ProFormaRevBuild!BT19</f>
        <v>-2.1793817630726808E-2</v>
      </c>
      <c r="BU9" s="1901">
        <f>ProFormaRevBuild!BU34-ProFormaRevBuild!BU19</f>
        <v>-3.7366020219746846E-2</v>
      </c>
      <c r="BV9" s="1900">
        <f>ProFormaRevBuild!BV34-ProFormaRevBuild!BV19</f>
        <v>0</v>
      </c>
      <c r="BW9" s="1899">
        <f>ProFormaRevBuild!BW34-ProFormaRevBuild!BW19</f>
        <v>-0.03</v>
      </c>
      <c r="BX9" s="1900">
        <f>ProFormaRevBuild!BX34-ProFormaRevBuild!BX19</f>
        <v>-0.03</v>
      </c>
      <c r="BY9" s="1900">
        <f>ProFormaRevBuild!BY34-ProFormaRevBuild!BY19</f>
        <v>-0.03</v>
      </c>
      <c r="BZ9" s="1900">
        <f>ProFormaRevBuild!BZ34-ProFormaRevBuild!BZ19</f>
        <v>-0.03</v>
      </c>
      <c r="CA9" s="1901">
        <f>ProFormaRevBuild!CA34-ProFormaRevBuild!CA19</f>
        <v>-2.9999999999999916E-2</v>
      </c>
      <c r="CB9" s="1900">
        <f>ProFormaRevBuild!CB34-ProFormaRevBuild!CB19</f>
        <v>0</v>
      </c>
      <c r="CC9" s="1899">
        <f>ProFormaRevBuild!CC34-ProFormaRevBuild!CC19</f>
        <v>0.02</v>
      </c>
      <c r="CD9" s="1900">
        <f>ProFormaRevBuild!CD34-ProFormaRevBuild!CD19</f>
        <v>0.02</v>
      </c>
      <c r="CE9" s="1900">
        <f>ProFormaRevBuild!CE34-ProFormaRevBuild!CE19</f>
        <v>0.02</v>
      </c>
      <c r="CF9" s="1900">
        <f>ProFormaRevBuild!CF34-ProFormaRevBuild!CF19</f>
        <v>0.02</v>
      </c>
      <c r="CG9" s="1901">
        <f>ProFormaRevBuild!CG34-ProFormaRevBuild!CG19</f>
        <v>2.0000000000000018E-2</v>
      </c>
      <c r="CH9" s="1900">
        <f>ProFormaRevBuild!CH34-ProFormaRevBuild!CH19</f>
        <v>0</v>
      </c>
      <c r="CI9" s="1899">
        <f>ProFormaRevBuild!CI34-ProFormaRevBuild!CI19</f>
        <v>0.02</v>
      </c>
      <c r="CJ9" s="1900">
        <f>ProFormaRevBuild!CJ34-ProFormaRevBuild!CJ19</f>
        <v>0.02</v>
      </c>
      <c r="CK9" s="1900">
        <f>ProFormaRevBuild!CK34-ProFormaRevBuild!CK19</f>
        <v>0.02</v>
      </c>
      <c r="CL9" s="1900">
        <f>ProFormaRevBuild!CL34-ProFormaRevBuild!CL19</f>
        <v>0.02</v>
      </c>
      <c r="CM9" s="1901">
        <f>ProFormaRevBuild!CM34-ProFormaRevBuild!CM19</f>
        <v>2.0000000000000018E-2</v>
      </c>
      <c r="CS9" s="1800" t="s">
        <v>734</v>
      </c>
      <c r="CT9" s="2371" t="s">
        <v>581</v>
      </c>
      <c r="CU9" s="2371" t="s">
        <v>581</v>
      </c>
      <c r="CV9" s="2371" t="s">
        <v>581</v>
      </c>
      <c r="CW9" s="2371" t="s">
        <v>581</v>
      </c>
      <c r="CX9" s="2371" t="s">
        <v>581</v>
      </c>
      <c r="CY9" s="2371" t="s">
        <v>581</v>
      </c>
      <c r="CZ9" s="2371" t="s">
        <v>581</v>
      </c>
      <c r="DA9" s="2371" t="s">
        <v>581</v>
      </c>
      <c r="DB9" s="2371" t="s">
        <v>581</v>
      </c>
      <c r="DC9" s="2371" t="s">
        <v>581</v>
      </c>
      <c r="DD9" s="2371" t="s">
        <v>581</v>
      </c>
      <c r="DE9" s="2371" t="s">
        <v>581</v>
      </c>
      <c r="DF9" s="2371" t="s">
        <v>581</v>
      </c>
      <c r="DG9" s="2371" t="s">
        <v>581</v>
      </c>
      <c r="DH9" s="2371" t="s">
        <v>581</v>
      </c>
      <c r="DI9" s="2371" t="s">
        <v>581</v>
      </c>
      <c r="DJ9" s="2371" t="s">
        <v>581</v>
      </c>
      <c r="DK9" s="2371" t="s">
        <v>581</v>
      </c>
      <c r="DL9" s="2371" t="s">
        <v>581</v>
      </c>
      <c r="DM9" s="2371" t="s">
        <v>581</v>
      </c>
      <c r="DN9" s="2371" t="s">
        <v>581</v>
      </c>
      <c r="DO9" s="2371" t="s">
        <v>581</v>
      </c>
      <c r="DP9" s="2371" t="s">
        <v>581</v>
      </c>
      <c r="DQ9" s="2371" t="s">
        <v>581</v>
      </c>
      <c r="DR9" s="2371" t="s">
        <v>581</v>
      </c>
      <c r="DS9" s="2371" t="s">
        <v>581</v>
      </c>
      <c r="DT9" s="2371" t="s">
        <v>581</v>
      </c>
      <c r="DU9" s="2371" t="s">
        <v>581</v>
      </c>
    </row>
    <row r="10" spans="1:125" s="228" customFormat="1" collapsed="1">
      <c r="A10" s="897" t="str">
        <f>ProFormaRevBuild!A35</f>
        <v>Medical Imaging</v>
      </c>
      <c r="B10" s="996"/>
      <c r="C10" s="1894"/>
      <c r="D10" s="1895"/>
      <c r="E10" s="1895"/>
      <c r="F10" s="1895"/>
      <c r="G10" s="1896"/>
      <c r="H10" s="1897"/>
      <c r="I10" s="1894"/>
      <c r="J10" s="1895"/>
      <c r="K10" s="1895"/>
      <c r="L10" s="1895"/>
      <c r="M10" s="1896"/>
      <c r="N10" s="1898"/>
      <c r="O10" s="1899"/>
      <c r="P10" s="1900"/>
      <c r="Q10" s="1900"/>
      <c r="R10" s="1900"/>
      <c r="S10" s="1901"/>
      <c r="T10" s="1898"/>
      <c r="U10" s="1899"/>
      <c r="V10" s="1900"/>
      <c r="W10" s="1900"/>
      <c r="X10" s="1900"/>
      <c r="Y10" s="1901"/>
      <c r="Z10" s="1898"/>
      <c r="AA10" s="1899"/>
      <c r="AB10" s="1900"/>
      <c r="AC10" s="1900"/>
      <c r="AD10" s="1900"/>
      <c r="AE10" s="1901"/>
      <c r="AF10" s="1898"/>
      <c r="AG10" s="1899">
        <f>ProFormaRevBuild!AG36-ProFormaRevBuild!AG19</f>
        <v>0.18000000000000002</v>
      </c>
      <c r="AH10" s="1900">
        <f>ProFormaRevBuild!AH36-ProFormaRevBuild!AH19</f>
        <v>0.151</v>
      </c>
      <c r="AI10" s="1900">
        <f>ProFormaRevBuild!AI36-ProFormaRevBuild!AI19</f>
        <v>0.17899999999999999</v>
      </c>
      <c r="AJ10" s="1900">
        <f>ProFormaRevBuild!AJ36-ProFormaRevBuild!AJ19</f>
        <v>0.159</v>
      </c>
      <c r="AK10" s="1901">
        <f>ProFormaRevBuild!AK36-ProFormaRevBuild!AK19</f>
        <v>0.168839387515578</v>
      </c>
      <c r="AL10" s="1898"/>
      <c r="AM10" s="1899">
        <f>ProFormaRevBuild!AM36-ProFormaRevBuild!AM19</f>
        <v>6.0000000000000005E-2</v>
      </c>
      <c r="AN10" s="1900">
        <f>ProFormaRevBuild!AN36-ProFormaRevBuild!AN19</f>
        <v>-4.7E-2</v>
      </c>
      <c r="AO10" s="1900">
        <f>ProFormaRevBuild!AO36-ProFormaRevBuild!AO19</f>
        <v>-0.10335142336898917</v>
      </c>
      <c r="AP10" s="1900">
        <f>ProFormaRevBuild!AP36-ProFormaRevBuild!AP19</f>
        <v>0.06</v>
      </c>
      <c r="AQ10" s="1901">
        <f>ProFormaRevBuild!AQ36-ProFormaRevBuild!AQ19</f>
        <v>-6.8912924533990252E-3</v>
      </c>
      <c r="AR10" s="1898"/>
      <c r="AS10" s="1899">
        <f>ProFormaRevBuild!AS36-ProFormaRevBuild!AS19</f>
        <v>-5.0000000000000001E-3</v>
      </c>
      <c r="AT10" s="1900">
        <f>ProFormaRevBuild!AT36-ProFormaRevBuild!AT19</f>
        <v>7.4899999999999994E-2</v>
      </c>
      <c r="AU10" s="1900">
        <f>ProFormaRevBuild!AU36-ProFormaRevBuild!AU19</f>
        <v>0.122</v>
      </c>
      <c r="AV10" s="1900">
        <f>ProFormaRevBuild!AV36-ProFormaRevBuild!AV19</f>
        <v>-4.0000000000000008E-2</v>
      </c>
      <c r="AW10" s="1901">
        <f>ProFormaRevBuild!AW36-ProFormaRevBuild!AW19</f>
        <v>3.0636908782558057E-2</v>
      </c>
      <c r="AX10" s="1898"/>
      <c r="AY10" s="1899">
        <f>ProFormaRevBuild!AY36-ProFormaRevBuild!AY19</f>
        <v>5.3999999999999999E-2</v>
      </c>
      <c r="AZ10" s="1900">
        <f>ProFormaRevBuild!AZ36-ProFormaRevBuild!AZ19</f>
        <v>-2.3999999999999994E-2</v>
      </c>
      <c r="BA10" s="1900">
        <f>ProFormaRevBuild!BA36-ProFormaRevBuild!BA19-4%</f>
        <v>-3.0000000000000006E-2</v>
      </c>
      <c r="BB10" s="1900">
        <f>ProFormaRevBuild!BB36-ProFormaRevBuild!BB19</f>
        <v>5.5606630565376014E-2</v>
      </c>
      <c r="BC10" s="1901">
        <f t="shared" si="2"/>
        <v>1.3901657641344004E-2</v>
      </c>
      <c r="BD10" s="1898"/>
      <c r="BE10" s="1899">
        <f>ProFormaRevBuild!BE36-ProFormaRevBuild!BE19</f>
        <v>-3.9999999999999994E-2</v>
      </c>
      <c r="BF10" s="1900">
        <f>ProFormaRevBuild!BF36-ProFormaRevBuild!BF19</f>
        <v>-7.1146608536566042E-2</v>
      </c>
      <c r="BG10" s="1900">
        <f>ProFormaRevBuild!BG36-ProFormaRevBuild!BG19</f>
        <v>-0.16031149704019987</v>
      </c>
      <c r="BH10" s="1900"/>
      <c r="BI10" s="1901">
        <f t="shared" si="1"/>
        <v>-9.0486035192255301E-2</v>
      </c>
      <c r="BJ10" s="1898"/>
      <c r="BK10" s="1899"/>
      <c r="BL10" s="1900"/>
      <c r="BM10" s="1900"/>
      <c r="BN10" s="1900"/>
      <c r="BO10" s="1901"/>
      <c r="BP10" s="1898"/>
      <c r="BQ10" s="1899"/>
      <c r="BR10" s="1900"/>
      <c r="BS10" s="1900"/>
      <c r="BT10" s="1900"/>
      <c r="BU10" s="1901"/>
      <c r="BV10" s="1900">
        <f>ProFormaRevBuild!BV36-ProFormaRevBuild!BV19</f>
        <v>0</v>
      </c>
      <c r="BW10" s="1899"/>
      <c r="BX10" s="1900"/>
      <c r="BY10" s="1900"/>
      <c r="BZ10" s="1900"/>
      <c r="CA10" s="1901"/>
      <c r="CB10" s="1900">
        <f>ProFormaRevBuild!CB36-ProFormaRevBuild!CB19</f>
        <v>0</v>
      </c>
      <c r="CC10" s="1899"/>
      <c r="CD10" s="1900"/>
      <c r="CE10" s="1900"/>
      <c r="CF10" s="1900"/>
      <c r="CG10" s="1901"/>
      <c r="CH10" s="1900">
        <f>ProFormaRevBuild!CH36-ProFormaRevBuild!CH19</f>
        <v>0</v>
      </c>
      <c r="CI10" s="1899"/>
      <c r="CJ10" s="1900"/>
      <c r="CK10" s="1900"/>
      <c r="CL10" s="1900"/>
      <c r="CM10" s="1901"/>
      <c r="CS10" s="1393" t="s">
        <v>530</v>
      </c>
      <c r="CT10" s="1394">
        <f>AG24</f>
        <v>1.9876371841933936E-2</v>
      </c>
      <c r="CU10" s="1394">
        <f>AH24</f>
        <v>3.7637375753303247E-2</v>
      </c>
      <c r="CV10" s="1394">
        <f>AI24</f>
        <v>3.3474718272068688E-2</v>
      </c>
      <c r="CW10" s="1394">
        <f>AJ24</f>
        <v>1.4529660080490059E-2</v>
      </c>
      <c r="CX10" s="1394">
        <f>AM24</f>
        <v>-3.3681210651028477E-2</v>
      </c>
      <c r="CY10" s="1394">
        <f>AN24</f>
        <v>2.0705630531375425E-2</v>
      </c>
      <c r="CZ10" s="1394">
        <f>AO24</f>
        <v>2.5125464591310376E-2</v>
      </c>
      <c r="DA10" s="1394">
        <f>AP24</f>
        <v>8.2154733367287864E-3</v>
      </c>
      <c r="DB10" s="1394">
        <f>AS24</f>
        <v>5.3535241721835443E-2</v>
      </c>
      <c r="DC10" s="1394">
        <f>AT24</f>
        <v>3.8955601513035454E-3</v>
      </c>
      <c r="DD10" s="1394">
        <f>AU24</f>
        <v>4.1663329528944582E-2</v>
      </c>
      <c r="DE10" s="1394">
        <f>AV24</f>
        <v>8.9770649845876904E-2</v>
      </c>
      <c r="DF10" s="1394">
        <f>+AY24</f>
        <v>5.5580895152815842E-2</v>
      </c>
      <c r="DG10" s="1394">
        <f>+AZ24</f>
        <v>6.6891759543480672E-2</v>
      </c>
      <c r="DH10" s="1394">
        <f>+BA24</f>
        <v>6.8526413105558251E-2</v>
      </c>
      <c r="DI10" s="1394">
        <f>+BB24</f>
        <v>3.0266068602882626E-2</v>
      </c>
      <c r="DJ10" s="1394">
        <f>+BE24</f>
        <v>4.2595109748085655E-2</v>
      </c>
      <c r="DK10" s="1394">
        <f>+BF24</f>
        <v>3.5218554814968597E-3</v>
      </c>
      <c r="DL10" s="1394">
        <f>+BG24</f>
        <v>-1.8933174092503058E-4</v>
      </c>
      <c r="DM10" s="1394">
        <f>+BH24</f>
        <v>-1.388433744159241E-2</v>
      </c>
      <c r="DN10" s="1394">
        <f>+BK24</f>
        <v>1.7345345346532575E-2</v>
      </c>
      <c r="DO10" s="1394">
        <f>+BL24</f>
        <v>2.3131238662902634E-2</v>
      </c>
      <c r="DP10" s="1394">
        <f>+BM24</f>
        <v>3.8736061617852181E-2</v>
      </c>
      <c r="DQ10" s="1394">
        <f>+BN24</f>
        <v>6.529323029486947E-2</v>
      </c>
      <c r="DR10" s="1394">
        <f>+BQ24</f>
        <v>4.7103854897796948E-2</v>
      </c>
      <c r="DS10" s="1394">
        <f>+BR24</f>
        <v>5.2946129513304907E-2</v>
      </c>
      <c r="DT10" s="1394">
        <f>+BS24</f>
        <v>4.4653397249545757E-2</v>
      </c>
      <c r="DU10" s="1394">
        <f>+BT24</f>
        <v>3.4776489158655527E-2</v>
      </c>
    </row>
    <row r="11" spans="1:125" s="228" customFormat="1">
      <c r="A11" s="897" t="str">
        <f>ProFormaRevBuild!A37</f>
        <v>Caliper</v>
      </c>
      <c r="B11" s="996"/>
      <c r="C11" s="1894"/>
      <c r="D11" s="1895"/>
      <c r="E11" s="1895"/>
      <c r="F11" s="1895"/>
      <c r="G11" s="1896"/>
      <c r="H11" s="1897"/>
      <c r="I11" s="1894"/>
      <c r="J11" s="1895"/>
      <c r="K11" s="1895"/>
      <c r="L11" s="1895"/>
      <c r="M11" s="1896"/>
      <c r="N11" s="1898"/>
      <c r="O11" s="1899"/>
      <c r="P11" s="1900"/>
      <c r="Q11" s="1900"/>
      <c r="R11" s="1900"/>
      <c r="S11" s="1901"/>
      <c r="T11" s="1898"/>
      <c r="U11" s="1899"/>
      <c r="V11" s="1900"/>
      <c r="W11" s="1900"/>
      <c r="X11" s="1900"/>
      <c r="Y11" s="1901"/>
      <c r="Z11" s="1898"/>
      <c r="AA11" s="1899"/>
      <c r="AB11" s="1900"/>
      <c r="AC11" s="1900"/>
      <c r="AD11" s="1900"/>
      <c r="AE11" s="1901"/>
      <c r="AF11" s="1898"/>
      <c r="AG11" s="1899">
        <f>ProFormaRevBuild!AG38-ProFormaRevBuild!AG19</f>
        <v>0.13786152987158018</v>
      </c>
      <c r="AH11" s="1900">
        <f>ProFormaRevBuild!AH38-ProFormaRevBuild!AH19</f>
        <v>8.4269606948175507E-2</v>
      </c>
      <c r="AI11" s="1900">
        <f>ProFormaRevBuild!AI38-ProFormaRevBuild!AI19</f>
        <v>3.7181227671321787E-2</v>
      </c>
      <c r="AJ11" s="1900">
        <f>ProFormaRevBuild!AJ38-ProFormaRevBuild!AJ19</f>
        <v>0.34456903225806446</v>
      </c>
      <c r="AK11" s="1901">
        <f>ProFormaRevBuild!AK38-ProFormaRevBuild!AK19</f>
        <v>0.14323185723634665</v>
      </c>
      <c r="AL11" s="1898"/>
      <c r="AM11" s="1899">
        <f>ProFormaRevBuild!AM38-ProFormaRevBuild!AM19</f>
        <v>-7.5000000000000011E-2</v>
      </c>
      <c r="AN11" s="1900">
        <f>ProFormaRevBuild!AN38-ProFormaRevBuild!AN19</f>
        <v>8.0000000000000002E-3</v>
      </c>
      <c r="AO11" s="1900">
        <f>ProFormaRevBuild!AO38-ProFormaRevBuild!AO19</f>
        <v>1.4E-2</v>
      </c>
      <c r="AP11" s="1900">
        <f>ProFormaRevBuild!AP38-ProFormaRevBuild!AP19</f>
        <v>7.0000000000000007E-2</v>
      </c>
      <c r="AQ11" s="1901">
        <f>ProFormaRevBuild!AQ38-ProFormaRevBuild!AQ19</f>
        <v>4.3627410040678691E-3</v>
      </c>
      <c r="AR11" s="1898"/>
      <c r="AS11" s="1899">
        <f>ProFormaRevBuild!AS38-ProFormaRevBuild!AS19</f>
        <v>1.0999999999999999E-2</v>
      </c>
      <c r="AT11" s="1900">
        <f>ProFormaRevBuild!AT38-ProFormaRevBuild!AT19</f>
        <v>-4.41E-2</v>
      </c>
      <c r="AU11" s="1900">
        <f>ProFormaRevBuild!AU38-ProFormaRevBuild!AU19</f>
        <v>-6.9999999999999993E-3</v>
      </c>
      <c r="AV11" s="1900">
        <f>ProFormaRevBuild!AV38-ProFormaRevBuild!AV19</f>
        <v>5.7999999999999996E-2</v>
      </c>
      <c r="AW11" s="1901">
        <f>ProFormaRevBuild!AW38-ProFormaRevBuild!AW19</f>
        <v>5.7242536540499022E-3</v>
      </c>
      <c r="AX11" s="1898"/>
      <c r="AY11" s="1899">
        <f>ProFormaRevBuild!AY38-ProFormaRevBuild!AY19</f>
        <v>3.4000000000000002E-2</v>
      </c>
      <c r="AZ11" s="1900">
        <f>ProFormaRevBuild!AZ38-ProFormaRevBuild!AZ19</f>
        <v>7.5999999999999998E-2</v>
      </c>
      <c r="BA11" s="1900">
        <f>ProFormaRevBuild!BA38-ProFormaRevBuild!BA19-4%</f>
        <v>0.04</v>
      </c>
      <c r="BB11" s="1900">
        <f>ProFormaRevBuild!BB38-ProFormaRevBuild!BB19</f>
        <v>-4.4393369434623992E-2</v>
      </c>
      <c r="BC11" s="1901">
        <f t="shared" si="2"/>
        <v>2.6401657641344001E-2</v>
      </c>
      <c r="BD11" s="1898"/>
      <c r="BE11" s="1899">
        <f>ProFormaRevBuild!BE38-ProFormaRevBuild!BE19</f>
        <v>-2.611169452780782E-2</v>
      </c>
      <c r="BF11" s="1900">
        <f>ProFormaRevBuild!BF38-ProFormaRevBuild!BF19</f>
        <v>7.6607924820586799E-3</v>
      </c>
      <c r="BG11" s="1900">
        <f>ProFormaRevBuild!BG38-ProFormaRevBuild!BG19-(-4.4%)</f>
        <v>-4.1000000000000002E-2</v>
      </c>
      <c r="BH11" s="1900">
        <f>ProFormaRevBuild!BH38-ProFormaRevBuild!BH19</f>
        <v>-0.107</v>
      </c>
      <c r="BI11" s="1901">
        <f t="shared" si="1"/>
        <v>-4.1612725511437285E-2</v>
      </c>
      <c r="BJ11" s="1898"/>
      <c r="BK11" s="1899">
        <f>ProFormaRevBuild!BK38-ProFormaRevBuild!BK19-0.6%</f>
        <v>3.8050835924374388E-2</v>
      </c>
      <c r="BL11" s="1900">
        <f>ProFormaRevBuild!BL38-ProFormaRevBuild!BL19+0.9%+0.6%</f>
        <v>5.4962561398064817E-2</v>
      </c>
      <c r="BM11" s="1900">
        <f>ProFormaRevBuild!BM38-ProFormaRevBuild!BM19-0.9%</f>
        <v>0.18099999999999999</v>
      </c>
      <c r="BN11" s="1900">
        <f>ProFormaRevBuild!BN38-ProFormaRevBuild!BN19</f>
        <v>0.17200000000000001</v>
      </c>
      <c r="BO11" s="1901">
        <f>AVERAGE(BK11:BN11)</f>
        <v>0.11150334933060982</v>
      </c>
      <c r="BP11" s="1898"/>
      <c r="BQ11" s="1899">
        <f>ProFormaRevBuild!BQ38-ProFormaRevBuild!BQ19</f>
        <v>-1.0537504150991601E-2</v>
      </c>
      <c r="BR11" s="1900">
        <f>ProFormaRevBuild!BR38-ProFormaRevBuild!BR19</f>
        <v>9.5695835277797847E-3</v>
      </c>
      <c r="BS11" s="1900">
        <f>ProFormaRevBuild!BS38-ProFormaRevBuild!BS19</f>
        <v>7.6506046061859314E-3</v>
      </c>
      <c r="BT11" s="1900">
        <f>ProFormaRevBuild!BT38-ProFormaRevBuild!BT19</f>
        <v>-1.7938176307268072E-3</v>
      </c>
      <c r="BU11" s="1901">
        <f>ProFormaRevBuild!BU38-ProFormaRevBuild!BU19</f>
        <v>1.5292679500084443E-3</v>
      </c>
      <c r="BV11" s="1900">
        <f>ProFormaRevBuild!BV38-ProFormaRevBuild!BV19</f>
        <v>0</v>
      </c>
      <c r="BW11" s="1899">
        <f>ProFormaRevBuild!BW38-ProFormaRevBuild!BW19</f>
        <v>0.01</v>
      </c>
      <c r="BX11" s="1900">
        <f>ProFormaRevBuild!BX38-ProFormaRevBuild!BX19</f>
        <v>0.01</v>
      </c>
      <c r="BY11" s="1900">
        <f>ProFormaRevBuild!BY38-ProFormaRevBuild!BY19</f>
        <v>0.01</v>
      </c>
      <c r="BZ11" s="1900">
        <f>ProFormaRevBuild!BZ38-ProFormaRevBuild!BZ19</f>
        <v>0.01</v>
      </c>
      <c r="CA11" s="1901">
        <f>ProFormaRevBuild!CA38-ProFormaRevBuild!CA19</f>
        <v>1.0000000000000009E-2</v>
      </c>
      <c r="CB11" s="1900">
        <f>ProFormaRevBuild!CB38-ProFormaRevBuild!CB19</f>
        <v>0</v>
      </c>
      <c r="CC11" s="1899">
        <f>ProFormaRevBuild!CC38-ProFormaRevBuild!CC19</f>
        <v>0.01</v>
      </c>
      <c r="CD11" s="1900">
        <f>ProFormaRevBuild!CD38-ProFormaRevBuild!CD19</f>
        <v>0.01</v>
      </c>
      <c r="CE11" s="1900">
        <f>ProFormaRevBuild!CE38-ProFormaRevBuild!CE19</f>
        <v>0.01</v>
      </c>
      <c r="CF11" s="1900">
        <f>ProFormaRevBuild!CF38-ProFormaRevBuild!CF19</f>
        <v>0.01</v>
      </c>
      <c r="CG11" s="1901">
        <f>ProFormaRevBuild!CG38-ProFormaRevBuild!CG19</f>
        <v>1.0000000000000231E-2</v>
      </c>
      <c r="CH11" s="1900">
        <f>ProFormaRevBuild!CH38-ProFormaRevBuild!CH19</f>
        <v>0</v>
      </c>
      <c r="CI11" s="1899">
        <f>ProFormaRevBuild!CI38-ProFormaRevBuild!CI19</f>
        <v>0.01</v>
      </c>
      <c r="CJ11" s="1900">
        <f>ProFormaRevBuild!CJ38-ProFormaRevBuild!CJ19</f>
        <v>0.01</v>
      </c>
      <c r="CK11" s="1900">
        <f>ProFormaRevBuild!CK38-ProFormaRevBuild!CK19</f>
        <v>0.01</v>
      </c>
      <c r="CL11" s="1900">
        <f>ProFormaRevBuild!CL38-ProFormaRevBuild!CL19</f>
        <v>0.01</v>
      </c>
      <c r="CM11" s="1901">
        <f>ProFormaRevBuild!CM38-ProFormaRevBuild!CM19</f>
        <v>1.0000000000000009E-2</v>
      </c>
      <c r="CS11" s="1391" t="str">
        <f>A25</f>
        <v>Total PKI</v>
      </c>
      <c r="CT11" s="1392">
        <f>AG26</f>
        <v>-3.1201076790521573E-2</v>
      </c>
      <c r="CU11" s="1392">
        <f>AH26</f>
        <v>-4.2011059519488608E-2</v>
      </c>
      <c r="CV11" s="1392">
        <f>AI26</f>
        <v>-3.4132455642147008E-2</v>
      </c>
      <c r="CW11" s="1392">
        <f>AJ26</f>
        <v>2.11120708838229E-2</v>
      </c>
      <c r="CX11" s="1392">
        <f>AM26</f>
        <v>-1.5930802318406857E-2</v>
      </c>
      <c r="CY11" s="1392">
        <f>AN26</f>
        <v>2.6502809475198758E-2</v>
      </c>
      <c r="CZ11" s="1392">
        <f>AO26</f>
        <v>2.6763967300238143E-2</v>
      </c>
      <c r="DA11" s="1392">
        <f>AP26</f>
        <v>2.1424463371906954E-2</v>
      </c>
      <c r="DB11" s="1392">
        <f>AS26</f>
        <v>3.4651857820189799E-2</v>
      </c>
      <c r="DC11" s="1392">
        <f>AT26</f>
        <v>-8.9060952089271492E-4</v>
      </c>
      <c r="DD11" s="1392">
        <f>AU26</f>
        <v>5.5855598752270065E-2</v>
      </c>
      <c r="DE11" s="1392">
        <f>AV26</f>
        <v>9.0869827167436731E-2</v>
      </c>
      <c r="DF11" s="1392">
        <f>+AY26</f>
        <v>6.3730546443588734E-2</v>
      </c>
      <c r="DG11" s="1392">
        <f>+AZ26</f>
        <v>9.1825474634242135E-2</v>
      </c>
      <c r="DH11" s="1392">
        <f>+BA26</f>
        <v>4.6240331371653502E-2</v>
      </c>
      <c r="DI11" s="1392">
        <f>+BB26</f>
        <v>3.0321977027685645E-2</v>
      </c>
      <c r="DJ11" s="1392">
        <f>+BE26</f>
        <v>4.8654756962302356E-2</v>
      </c>
      <c r="DK11" s="1392">
        <f>+BF26</f>
        <v>3.755298465824311E-2</v>
      </c>
      <c r="DL11" s="1392">
        <f>+BG26</f>
        <v>1.3518238327244678E-2</v>
      </c>
      <c r="DM11" s="1392">
        <f>+BH26</f>
        <v>1.3629978930351531E-3</v>
      </c>
      <c r="DN11" s="1392">
        <f>+BK26</f>
        <v>3.5358950879004786E-2</v>
      </c>
      <c r="DO11" s="1392">
        <f>+BL26</f>
        <v>2.6457028681855309E-2</v>
      </c>
      <c r="DP11" s="1392">
        <f>+BM26</f>
        <v>3.8185927299301106E-2</v>
      </c>
      <c r="DQ11" s="1392">
        <f>+BN26</f>
        <v>6.4396037510309811E-2</v>
      </c>
      <c r="DR11" s="1392">
        <f>+BQ26</f>
        <v>4.2812883044510253E-2</v>
      </c>
      <c r="DS11" s="1392">
        <f>+BR26</f>
        <v>6.2402543307759906E-2</v>
      </c>
      <c r="DT11" s="1392">
        <f>+BS26</f>
        <v>5.6604509694549665E-2</v>
      </c>
      <c r="DU11" s="1392">
        <f>+BT26</f>
        <v>3.7147635359441461E-2</v>
      </c>
    </row>
    <row r="12" spans="1:125" s="228" customFormat="1">
      <c r="A12" s="897" t="s">
        <v>686</v>
      </c>
      <c r="B12" s="996"/>
      <c r="C12" s="1894"/>
      <c r="D12" s="1895"/>
      <c r="E12" s="1895"/>
      <c r="F12" s="1895"/>
      <c r="G12" s="1896"/>
      <c r="H12" s="1897"/>
      <c r="I12" s="1894"/>
      <c r="J12" s="1895"/>
      <c r="K12" s="1895"/>
      <c r="L12" s="1895"/>
      <c r="M12" s="1896"/>
      <c r="N12" s="1898"/>
      <c r="O12" s="1899"/>
      <c r="P12" s="1900"/>
      <c r="Q12" s="1900"/>
      <c r="R12" s="1900"/>
      <c r="S12" s="1901"/>
      <c r="T12" s="1898"/>
      <c r="U12" s="1899"/>
      <c r="V12" s="1900"/>
      <c r="W12" s="1900"/>
      <c r="X12" s="1900"/>
      <c r="Y12" s="1901"/>
      <c r="Z12" s="1898"/>
      <c r="AA12" s="1899"/>
      <c r="AB12" s="1900"/>
      <c r="AC12" s="1900"/>
      <c r="AD12" s="1900"/>
      <c r="AE12" s="1901"/>
      <c r="AF12" s="1898"/>
      <c r="AG12" s="1899"/>
      <c r="AH12" s="1900"/>
      <c r="AI12" s="1900"/>
      <c r="AJ12" s="1900"/>
      <c r="AK12" s="1901"/>
      <c r="AL12" s="1898"/>
      <c r="AM12" s="1899"/>
      <c r="AN12" s="1900"/>
      <c r="AO12" s="1900"/>
      <c r="AP12" s="1900"/>
      <c r="AQ12" s="1901"/>
      <c r="AR12" s="1898"/>
      <c r="AS12" s="1899"/>
      <c r="AT12" s="1900"/>
      <c r="AU12" s="1900"/>
      <c r="AV12" s="1900"/>
      <c r="AW12" s="1901"/>
      <c r="AX12" s="1898"/>
      <c r="AY12" s="1899"/>
      <c r="AZ12" s="1900"/>
      <c r="BA12" s="1900"/>
      <c r="BB12" s="1900"/>
      <c r="BC12" s="1901"/>
      <c r="BD12" s="1898"/>
      <c r="BE12" s="1899"/>
      <c r="BF12" s="1900"/>
      <c r="BG12" s="1900"/>
      <c r="BH12" s="1900"/>
      <c r="BI12" s="1901"/>
      <c r="BJ12" s="1898"/>
      <c r="BK12" s="1899"/>
      <c r="BL12" s="1900"/>
      <c r="BM12" s="1900"/>
      <c r="BN12" s="1900"/>
      <c r="BO12" s="1901"/>
      <c r="BP12" s="1898"/>
      <c r="BQ12" s="1899"/>
      <c r="BR12" s="1900"/>
      <c r="BS12" s="1900"/>
      <c r="BT12" s="1900"/>
      <c r="BU12" s="1901"/>
      <c r="BV12" s="1900"/>
      <c r="BW12" s="1899">
        <f>ProFormaRevBuild!BW40-ProFormaRevBuild!BW19</f>
        <v>0.16900000000000004</v>
      </c>
      <c r="BX12" s="1900">
        <f>ProFormaRevBuild!BX40-ProFormaRevBuild!BX19</f>
        <v>0.16900000000000004</v>
      </c>
      <c r="BY12" s="1900">
        <f>ProFormaRevBuild!BY40-ProFormaRevBuild!BY19</f>
        <v>0.16900000000000004</v>
      </c>
      <c r="BZ12" s="1900">
        <f>ProFormaRevBuild!BZ40-ProFormaRevBuild!BZ19</f>
        <v>0.16900000000000004</v>
      </c>
      <c r="CA12" s="1901">
        <f>ProFormaRevBuild!CA40-ProFormaRevBuild!CA19</f>
        <v>0.16900000000000026</v>
      </c>
      <c r="CB12" s="1900"/>
      <c r="CC12" s="1899">
        <f>ProFormaRevBuild!CC40-ProFormaRevBuild!CC19</f>
        <v>0.20599999999999996</v>
      </c>
      <c r="CD12" s="1900">
        <f>ProFormaRevBuild!CD40-ProFormaRevBuild!CD19</f>
        <v>0.20599999999999974</v>
      </c>
      <c r="CE12" s="1900">
        <f>ProFormaRevBuild!CE40-ProFormaRevBuild!CE19</f>
        <v>0.20599999999999996</v>
      </c>
      <c r="CF12" s="1900">
        <f>ProFormaRevBuild!CF40-ProFormaRevBuild!CF19</f>
        <v>0.20599999999999974</v>
      </c>
      <c r="CG12" s="1901">
        <f>ProFormaRevBuild!CG40-ProFormaRevBuild!CG19</f>
        <v>0.20599999999999996</v>
      </c>
      <c r="CH12" s="1900"/>
      <c r="CI12" s="1899">
        <f>ProFormaRevBuild!CI40-ProFormaRevBuild!CI19</f>
        <v>0.1100000000000001</v>
      </c>
      <c r="CJ12" s="1900">
        <f>ProFormaRevBuild!CJ40-ProFormaRevBuild!CJ19</f>
        <v>0.1100000000000001</v>
      </c>
      <c r="CK12" s="1900">
        <f>ProFormaRevBuild!CK40-ProFormaRevBuild!CK19</f>
        <v>0.1100000000000001</v>
      </c>
      <c r="CL12" s="1900">
        <f>ProFormaRevBuild!CL40-ProFormaRevBuild!CL19</f>
        <v>0.1100000000000001</v>
      </c>
      <c r="CM12" s="1901">
        <f>ProFormaRevBuild!CM40-ProFormaRevBuild!CM19</f>
        <v>0.1100000000000001</v>
      </c>
    </row>
    <row r="13" spans="1:125" s="228" customFormat="1" ht="12.75">
      <c r="A13" s="897" t="s">
        <v>687</v>
      </c>
      <c r="B13" s="996"/>
      <c r="C13" s="1894"/>
      <c r="D13" s="1895"/>
      <c r="E13" s="1895"/>
      <c r="F13" s="1895"/>
      <c r="G13" s="1896"/>
      <c r="H13" s="1897"/>
      <c r="I13" s="1894"/>
      <c r="J13" s="1895"/>
      <c r="K13" s="1895"/>
      <c r="L13" s="1895"/>
      <c r="M13" s="1896"/>
      <c r="N13" s="1898"/>
      <c r="O13" s="1899"/>
      <c r="P13" s="1900"/>
      <c r="Q13" s="1900"/>
      <c r="R13" s="1900"/>
      <c r="S13" s="1901"/>
      <c r="T13" s="1898"/>
      <c r="U13" s="1899"/>
      <c r="V13" s="1900"/>
      <c r="W13" s="1900"/>
      <c r="X13" s="1900"/>
      <c r="Y13" s="1901"/>
      <c r="Z13" s="1898"/>
      <c r="AA13" s="1899"/>
      <c r="AB13" s="1900"/>
      <c r="AC13" s="1900"/>
      <c r="AD13" s="1900"/>
      <c r="AE13" s="1901"/>
      <c r="AF13" s="1898"/>
      <c r="AG13" s="1899"/>
      <c r="AH13" s="1900"/>
      <c r="AI13" s="1900"/>
      <c r="AJ13" s="1900"/>
      <c r="AK13" s="1901"/>
      <c r="AL13" s="1898"/>
      <c r="AM13" s="1899"/>
      <c r="AN13" s="1900"/>
      <c r="AO13" s="1900"/>
      <c r="AP13" s="1900"/>
      <c r="AQ13" s="1901"/>
      <c r="AR13" s="1898"/>
      <c r="AS13" s="1899"/>
      <c r="AT13" s="1900"/>
      <c r="AU13" s="1900"/>
      <c r="AV13" s="1900"/>
      <c r="AW13" s="1901"/>
      <c r="AX13" s="1898"/>
      <c r="AY13" s="1899"/>
      <c r="AZ13" s="1900"/>
      <c r="BA13" s="1900"/>
      <c r="BB13" s="1900"/>
      <c r="BC13" s="1901"/>
      <c r="BD13" s="1898"/>
      <c r="BE13" s="1899"/>
      <c r="BF13" s="1900"/>
      <c r="BG13" s="1900"/>
      <c r="BH13" s="1900"/>
      <c r="BI13" s="1901"/>
      <c r="BJ13" s="1898"/>
      <c r="BK13" s="1899"/>
      <c r="BL13" s="1900"/>
      <c r="BM13" s="1900"/>
      <c r="BN13" s="1900"/>
      <c r="BO13" s="1901"/>
      <c r="BP13" s="1898"/>
      <c r="BQ13" s="1899"/>
      <c r="BR13" s="1900"/>
      <c r="BS13" s="1900"/>
      <c r="BT13" s="1900"/>
      <c r="BU13" s="1901"/>
      <c r="BV13" s="1900"/>
      <c r="BW13" s="1899"/>
      <c r="BX13" s="1900"/>
      <c r="BY13" s="1900"/>
      <c r="BZ13" s="1900"/>
      <c r="CA13" s="1901"/>
      <c r="CB13" s="1900"/>
      <c r="CC13" s="1899">
        <f>ProFormaRevBuild!CC42-ProFormaRevBuild!CC19</f>
        <v>10.740332897063588</v>
      </c>
      <c r="CD13" s="1900">
        <f>ProFormaRevBuild!CD42-ProFormaRevBuild!CD19</f>
        <v>1.790574961556735</v>
      </c>
      <c r="CE13" s="1900">
        <f>ProFormaRevBuild!CE42-ProFormaRevBuild!CE19</f>
        <v>0.5677858255964825</v>
      </c>
      <c r="CF13" s="1900">
        <f>ProFormaRevBuild!CF42-ProFormaRevBuild!CF19</f>
        <v>0.16482572396305417</v>
      </c>
      <c r="CG13" s="1901">
        <f>ProFormaRevBuild!CG42-ProFormaRevBuild!CG19</f>
        <v>0.97582020187603491</v>
      </c>
      <c r="CH13" s="1900"/>
      <c r="CI13" s="1899">
        <f>ProFormaRevBuild!CI42-ProFormaRevBuild!CI19</f>
        <v>0.42655726244721781</v>
      </c>
      <c r="CJ13" s="1900">
        <f>ProFormaRevBuild!CJ42-ProFormaRevBuild!CJ19</f>
        <v>0.2234413498672887</v>
      </c>
      <c r="CK13" s="1900">
        <f>ProFormaRevBuild!CK42-ProFormaRevBuild!CK19</f>
        <v>0.45136714212318196</v>
      </c>
      <c r="CL13" s="1900">
        <f>ProFormaRevBuild!CL42-ProFormaRevBuild!CL19</f>
        <v>0.49205363142695169</v>
      </c>
      <c r="CM13" s="1901">
        <f>ProFormaRevBuild!CM42-ProFormaRevBuild!CM19</f>
        <v>0.39726704068140162</v>
      </c>
      <c r="CS13" s="469" t="s">
        <v>465</v>
      </c>
      <c r="CT13" s="168"/>
      <c r="CU13" s="168"/>
      <c r="CV13" s="168"/>
      <c r="CW13" s="168"/>
      <c r="CX13" s="168"/>
      <c r="CY13" s="168"/>
      <c r="CZ13" s="168"/>
      <c r="DA13" s="168"/>
      <c r="DB13" s="168"/>
      <c r="DC13" s="168"/>
      <c r="DD13" s="168"/>
      <c r="DE13" s="168"/>
      <c r="DF13" s="168"/>
      <c r="DG13" s="168"/>
      <c r="DH13" s="168"/>
      <c r="DI13" s="168"/>
      <c r="DJ13" s="168"/>
      <c r="DK13" s="168"/>
      <c r="DL13" s="168"/>
      <c r="DM13" s="168"/>
      <c r="DN13" s="168"/>
      <c r="DO13" s="168"/>
      <c r="DP13" s="168"/>
      <c r="DQ13" s="168"/>
      <c r="DR13" s="168"/>
      <c r="DS13" s="168"/>
      <c r="DT13" s="168"/>
      <c r="DU13" s="168"/>
    </row>
    <row r="14" spans="1:125" s="228" customFormat="1">
      <c r="A14" s="897" t="s">
        <v>690</v>
      </c>
      <c r="B14" s="996"/>
      <c r="C14" s="1894"/>
      <c r="D14" s="1895"/>
      <c r="E14" s="1895"/>
      <c r="F14" s="1895"/>
      <c r="G14" s="1896"/>
      <c r="H14" s="1897"/>
      <c r="I14" s="1894"/>
      <c r="J14" s="1895"/>
      <c r="K14" s="1895"/>
      <c r="L14" s="1895"/>
      <c r="M14" s="1896"/>
      <c r="N14" s="1898"/>
      <c r="O14" s="1899"/>
      <c r="P14" s="1900"/>
      <c r="Q14" s="1900"/>
      <c r="R14" s="1900"/>
      <c r="S14" s="1901"/>
      <c r="T14" s="1898"/>
      <c r="U14" s="1899"/>
      <c r="V14" s="1900"/>
      <c r="W14" s="1900"/>
      <c r="X14" s="1900"/>
      <c r="Y14" s="1901"/>
      <c r="Z14" s="1898"/>
      <c r="AA14" s="1899"/>
      <c r="AB14" s="1900"/>
      <c r="AC14" s="1900"/>
      <c r="AD14" s="1900"/>
      <c r="AE14" s="1901"/>
      <c r="AF14" s="1898"/>
      <c r="AG14" s="1899"/>
      <c r="AH14" s="1900"/>
      <c r="AI14" s="1900"/>
      <c r="AJ14" s="1900"/>
      <c r="AK14" s="1901"/>
      <c r="AL14" s="1898"/>
      <c r="AM14" s="1899"/>
      <c r="AN14" s="1900"/>
      <c r="AO14" s="1900"/>
      <c r="AP14" s="1900"/>
      <c r="AQ14" s="1901"/>
      <c r="AR14" s="1898"/>
      <c r="AS14" s="1899"/>
      <c r="AT14" s="1900"/>
      <c r="AU14" s="1900"/>
      <c r="AV14" s="1900"/>
      <c r="AW14" s="1901"/>
      <c r="AX14" s="1898"/>
      <c r="AY14" s="1899"/>
      <c r="AZ14" s="1900"/>
      <c r="BA14" s="1900"/>
      <c r="BB14" s="1900"/>
      <c r="BC14" s="1901"/>
      <c r="BD14" s="1898"/>
      <c r="BE14" s="1899"/>
      <c r="BF14" s="1900"/>
      <c r="BG14" s="1900"/>
      <c r="BH14" s="1900"/>
      <c r="BI14" s="1901"/>
      <c r="BJ14" s="1898"/>
      <c r="BK14" s="1899"/>
      <c r="BL14" s="1900"/>
      <c r="BM14" s="1900"/>
      <c r="BN14" s="1900"/>
      <c r="BO14" s="1901"/>
      <c r="BP14" s="1898"/>
      <c r="BQ14" s="1899"/>
      <c r="BR14" s="1900"/>
      <c r="BS14" s="1900"/>
      <c r="BT14" s="1900"/>
      <c r="BU14" s="1901"/>
      <c r="BV14" s="1900"/>
      <c r="BW14" s="1899">
        <f>ProFormaRevBuild!BW44-ProFormaRevBuild!BW19</f>
        <v>0.8</v>
      </c>
      <c r="BX14" s="1900">
        <f>ProFormaRevBuild!BX44-ProFormaRevBuild!BX19</f>
        <v>0.8</v>
      </c>
      <c r="BY14" s="1900">
        <f>ProFormaRevBuild!BY44-ProFormaRevBuild!BY19</f>
        <v>0.8</v>
      </c>
      <c r="BZ14" s="1900">
        <f>ProFormaRevBuild!BZ44-ProFormaRevBuild!BZ19</f>
        <v>0.8</v>
      </c>
      <c r="CA14" s="1901">
        <f>ProFormaRevBuild!CA44-ProFormaRevBuild!CA19</f>
        <v>0.8</v>
      </c>
      <c r="CB14" s="1900"/>
      <c r="CC14" s="1899">
        <f>ProFormaRevBuild!CC44-ProFormaRevBuild!CC19</f>
        <v>0.6</v>
      </c>
      <c r="CD14" s="1900">
        <f>ProFormaRevBuild!CD44-ProFormaRevBuild!CD19</f>
        <v>0.6</v>
      </c>
      <c r="CE14" s="1900">
        <f>ProFormaRevBuild!CE44-ProFormaRevBuild!CE19</f>
        <v>0.6</v>
      </c>
      <c r="CF14" s="1900">
        <f>ProFormaRevBuild!CF44-ProFormaRevBuild!CF19</f>
        <v>0.6</v>
      </c>
      <c r="CG14" s="1901">
        <f>ProFormaRevBuild!CG44-ProFormaRevBuild!CG19</f>
        <v>0.59999999999999987</v>
      </c>
      <c r="CH14" s="1900"/>
      <c r="CI14" s="1899">
        <f>ProFormaRevBuild!CI44-ProFormaRevBuild!CI19</f>
        <v>0.3</v>
      </c>
      <c r="CJ14" s="1900">
        <f>ProFormaRevBuild!CJ44-ProFormaRevBuild!CJ19</f>
        <v>0.3</v>
      </c>
      <c r="CK14" s="1900">
        <f>ProFormaRevBuild!CK44-ProFormaRevBuild!CK19</f>
        <v>0.3</v>
      </c>
      <c r="CL14" s="1900">
        <f>ProFormaRevBuild!CL44-ProFormaRevBuild!CL19</f>
        <v>0.3</v>
      </c>
      <c r="CM14" s="1901">
        <f>ProFormaRevBuild!CM44-ProFormaRevBuild!CM19</f>
        <v>0.30000000000000027</v>
      </c>
      <c r="CS14" s="1387"/>
      <c r="CT14" s="1388" t="s">
        <v>461</v>
      </c>
      <c r="CU14" s="1388" t="s">
        <v>78</v>
      </c>
      <c r="CV14" s="1388" t="s">
        <v>72</v>
      </c>
      <c r="CW14" s="1388" t="s">
        <v>71</v>
      </c>
      <c r="CX14" s="1388" t="str">
        <f t="shared" ref="CX14:DU14" si="3">+CX6</f>
        <v>1Q13</v>
      </c>
      <c r="CY14" s="1388" t="str">
        <f t="shared" si="3"/>
        <v>2Q13</v>
      </c>
      <c r="CZ14" s="1388" t="str">
        <f t="shared" si="3"/>
        <v>3Q13</v>
      </c>
      <c r="DA14" s="1388" t="str">
        <f t="shared" si="3"/>
        <v>4Q13</v>
      </c>
      <c r="DB14" s="1388" t="str">
        <f t="shared" si="3"/>
        <v>1Q14</v>
      </c>
      <c r="DC14" s="1388" t="str">
        <f t="shared" si="3"/>
        <v>2Q14</v>
      </c>
      <c r="DD14" s="1388" t="str">
        <f t="shared" si="3"/>
        <v>3Q14</v>
      </c>
      <c r="DE14" s="1388" t="str">
        <f t="shared" si="3"/>
        <v>4Q14E</v>
      </c>
      <c r="DF14" s="1388" t="str">
        <f t="shared" si="3"/>
        <v>1Q15</v>
      </c>
      <c r="DG14" s="1388" t="str">
        <f t="shared" si="3"/>
        <v>2Q15</v>
      </c>
      <c r="DH14" s="1388" t="str">
        <f t="shared" si="3"/>
        <v>3Q15</v>
      </c>
      <c r="DI14" s="1388" t="str">
        <f t="shared" si="3"/>
        <v>4Q15</v>
      </c>
      <c r="DJ14" s="1388" t="str">
        <f t="shared" si="3"/>
        <v>1Q16</v>
      </c>
      <c r="DK14" s="1388" t="str">
        <f t="shared" si="3"/>
        <v>2Q16</v>
      </c>
      <c r="DL14" s="1388" t="str">
        <f t="shared" si="3"/>
        <v>3Q16</v>
      </c>
      <c r="DM14" s="1388" t="str">
        <f t="shared" si="3"/>
        <v>4Q16</v>
      </c>
      <c r="DN14" s="1388" t="str">
        <f t="shared" si="3"/>
        <v>1Q17</v>
      </c>
      <c r="DO14" s="1388" t="str">
        <f t="shared" si="3"/>
        <v>2Q17</v>
      </c>
      <c r="DP14" s="1388" t="str">
        <f t="shared" si="3"/>
        <v>3Q17</v>
      </c>
      <c r="DQ14" s="1388" t="str">
        <f t="shared" si="3"/>
        <v>4Q17</v>
      </c>
      <c r="DR14" s="1388" t="str">
        <f t="shared" si="3"/>
        <v>1Q18E</v>
      </c>
      <c r="DS14" s="1388" t="str">
        <f t="shared" si="3"/>
        <v>2Q18E</v>
      </c>
      <c r="DT14" s="1388" t="str">
        <f t="shared" si="3"/>
        <v>3Q18E</v>
      </c>
      <c r="DU14" s="1388" t="str">
        <f t="shared" si="3"/>
        <v>4Q18E</v>
      </c>
    </row>
    <row r="15" spans="1:125" s="228" customFormat="1">
      <c r="A15" s="1456" t="s">
        <v>529</v>
      </c>
      <c r="B15" s="1457"/>
      <c r="C15" s="1902"/>
      <c r="D15" s="1903"/>
      <c r="E15" s="1903"/>
      <c r="F15" s="1903"/>
      <c r="G15" s="1904"/>
      <c r="H15" s="1905"/>
      <c r="I15" s="1902"/>
      <c r="J15" s="1903"/>
      <c r="K15" s="1903"/>
      <c r="L15" s="1903"/>
      <c r="M15" s="1904"/>
      <c r="N15" s="1906"/>
      <c r="O15" s="1919">
        <f>ProFormaRevBuild!O50</f>
        <v>2.7300248615718184E-2</v>
      </c>
      <c r="P15" s="1908">
        <f>ProFormaRevBuild!P50</f>
        <v>-3.8486067455022699E-2</v>
      </c>
      <c r="Q15" s="1908">
        <f>ProFormaRevBuild!Q50</f>
        <v>-7.3885366833251101E-2</v>
      </c>
      <c r="R15" s="1908">
        <f>ProFormaRevBuild!R50</f>
        <v>-4.8540507367085518E-2</v>
      </c>
      <c r="S15" s="1909">
        <f>ProFormaRevBuild!S50</f>
        <v>-3.4697192880989117E-2</v>
      </c>
      <c r="T15" s="1906"/>
      <c r="U15" s="1919">
        <f>ProFormaRevBuild!U50</f>
        <v>3.1425581553791417E-2</v>
      </c>
      <c r="V15" s="1908">
        <f>ProFormaRevBuild!V50</f>
        <v>6.3024618643531177E-2</v>
      </c>
      <c r="W15" s="1908">
        <f>ProFormaRevBuild!W50</f>
        <v>4.5847308130317489E-2</v>
      </c>
      <c r="X15" s="1908">
        <f>ProFormaRevBuild!X50</f>
        <v>9.7932667644300225E-2</v>
      </c>
      <c r="Y15" s="1909">
        <f>ProFormaRevBuild!Y50</f>
        <v>3.6573409895116489E-2</v>
      </c>
      <c r="Z15" s="1906"/>
      <c r="AA15" s="1919">
        <f>ProFormaRevBuild!AA50</f>
        <v>-0.47924411758456875</v>
      </c>
      <c r="AB15" s="1908">
        <f>ProFormaRevBuild!AB50</f>
        <v>-0.5219897051075183</v>
      </c>
      <c r="AC15" s="1908">
        <f>ProFormaRevBuild!AC50</f>
        <v>-0.60575337403122087</v>
      </c>
      <c r="AD15" s="1908">
        <f>ProFormaRevBuild!AD50</f>
        <v>-0.81547055210535446</v>
      </c>
      <c r="AE15" s="1909">
        <f>ProFormaRevBuild!AE50</f>
        <v>-0.5729431190622718</v>
      </c>
      <c r="AF15" s="1906"/>
      <c r="AG15" s="1907">
        <f>ProFormaRevBuild!AG50</f>
        <v>-0.24871054843943091</v>
      </c>
      <c r="AH15" s="1908">
        <f>ProFormaRevBuild!AH50</f>
        <v>-0.24574618595218159</v>
      </c>
      <c r="AI15" s="1908">
        <f>ProFormaRevBuild!AI50</f>
        <v>-0.15765032799472986</v>
      </c>
      <c r="AJ15" s="1908">
        <f>ProFormaRevBuild!AJ50</f>
        <v>0.11741580270744238</v>
      </c>
      <c r="AK15" s="1909">
        <f>ProFormaRevBuild!AK50</f>
        <v>-0.15250320369274173</v>
      </c>
      <c r="AL15" s="1906"/>
      <c r="AM15" s="1907">
        <f>ProFormaRevBuild!AM50</f>
        <v>2.4682450185021368E-2</v>
      </c>
      <c r="AN15" s="1908">
        <f>ProFormaRevBuild!AN50</f>
        <v>2.5855479741012141E-2</v>
      </c>
      <c r="AO15" s="1908">
        <f>ProFormaRevBuild!AO50</f>
        <v>3.2629774241200962E-2</v>
      </c>
      <c r="AP15" s="1908">
        <f>ProFormaRevBuild!AP50</f>
        <v>7.4633916575640238E-2</v>
      </c>
      <c r="AQ15" s="1909">
        <f>ProFormaRevBuild!AQ50</f>
        <v>3.9488929390043059E-2</v>
      </c>
      <c r="AR15" s="1906"/>
      <c r="AS15" s="1907">
        <f>ProFormaRevBuild!AS50</f>
        <v>4.8541798355776766E-3</v>
      </c>
      <c r="AT15" s="1908">
        <f>ProFormaRevBuild!AT50</f>
        <v>9.1887619126305321E-3</v>
      </c>
      <c r="AU15" s="1908">
        <f>ProFormaRevBuild!AU50</f>
        <v>9.1904582496549869E-2</v>
      </c>
      <c r="AV15" s="1908">
        <f>ProFormaRevBuild!AV50</f>
        <v>7.6350397319650473E-2</v>
      </c>
      <c r="AW15" s="1909">
        <f>ProFormaRevBuild!AW50</f>
        <v>4.5894121452709033E-2</v>
      </c>
      <c r="AX15" s="1906"/>
      <c r="AY15" s="1907">
        <f>ProFormaRevBuild!AY50</f>
        <v>4.0017727893033123E-2</v>
      </c>
      <c r="AZ15" s="1908">
        <f>ProFormaRevBuild!AZ50</f>
        <v>4.0935645907510941E-2</v>
      </c>
      <c r="BA15" s="1908">
        <f>ProFormaRevBuild!BA50</f>
        <v>-2.2038008434119079E-2</v>
      </c>
      <c r="BB15" s="1908">
        <f>ProFormaRevBuild!BB50</f>
        <v>7.7868053641089938E-3</v>
      </c>
      <c r="BC15" s="1909">
        <f>ProFormaRevBuild!BC50</f>
        <v>1.58235932837614E-2</v>
      </c>
      <c r="BD15" s="1906"/>
      <c r="BE15" s="1907">
        <f>ProFormaRevBuild!BE50</f>
        <v>0.10104985363110189</v>
      </c>
      <c r="BF15" s="1908">
        <f>ProFormaRevBuild!BF50</f>
        <v>0.12125878197249906</v>
      </c>
      <c r="BG15" s="1908">
        <f>ProFormaRevBuild!BG50</f>
        <v>0.11091062107522837</v>
      </c>
      <c r="BH15" s="1908">
        <f>ProFormaRevBuild!BH50</f>
        <v>7.1628062357420266E-2</v>
      </c>
      <c r="BI15" s="1909">
        <f>ProFormaRevBuild!BI50</f>
        <v>0.10083158442765061</v>
      </c>
      <c r="BJ15" s="1906"/>
      <c r="BK15" s="1907">
        <f>ProFormaRevBuild!BK50</f>
        <v>8.0712345930662191E-2</v>
      </c>
      <c r="BL15" s="1908">
        <f>ProFormaRevBuild!BL50</f>
        <v>3.4691466066724845E-2</v>
      </c>
      <c r="BM15" s="1908">
        <f>ProFormaRevBuild!BM50</f>
        <v>3.6905677657054548E-2</v>
      </c>
      <c r="BN15" s="1908">
        <f>ProFormaRevBuild!BN50</f>
        <v>6.2172342260066932E-2</v>
      </c>
      <c r="BO15" s="1909">
        <f>ProFormaRevBuild!BO50</f>
        <v>5.3206721007209079E-2</v>
      </c>
      <c r="BP15" s="1906"/>
      <c r="BQ15" s="1907">
        <f>ProFormaRevBuild!BQ50</f>
        <v>3.3026533192480168E-2</v>
      </c>
      <c r="BR15" s="1908">
        <f>ProFormaRevBuild!BR50</f>
        <v>8.49703242971106E-2</v>
      </c>
      <c r="BS15" s="1908">
        <f>ProFormaRevBuild!BS50</f>
        <v>8.4306742359542164E-2</v>
      </c>
      <c r="BT15" s="1908">
        <f>ProFormaRevBuild!BT50</f>
        <v>4.2991716344050968E-2</v>
      </c>
      <c r="BU15" s="1909">
        <f>ProFormaRevBuild!BU50</f>
        <v>6.1173703442447547E-2</v>
      </c>
      <c r="BV15" s="1908">
        <f>ProFormaRevBuild!BV50</f>
        <v>0</v>
      </c>
      <c r="BW15" s="1907">
        <f>ProFormaRevBuild!BW50</f>
        <v>9.692848908772822E-2</v>
      </c>
      <c r="BX15" s="1908">
        <f>ProFormaRevBuild!BX50</f>
        <v>0.11025668940316868</v>
      </c>
      <c r="BY15" s="1908">
        <f>ProFormaRevBuild!BY50</f>
        <v>0.1241403460445698</v>
      </c>
      <c r="BZ15" s="1908">
        <f>ProFormaRevBuild!BZ50</f>
        <v>0.12968838504748947</v>
      </c>
      <c r="CA15" s="1909">
        <f>ProFormaRevBuild!CA50</f>
        <v>0.11633393235243905</v>
      </c>
      <c r="CB15" s="1908">
        <f>ProFormaRevBuild!CB50</f>
        <v>0</v>
      </c>
      <c r="CC15" s="1907">
        <f>ProFormaRevBuild!CC50</f>
        <v>0.14245875458195112</v>
      </c>
      <c r="CD15" s="1908">
        <f>ProFormaRevBuild!CD50</f>
        <v>0.13948566474453661</v>
      </c>
      <c r="CE15" s="1908">
        <f>ProFormaRevBuild!CE50</f>
        <v>0.13188362248140817</v>
      </c>
      <c r="CF15" s="1908">
        <f>ProFormaRevBuild!CF50</f>
        <v>0.1230971501934337</v>
      </c>
      <c r="CG15" s="1909">
        <f>ProFormaRevBuild!CG50</f>
        <v>0.13355991285176727</v>
      </c>
      <c r="CH15" s="1908">
        <f>ProFormaRevBuild!CH50</f>
        <v>0</v>
      </c>
      <c r="CI15" s="1907">
        <f>ProFormaRevBuild!CI50</f>
        <v>9.0583144786900105E-2</v>
      </c>
      <c r="CJ15" s="1908">
        <f>ProFormaRevBuild!CJ50</f>
        <v>8.6778128942630373E-2</v>
      </c>
      <c r="CK15" s="1908">
        <f>ProFormaRevBuild!CK50</f>
        <v>9.495167375507485E-2</v>
      </c>
      <c r="CL15" s="1908">
        <f>ProFormaRevBuild!CL50</f>
        <v>9.5504004791231667E-2</v>
      </c>
      <c r="CM15" s="1909">
        <f>ProFormaRevBuild!CM50</f>
        <v>9.2115947109680407E-2</v>
      </c>
      <c r="CS15" s="1389" t="str">
        <f>CS7</f>
        <v>Diagnostics</v>
      </c>
      <c r="CT15" s="1390">
        <f>AG40</f>
        <v>-0.72795466602399972</v>
      </c>
      <c r="CU15" s="1390">
        <f>AH40</f>
        <v>-0.76773589105969986</v>
      </c>
      <c r="CV15" s="1390">
        <f>AI40</f>
        <v>-0.76340370202595076</v>
      </c>
      <c r="CW15" s="1390">
        <f>AJ40</f>
        <v>-0.69805474939791212</v>
      </c>
      <c r="CX15" s="1390">
        <f t="shared" ref="CX15:DU15" si="4">+CX7+CT7</f>
        <v>-0.22402809825440956</v>
      </c>
      <c r="CY15" s="1390">
        <f t="shared" si="4"/>
        <v>-0.21989070621116946</v>
      </c>
      <c r="CZ15" s="1390">
        <f t="shared" si="4"/>
        <v>-0.12502055375352888</v>
      </c>
      <c r="DA15" s="1390">
        <f t="shared" si="4"/>
        <v>0.19204971928308262</v>
      </c>
      <c r="DB15" s="1390">
        <f t="shared" si="4"/>
        <v>2.9536630020599045E-2</v>
      </c>
      <c r="DC15" s="1390">
        <f t="shared" si="4"/>
        <v>3.5044241653642672E-2</v>
      </c>
      <c r="DD15" s="1390">
        <f t="shared" si="4"/>
        <v>0.12453435673775083</v>
      </c>
      <c r="DE15" s="1390">
        <f t="shared" si="4"/>
        <v>0.15098431389529071</v>
      </c>
      <c r="DF15" s="1390">
        <f t="shared" si="4"/>
        <v>4.4871907728610799E-2</v>
      </c>
      <c r="DG15" s="1390">
        <f t="shared" si="4"/>
        <v>5.0124407820141471E-2</v>
      </c>
      <c r="DH15" s="1390">
        <f t="shared" si="4"/>
        <v>6.9866574062430797E-2</v>
      </c>
      <c r="DI15" s="1390">
        <f t="shared" si="4"/>
        <v>8.413720268375946E-2</v>
      </c>
      <c r="DJ15" s="1390">
        <f t="shared" si="4"/>
        <v>0.14106758152413501</v>
      </c>
      <c r="DK15" s="1390">
        <f t="shared" si="4"/>
        <v>0.16219442788001001</v>
      </c>
      <c r="DL15" s="1390">
        <f t="shared" si="4"/>
        <v>8.8872612641109294E-2</v>
      </c>
      <c r="DM15" s="1390">
        <f t="shared" si="4"/>
        <v>7.9414867721529253E-2</v>
      </c>
      <c r="DN15" s="1390">
        <f t="shared" si="4"/>
        <v>0.18176219956176409</v>
      </c>
      <c r="DO15" s="1390">
        <f t="shared" si="4"/>
        <v>0.15595024803922392</v>
      </c>
      <c r="DP15" s="1390">
        <f t="shared" si="4"/>
        <v>0.14781629873228291</v>
      </c>
      <c r="DQ15" s="1390">
        <f t="shared" si="4"/>
        <v>0.13380040461748721</v>
      </c>
      <c r="DR15" s="1390">
        <f t="shared" si="4"/>
        <v>0.11373887912314236</v>
      </c>
      <c r="DS15" s="1390">
        <f t="shared" si="4"/>
        <v>0.11966179036383545</v>
      </c>
      <c r="DT15" s="1390">
        <f t="shared" si="4"/>
        <v>0.12121242001659671</v>
      </c>
      <c r="DU15" s="1390">
        <f t="shared" si="4"/>
        <v>0.1051640586041179</v>
      </c>
    </row>
    <row r="16" spans="1:125" s="228" customFormat="1" hidden="1" outlineLevel="1">
      <c r="A16" s="2302" t="s">
        <v>727</v>
      </c>
      <c r="B16" s="2303"/>
      <c r="C16" s="2304"/>
      <c r="D16" s="2305"/>
      <c r="E16" s="2305"/>
      <c r="F16" s="2305"/>
      <c r="G16" s="2306"/>
      <c r="H16" s="2307"/>
      <c r="I16" s="2304"/>
      <c r="J16" s="2305"/>
      <c r="K16" s="2305"/>
      <c r="L16" s="2305"/>
      <c r="M16" s="2306"/>
      <c r="N16" s="2308"/>
      <c r="O16" s="2309"/>
      <c r="P16" s="2310"/>
      <c r="Q16" s="2310"/>
      <c r="R16" s="2310"/>
      <c r="S16" s="2311"/>
      <c r="T16" s="2308"/>
      <c r="U16" s="2309"/>
      <c r="V16" s="2310"/>
      <c r="W16" s="2310"/>
      <c r="X16" s="2310"/>
      <c r="Y16" s="2311"/>
      <c r="Z16" s="2308"/>
      <c r="AA16" s="2309"/>
      <c r="AB16" s="2310"/>
      <c r="AC16" s="2310"/>
      <c r="AD16" s="2310"/>
      <c r="AE16" s="2311"/>
      <c r="AF16" s="2308"/>
      <c r="AG16" s="2312"/>
      <c r="AH16" s="2310"/>
      <c r="AI16" s="2310"/>
      <c r="AJ16" s="2310"/>
      <c r="AK16" s="2311"/>
      <c r="AL16" s="2308"/>
      <c r="AM16" s="2312"/>
      <c r="AN16" s="2310"/>
      <c r="AO16" s="2310"/>
      <c r="AP16" s="2310"/>
      <c r="AQ16" s="2311"/>
      <c r="AR16" s="2308"/>
      <c r="AS16" s="2312"/>
      <c r="AT16" s="2310"/>
      <c r="AU16" s="2310"/>
      <c r="AV16" s="2310"/>
      <c r="AW16" s="2311"/>
      <c r="AX16" s="2308"/>
      <c r="AY16" s="2312"/>
      <c r="AZ16" s="2310"/>
      <c r="BA16" s="2310"/>
      <c r="BB16" s="2310"/>
      <c r="BC16" s="2311"/>
      <c r="BD16" s="2308"/>
      <c r="BE16" s="2312"/>
      <c r="BF16" s="2310"/>
      <c r="BG16" s="2310"/>
      <c r="BH16" s="2310"/>
      <c r="BI16" s="2311"/>
      <c r="BJ16" s="2308"/>
      <c r="BK16" s="2312"/>
      <c r="BL16" s="2310"/>
      <c r="BM16" s="2310"/>
      <c r="BN16" s="2310"/>
      <c r="BO16" s="2311"/>
      <c r="BP16" s="2308"/>
      <c r="BQ16" s="2312"/>
      <c r="BR16" s="2310"/>
      <c r="BS16" s="2310"/>
      <c r="BT16" s="2310"/>
      <c r="BU16" s="2311"/>
      <c r="BV16" s="2310"/>
      <c r="BW16" s="2312">
        <f>BW15-(BW12*ProFormaRevBuild!BQ39)/ProFormaRevBuild!BQ45</f>
        <v>4.6794909061104936E-2</v>
      </c>
      <c r="BX16" s="2310">
        <f>BX15-(BX12*ProFormaRevBuild!BR39)/ProFormaRevBuild!BR45</f>
        <v>5.2636012867368895E-2</v>
      </c>
      <c r="BY16" s="2310">
        <f>BY15-(BY12*ProFormaRevBuild!BS39)/ProFormaRevBuild!BS45</f>
        <v>6.609861896681303E-2</v>
      </c>
      <c r="BZ16" s="2310">
        <f>BZ15-(BZ12*ProFormaRevBuild!BT39)/ProFormaRevBuild!BT45</f>
        <v>7.3948490674676917E-2</v>
      </c>
      <c r="CA16" s="2311">
        <f>CA15-(CA12*ProFormaRevBuild!BU39)/ProFormaRevBuild!BU45</f>
        <v>6.0732882231282377E-2</v>
      </c>
      <c r="CB16" s="2310"/>
      <c r="CC16" s="2312">
        <f>CC15-(CC12*ProFormaRevBuild!BW39)/ProFormaRevBuild!BW45</f>
        <v>7.733410049905666E-2</v>
      </c>
      <c r="CD16" s="2310">
        <f>CD15-(CD12*ProFormaRevBuild!BX39)/ProFormaRevBuild!BX45</f>
        <v>6.5533654917497977E-2</v>
      </c>
      <c r="CE16" s="2310">
        <f>CE15-(CE12*ProFormaRevBuild!BY39)/ProFormaRevBuild!BY45</f>
        <v>5.8311240249135157E-2</v>
      </c>
      <c r="CF16" s="2310">
        <f>CF15-(CF12*ProFormaRevBuild!BZ39)/ProFormaRevBuild!BZ45</f>
        <v>5.2789512713867365E-2</v>
      </c>
      <c r="CG16" s="2311">
        <f>CG15-(CG12*ProFormaRevBuild!CA39)/ProFormaRevBuild!CA45</f>
        <v>6.2588427417807818E-2</v>
      </c>
      <c r="CH16" s="2310"/>
      <c r="CI16" s="2312">
        <f>CI15-(CI12*ProFormaRevBuild!CC39)/ProFormaRevBuild!CC45</f>
        <v>5.3873712166428431E-2</v>
      </c>
      <c r="CJ16" s="2310">
        <f>CJ15-(CJ12*ProFormaRevBuild!CD39)/ProFormaRevBuild!CD45</f>
        <v>4.4984133773824146E-2</v>
      </c>
      <c r="CK16" s="2310">
        <f>CK15-(CK12*ProFormaRevBuild!CE39)/ProFormaRevBuild!CE45</f>
        <v>5.3092966175430689E-2</v>
      </c>
      <c r="CL16" s="2310">
        <f>CL15-(CL12*ProFormaRevBuild!CF39)/ProFormaRevBuild!CF45</f>
        <v>5.518981351027398E-2</v>
      </c>
      <c r="CM16" s="2311">
        <f>CM15-(CM12*ProFormaRevBuild!CG39)/ProFormaRevBuild!CG45</f>
        <v>5.1796720914222355E-2</v>
      </c>
      <c r="CS16" s="2372" t="s">
        <v>727</v>
      </c>
      <c r="CT16" s="2373" t="s">
        <v>581</v>
      </c>
      <c r="CU16" s="2373" t="s">
        <v>581</v>
      </c>
      <c r="CV16" s="2373" t="s">
        <v>581</v>
      </c>
      <c r="CW16" s="2373" t="s">
        <v>581</v>
      </c>
      <c r="CX16" s="2373" t="s">
        <v>581</v>
      </c>
      <c r="CY16" s="2373" t="s">
        <v>581</v>
      </c>
      <c r="CZ16" s="2373" t="s">
        <v>581</v>
      </c>
      <c r="DA16" s="2373" t="s">
        <v>581</v>
      </c>
      <c r="DB16" s="2373" t="s">
        <v>581</v>
      </c>
      <c r="DC16" s="2373" t="s">
        <v>581</v>
      </c>
      <c r="DD16" s="2373" t="s">
        <v>581</v>
      </c>
      <c r="DE16" s="2373" t="s">
        <v>581</v>
      </c>
      <c r="DF16" s="2373" t="s">
        <v>581</v>
      </c>
      <c r="DG16" s="2373" t="s">
        <v>581</v>
      </c>
      <c r="DH16" s="2373" t="s">
        <v>581</v>
      </c>
      <c r="DI16" s="2373" t="s">
        <v>581</v>
      </c>
      <c r="DJ16" s="2373" t="s">
        <v>581</v>
      </c>
      <c r="DK16" s="2373" t="s">
        <v>581</v>
      </c>
      <c r="DL16" s="2373" t="s">
        <v>581</v>
      </c>
      <c r="DM16" s="2373" t="s">
        <v>581</v>
      </c>
      <c r="DN16" s="2373" t="s">
        <v>581</v>
      </c>
      <c r="DO16" s="2373" t="s">
        <v>581</v>
      </c>
      <c r="DP16" s="2373" t="s">
        <v>581</v>
      </c>
      <c r="DQ16" s="2373" t="s">
        <v>581</v>
      </c>
      <c r="DR16" s="2373" t="s">
        <v>581</v>
      </c>
      <c r="DS16" s="2373" t="s">
        <v>581</v>
      </c>
      <c r="DT16" s="2373" t="s">
        <v>581</v>
      </c>
      <c r="DU16" s="2373" t="s">
        <v>581</v>
      </c>
    </row>
    <row r="17" spans="1:125" s="228" customFormat="1" hidden="1" outlineLevel="1">
      <c r="A17" s="2302" t="s">
        <v>728</v>
      </c>
      <c r="B17" s="2303"/>
      <c r="C17" s="2304"/>
      <c r="D17" s="2305"/>
      <c r="E17" s="2305"/>
      <c r="F17" s="2305"/>
      <c r="G17" s="2306"/>
      <c r="H17" s="2307"/>
      <c r="I17" s="2304"/>
      <c r="J17" s="2305"/>
      <c r="K17" s="2305"/>
      <c r="L17" s="2305"/>
      <c r="M17" s="2306"/>
      <c r="N17" s="2308"/>
      <c r="O17" s="2309"/>
      <c r="P17" s="2310"/>
      <c r="Q17" s="2310"/>
      <c r="R17" s="2310"/>
      <c r="S17" s="2311"/>
      <c r="T17" s="2308"/>
      <c r="U17" s="2309"/>
      <c r="V17" s="2310"/>
      <c r="W17" s="2310"/>
      <c r="X17" s="2310"/>
      <c r="Y17" s="2311"/>
      <c r="Z17" s="2308"/>
      <c r="AA17" s="2309"/>
      <c r="AB17" s="2310"/>
      <c r="AC17" s="2310"/>
      <c r="AD17" s="2310"/>
      <c r="AE17" s="2311"/>
      <c r="AF17" s="2308"/>
      <c r="AG17" s="2312"/>
      <c r="AH17" s="2310"/>
      <c r="AI17" s="2310"/>
      <c r="AJ17" s="2310"/>
      <c r="AK17" s="2311"/>
      <c r="AL17" s="2308"/>
      <c r="AM17" s="2312"/>
      <c r="AN17" s="2310"/>
      <c r="AO17" s="2310"/>
      <c r="AP17" s="2310"/>
      <c r="AQ17" s="2311"/>
      <c r="AR17" s="2308"/>
      <c r="AS17" s="2312"/>
      <c r="AT17" s="2310"/>
      <c r="AU17" s="2310"/>
      <c r="AV17" s="2310"/>
      <c r="AW17" s="2311"/>
      <c r="AX17" s="2308"/>
      <c r="AY17" s="2312"/>
      <c r="AZ17" s="2310"/>
      <c r="BA17" s="2310"/>
      <c r="BB17" s="2310"/>
      <c r="BC17" s="2311"/>
      <c r="BD17" s="2308"/>
      <c r="BE17" s="2312"/>
      <c r="BF17" s="2310"/>
      <c r="BG17" s="2310"/>
      <c r="BH17" s="2310"/>
      <c r="BI17" s="2311"/>
      <c r="BJ17" s="2308"/>
      <c r="BK17" s="2312"/>
      <c r="BL17" s="2310"/>
      <c r="BM17" s="2310"/>
      <c r="BN17" s="2310"/>
      <c r="BO17" s="2311"/>
      <c r="BP17" s="2308"/>
      <c r="BQ17" s="2312"/>
      <c r="BR17" s="2310"/>
      <c r="BS17" s="2310"/>
      <c r="BT17" s="2310"/>
      <c r="BU17" s="2311"/>
      <c r="BV17" s="2310"/>
      <c r="BW17" s="2312">
        <f>BW15-((BW12*ProFormaRevBuild!BQ39)+(BW13*ProFormaRevBuild!BQ41)+(BW14*ProFormaRevBuild!BQ43))/ProFormaRevBuild!BQ45</f>
        <v>3.4819483353660953E-2</v>
      </c>
      <c r="BX17" s="2310">
        <f>BX15-((BX12*ProFormaRevBuild!BR39)+(BX13*ProFormaRevBuild!BR41)+(BX14*ProFormaRevBuild!BR43))/ProFormaRevBuild!BR45</f>
        <v>4.0984058534162246E-2</v>
      </c>
      <c r="BY17" s="2310">
        <f>BY15-((BY12*ProFormaRevBuild!BS39)+(BY13*ProFormaRevBuild!BS41)+(BY14*ProFormaRevBuild!BS43))/ProFormaRevBuild!BS45</f>
        <v>5.321255756472193E-2</v>
      </c>
      <c r="BZ17" s="2310">
        <f>BZ15-((BZ12*ProFormaRevBuild!BT39)+(BZ13*ProFormaRevBuild!BT41)+(BZ14*ProFormaRevBuild!BT43))/ProFormaRevBuild!BT45</f>
        <v>6.067811728632265E-2</v>
      </c>
      <c r="CA17" s="2311">
        <f>CA15-((CA12*ProFormaRevBuild!BU39)+(CA13*ProFormaRevBuild!BU41)+(CA14*ProFormaRevBuild!BU43))/ProFormaRevBuild!BU45</f>
        <v>4.8247102475119527E-2</v>
      </c>
      <c r="CB17" s="2310"/>
      <c r="CC17" s="2312">
        <f>CC15-((CC12*ProFormaRevBuild!BW39)+(CC13*ProFormaRevBuild!BW41)+(CC14*ProFormaRevBuild!BW43))/ProFormaRevBuild!BW45</f>
        <v>3.431730815698629E-2</v>
      </c>
      <c r="CD17" s="2310">
        <f>CD15-((CD12*ProFormaRevBuild!BX39)+(CD13*ProFormaRevBuild!BX41)+(CD14*ProFormaRevBuild!BX43))/ProFormaRevBuild!BX45</f>
        <v>3.0741643498051016E-2</v>
      </c>
      <c r="CE17" s="2310">
        <f>CE15-((CE12*ProFormaRevBuild!BY39)+(CE13*ProFormaRevBuild!BY41)+(CE14*ProFormaRevBuild!BY43))/ProFormaRevBuild!BY45</f>
        <v>3.1462279622470835E-2</v>
      </c>
      <c r="CF17" s="2310">
        <f>CF15-((CF12*ProFormaRevBuild!BZ39)+(CF13*ProFormaRevBuild!BZ41)+(CF14*ProFormaRevBuild!BZ43))/ProFormaRevBuild!BZ45</f>
        <v>3.28198556051046E-2</v>
      </c>
      <c r="CG17" s="2311">
        <f>CG15-((CG12*ProFormaRevBuild!CA39)+(CG13*ProFormaRevBuild!CA41)+(CG14*ProFormaRevBuild!CA43))/ProFormaRevBuild!CA45</f>
        <v>3.2263944073996853E-2</v>
      </c>
      <c r="CH17" s="2310"/>
      <c r="CI17" s="2312">
        <f>CI15-((CI12*ProFormaRevBuild!CC39)+(CI13*ProFormaRevBuild!CC41)+(CI14*ProFormaRevBuild!CC43))/ProFormaRevBuild!CC45</f>
        <v>3.2011987683991036E-2</v>
      </c>
      <c r="CJ17" s="2310">
        <f>CJ15-((CJ12*ProFormaRevBuild!CD39)+(CJ13*ProFormaRevBuild!CD41)+(CJ14*ProFormaRevBuild!CD43))/ProFormaRevBuild!CD45</f>
        <v>2.8734447743299557E-2</v>
      </c>
      <c r="CK17" s="2310">
        <f>CK15-((CK12*ProFormaRevBuild!CE39)+(CK13*ProFormaRevBuild!CE41)+(CK14*ProFormaRevBuild!CE43))/ProFormaRevBuild!CE45</f>
        <v>2.9631513357524411E-2</v>
      </c>
      <c r="CL17" s="2310">
        <f>CL15-((CL12*ProFormaRevBuild!CF39)+(CL13*ProFormaRevBuild!CF41)+(CL14*ProFormaRevBuild!CF43))/ProFormaRevBuild!CF45</f>
        <v>3.116418996691879E-2</v>
      </c>
      <c r="CM17" s="2311">
        <f>CM15-((CM12*ProFormaRevBuild!CG39)+(CM13*ProFormaRevBuild!CG41)+(CM14*ProFormaRevBuild!CG43))/ProFormaRevBuild!CG45</f>
        <v>3.0336680224513489E-2</v>
      </c>
      <c r="CS17" s="1800" t="s">
        <v>734</v>
      </c>
      <c r="CT17" s="2371" t="s">
        <v>581</v>
      </c>
      <c r="CU17" s="2371" t="s">
        <v>581</v>
      </c>
      <c r="CV17" s="2371" t="s">
        <v>581</v>
      </c>
      <c r="CW17" s="2371" t="s">
        <v>581</v>
      </c>
      <c r="CX17" s="2371" t="s">
        <v>581</v>
      </c>
      <c r="CY17" s="2371" t="s">
        <v>581</v>
      </c>
      <c r="CZ17" s="2371" t="s">
        <v>581</v>
      </c>
      <c r="DA17" s="2371" t="s">
        <v>581</v>
      </c>
      <c r="DB17" s="2371" t="s">
        <v>581</v>
      </c>
      <c r="DC17" s="2371" t="s">
        <v>581</v>
      </c>
      <c r="DD17" s="2371" t="s">
        <v>581</v>
      </c>
      <c r="DE17" s="2371" t="s">
        <v>581</v>
      </c>
      <c r="DF17" s="2371" t="s">
        <v>581</v>
      </c>
      <c r="DG17" s="2371" t="s">
        <v>581</v>
      </c>
      <c r="DH17" s="2371" t="s">
        <v>581</v>
      </c>
      <c r="DI17" s="2371" t="s">
        <v>581</v>
      </c>
      <c r="DJ17" s="2371" t="s">
        <v>581</v>
      </c>
      <c r="DK17" s="2371" t="s">
        <v>581</v>
      </c>
      <c r="DL17" s="2371" t="s">
        <v>581</v>
      </c>
      <c r="DM17" s="2371" t="s">
        <v>581</v>
      </c>
      <c r="DN17" s="2371" t="s">
        <v>581</v>
      </c>
      <c r="DO17" s="2371" t="s">
        <v>581</v>
      </c>
      <c r="DP17" s="2371" t="s">
        <v>581</v>
      </c>
      <c r="DQ17" s="2371" t="s">
        <v>581</v>
      </c>
      <c r="DR17" s="2371" t="s">
        <v>581</v>
      </c>
      <c r="DS17" s="2371" t="s">
        <v>581</v>
      </c>
      <c r="DT17" s="2371" t="s">
        <v>581</v>
      </c>
      <c r="DU17" s="2371" t="s">
        <v>581</v>
      </c>
    </row>
    <row r="18" spans="1:125" s="228" customFormat="1" collapsed="1">
      <c r="A18" s="1017" t="s">
        <v>530</v>
      </c>
      <c r="B18" s="1002"/>
      <c r="C18" s="1910"/>
      <c r="D18" s="1911"/>
      <c r="E18" s="1911"/>
      <c r="F18" s="1911"/>
      <c r="G18" s="1912"/>
      <c r="H18" s="1913"/>
      <c r="I18" s="1910"/>
      <c r="J18" s="1911"/>
      <c r="K18" s="1911"/>
      <c r="L18" s="1911"/>
      <c r="M18" s="1912"/>
      <c r="N18" s="1914"/>
      <c r="O18" s="1910"/>
      <c r="P18" s="1911"/>
      <c r="Q18" s="1911"/>
      <c r="R18" s="1911"/>
      <c r="S18" s="1912"/>
      <c r="T18" s="1914"/>
      <c r="U18" s="1910"/>
      <c r="V18" s="1911"/>
      <c r="W18" s="1911"/>
      <c r="X18" s="1911"/>
      <c r="Y18" s="1912"/>
      <c r="Z18" s="1914"/>
      <c r="AA18" s="1910"/>
      <c r="AB18" s="1911"/>
      <c r="AC18" s="1911"/>
      <c r="AD18" s="1911"/>
      <c r="AE18" s="1912"/>
      <c r="AF18" s="1914"/>
      <c r="AG18" s="1910"/>
      <c r="AH18" s="1911"/>
      <c r="AI18" s="1911"/>
      <c r="AJ18" s="1911"/>
      <c r="AK18" s="1912"/>
      <c r="AL18" s="1914"/>
      <c r="AM18" s="1910"/>
      <c r="AN18" s="1911"/>
      <c r="AO18" s="1911"/>
      <c r="AP18" s="1911"/>
      <c r="AQ18" s="1912"/>
      <c r="AR18" s="1914"/>
      <c r="AS18" s="1910"/>
      <c r="AT18" s="1911"/>
      <c r="AU18" s="1911"/>
      <c r="AV18" s="1911"/>
      <c r="AW18" s="1912"/>
      <c r="AX18" s="1914"/>
      <c r="AY18" s="1910"/>
      <c r="AZ18" s="1911"/>
      <c r="BA18" s="1911"/>
      <c r="BB18" s="1911"/>
      <c r="BC18" s="1912"/>
      <c r="BD18" s="1914"/>
      <c r="BE18" s="1910"/>
      <c r="BF18" s="1911"/>
      <c r="BG18" s="1911"/>
      <c r="BH18" s="1911"/>
      <c r="BI18" s="1912"/>
      <c r="BJ18" s="1914"/>
      <c r="BK18" s="1910"/>
      <c r="BL18" s="1911"/>
      <c r="BM18" s="1911"/>
      <c r="BN18" s="1911"/>
      <c r="BO18" s="1912"/>
      <c r="BP18" s="1914"/>
      <c r="BQ18" s="1910"/>
      <c r="BR18" s="1911"/>
      <c r="BS18" s="1911"/>
      <c r="BT18" s="1911"/>
      <c r="BU18" s="1912"/>
      <c r="BV18" s="1911"/>
      <c r="BW18" s="1910"/>
      <c r="BX18" s="1911"/>
      <c r="BY18" s="1911"/>
      <c r="BZ18" s="1911"/>
      <c r="CA18" s="1912"/>
      <c r="CB18" s="1911"/>
      <c r="CC18" s="1910"/>
      <c r="CD18" s="1911"/>
      <c r="CE18" s="1911"/>
      <c r="CF18" s="1911"/>
      <c r="CG18" s="1912"/>
      <c r="CH18" s="1911"/>
      <c r="CI18" s="1910"/>
      <c r="CJ18" s="1911"/>
      <c r="CK18" s="1911"/>
      <c r="CL18" s="1911"/>
      <c r="CM18" s="1912"/>
      <c r="CS18" s="1393" t="str">
        <f>CS10</f>
        <v>Discovery &amp; Analytical</v>
      </c>
      <c r="CT18" s="1394">
        <f t="shared" ref="CT18:CW19" si="5">AG49</f>
        <v>0.67750740262497011</v>
      </c>
      <c r="CU18" s="1394">
        <f t="shared" si="5"/>
        <v>0.6803073280571309</v>
      </c>
      <c r="CV18" s="1394">
        <f t="shared" si="5"/>
        <v>0.63501999434459566</v>
      </c>
      <c r="CW18" s="1394">
        <f t="shared" si="5"/>
        <v>0.67218835621152184</v>
      </c>
      <c r="CX18" s="1394">
        <f t="shared" ref="CX18:DU18" si="6">+CX10+CT10</f>
        <v>-1.3804838809094541E-2</v>
      </c>
      <c r="CY18" s="1394">
        <f t="shared" si="6"/>
        <v>5.8343006284678672E-2</v>
      </c>
      <c r="CZ18" s="1394">
        <f t="shared" si="6"/>
        <v>5.8600182863379063E-2</v>
      </c>
      <c r="DA18" s="1394">
        <f t="shared" si="6"/>
        <v>2.2745133417218844E-2</v>
      </c>
      <c r="DB18" s="1394">
        <f t="shared" si="6"/>
        <v>1.9854031070806966E-2</v>
      </c>
      <c r="DC18" s="1394">
        <f t="shared" si="6"/>
        <v>2.4601190682678971E-2</v>
      </c>
      <c r="DD18" s="1394">
        <f t="shared" si="6"/>
        <v>6.6788794120254957E-2</v>
      </c>
      <c r="DE18" s="1394">
        <f t="shared" si="6"/>
        <v>9.7986123182605689E-2</v>
      </c>
      <c r="DF18" s="1394">
        <f t="shared" si="6"/>
        <v>0.10911613687465128</v>
      </c>
      <c r="DG18" s="1394">
        <f t="shared" si="6"/>
        <v>7.0787319694784218E-2</v>
      </c>
      <c r="DH18" s="1394">
        <f t="shared" si="6"/>
        <v>0.11018974263450283</v>
      </c>
      <c r="DI18" s="1394">
        <f t="shared" si="6"/>
        <v>0.12003671844875953</v>
      </c>
      <c r="DJ18" s="1394">
        <f t="shared" si="6"/>
        <v>9.8176004900901503E-2</v>
      </c>
      <c r="DK18" s="1394">
        <f t="shared" si="6"/>
        <v>7.0413615024977533E-2</v>
      </c>
      <c r="DL18" s="1394">
        <f t="shared" si="6"/>
        <v>6.833708136463322E-2</v>
      </c>
      <c r="DM18" s="1394">
        <f t="shared" si="6"/>
        <v>1.6381731161290214E-2</v>
      </c>
      <c r="DN18" s="1394">
        <f t="shared" si="6"/>
        <v>5.9940455094618234E-2</v>
      </c>
      <c r="DO18" s="1394">
        <f t="shared" si="6"/>
        <v>2.6653094144399495E-2</v>
      </c>
      <c r="DP18" s="1394">
        <f t="shared" si="6"/>
        <v>3.8546729876927151E-2</v>
      </c>
      <c r="DQ18" s="1394">
        <f t="shared" si="6"/>
        <v>5.1408892853277058E-2</v>
      </c>
      <c r="DR18" s="1394">
        <f t="shared" si="6"/>
        <v>6.4449200244329527E-2</v>
      </c>
      <c r="DS18" s="1394">
        <f t="shared" si="6"/>
        <v>7.6077368176207541E-2</v>
      </c>
      <c r="DT18" s="1394">
        <f t="shared" si="6"/>
        <v>8.3389458867397931E-2</v>
      </c>
      <c r="DU18" s="1394">
        <f t="shared" si="6"/>
        <v>0.100069719453525</v>
      </c>
    </row>
    <row r="19" spans="1:125" s="228" customFormat="1">
      <c r="A19" s="897" t="str">
        <f>ProFormaRevBuild!A59</f>
        <v>Laboratory Services</v>
      </c>
      <c r="B19" s="996"/>
      <c r="C19" s="1894"/>
      <c r="D19" s="1895"/>
      <c r="E19" s="1895"/>
      <c r="F19" s="1895"/>
      <c r="G19" s="1896"/>
      <c r="H19" s="1897"/>
      <c r="I19" s="1894"/>
      <c r="J19" s="1895"/>
      <c r="K19" s="1895"/>
      <c r="L19" s="1895"/>
      <c r="M19" s="1896"/>
      <c r="N19" s="1898"/>
      <c r="O19" s="1915"/>
      <c r="P19" s="1916"/>
      <c r="Q19" s="1916"/>
      <c r="R19" s="1916"/>
      <c r="S19" s="1901"/>
      <c r="T19" s="1898"/>
      <c r="U19" s="1915"/>
      <c r="V19" s="1916"/>
      <c r="W19" s="1916"/>
      <c r="X19" s="1916"/>
      <c r="Y19" s="1901"/>
      <c r="Z19" s="1898"/>
      <c r="AA19" s="1915"/>
      <c r="AB19" s="1916"/>
      <c r="AC19" s="1916"/>
      <c r="AD19" s="1916"/>
      <c r="AE19" s="1901"/>
      <c r="AF19" s="1898"/>
      <c r="AG19" s="1915">
        <f>ProFormaRevBuild!AG60</f>
        <v>0.04</v>
      </c>
      <c r="AH19" s="1916">
        <f>ProFormaRevBuild!AH60</f>
        <v>7.8E-2</v>
      </c>
      <c r="AI19" s="1916">
        <f>ProFormaRevBuild!AI60</f>
        <v>0.05</v>
      </c>
      <c r="AJ19" s="1916">
        <f>ProFormaRevBuild!AJ60</f>
        <v>0.1</v>
      </c>
      <c r="AK19" s="1901">
        <f>ProFormaRevBuild!AK60</f>
        <v>6.7954443445904067E-2</v>
      </c>
      <c r="AL19" s="1898"/>
      <c r="AM19" s="1915">
        <f>ProFormaRevBuild!AM60</f>
        <v>3.7999999999999999E-2</v>
      </c>
      <c r="AN19" s="1916">
        <f>ProFormaRevBuild!AN60</f>
        <v>8.2000000000000003E-2</v>
      </c>
      <c r="AO19" s="1916">
        <f>ProFormaRevBuild!AO60</f>
        <v>0.06</v>
      </c>
      <c r="AP19" s="1916">
        <f>ProFormaRevBuild!AP60</f>
        <v>0.03</v>
      </c>
      <c r="AQ19" s="1901">
        <f>ProFormaRevBuild!AQ60</f>
        <v>5.254531271914642E-2</v>
      </c>
      <c r="AR19" s="1898"/>
      <c r="AS19" s="1915">
        <f>ProFormaRevBuild!AS60</f>
        <v>0.11700000000000001</v>
      </c>
      <c r="AT19" s="1916">
        <f>ProFormaRevBuild!AT60</f>
        <v>6.2E-2</v>
      </c>
      <c r="AU19" s="1916">
        <f>ProFormaRevBuild!AU60</f>
        <v>9.1999999999999998E-2</v>
      </c>
      <c r="AV19" s="1916">
        <f>ProFormaRevBuild!AV60</f>
        <v>0.121</v>
      </c>
      <c r="AW19" s="1901">
        <f>ProFormaRevBuild!AW60</f>
        <v>9.7313824686058981E-2</v>
      </c>
      <c r="AX19" s="1898"/>
      <c r="AY19" s="1915">
        <f>ProFormaRevBuild!AY60</f>
        <v>-7.9628859176851009E-3</v>
      </c>
      <c r="AZ19" s="1916">
        <f>ProFormaRevBuild!AZ60</f>
        <v>6.9295587440830864E-2</v>
      </c>
      <c r="BA19" s="1916">
        <f>ProFormaRevBuild!BA60-4%</f>
        <v>8.3402725025648328E-2</v>
      </c>
      <c r="BB19" s="1916">
        <f>ProFormaRevBuild!BB60</f>
        <v>-0.10870325356450096</v>
      </c>
      <c r="BC19" s="1901">
        <f t="shared" ref="BC19:BC23" si="7">AVERAGE(AY19:BB19)</f>
        <v>9.0080432460732836E-3</v>
      </c>
      <c r="BD19" s="1898"/>
      <c r="BE19" s="1915">
        <f>ProFormaRevBuild!BE60</f>
        <v>1.2013233576112555E-3</v>
      </c>
      <c r="BF19" s="1916">
        <f>ProFormaRevBuild!BF60</f>
        <v>3.5000000000000003E-2</v>
      </c>
      <c r="BG19" s="1916">
        <f>ProFormaRevBuild!BG60+4.4%</f>
        <v>5.6262977678422567E-2</v>
      </c>
      <c r="BH19" s="1916">
        <f>ProFormaRevBuild!BH60</f>
        <v>9.7782173765852652E-3</v>
      </c>
      <c r="BI19" s="1901">
        <f t="shared" ref="BI19:BI23" si="8">AVERAGE(BE19:BH19)</f>
        <v>2.5560629603154774E-2</v>
      </c>
      <c r="BJ19" s="1898"/>
      <c r="BK19" s="1915">
        <f>ProFormaRevBuild!BK60-0.6%+5%</f>
        <v>6.3802961546526038E-2</v>
      </c>
      <c r="BL19" s="1916">
        <f>ProFormaRevBuild!BL60+0.9%+0.6%+5%</f>
        <v>6.8188057127821167E-2</v>
      </c>
      <c r="BM19" s="1916">
        <f>ProFormaRevBuild!BM60-0.9%</f>
        <v>6.1000000000000006E-2</v>
      </c>
      <c r="BN19" s="1916">
        <f>ProFormaRevBuild!BN60</f>
        <v>0.08</v>
      </c>
      <c r="BO19" s="1901">
        <f>AVERAGE(BK19:BN19)</f>
        <v>6.8247754668586805E-2</v>
      </c>
      <c r="BP19" s="1898"/>
      <c r="BQ19" s="1915">
        <f>ProFormaRevBuild!BQ60</f>
        <v>4.4999999999999998E-2</v>
      </c>
      <c r="BR19" s="1916">
        <f>ProFormaRevBuild!BR60</f>
        <v>0.05</v>
      </c>
      <c r="BS19" s="1916">
        <f>ProFormaRevBuild!BS60</f>
        <v>4.4999999999999998E-2</v>
      </c>
      <c r="BT19" s="1916">
        <f>ProFormaRevBuild!BT60</f>
        <v>3.5000000000000003E-2</v>
      </c>
      <c r="BU19" s="1901">
        <f>ProFormaRevBuild!BU60</f>
        <v>4.3921668437084449E-2</v>
      </c>
      <c r="BV19" s="1916">
        <f>ProFormaRevBuild!BV60-ProFormaRevBuild!BV19</f>
        <v>0</v>
      </c>
      <c r="BW19" s="1915">
        <f>ProFormaRevBuild!BW60</f>
        <v>0.04</v>
      </c>
      <c r="BX19" s="1916">
        <f>ProFormaRevBuild!BX60</f>
        <v>0.04</v>
      </c>
      <c r="BY19" s="1916">
        <f>ProFormaRevBuild!BY60</f>
        <v>0.04</v>
      </c>
      <c r="BZ19" s="1916">
        <f>ProFormaRevBuild!BZ60</f>
        <v>0.04</v>
      </c>
      <c r="CA19" s="1901">
        <f>ProFormaRevBuild!CA60</f>
        <v>4.0000000000000036E-2</v>
      </c>
      <c r="CB19" s="1916">
        <f>ProFormaRevBuild!CB60-ProFormaRevBuild!CB19</f>
        <v>0</v>
      </c>
      <c r="CC19" s="1915">
        <f>ProFormaRevBuild!CC60</f>
        <v>0.03</v>
      </c>
      <c r="CD19" s="1916">
        <f>ProFormaRevBuild!CD60</f>
        <v>0.03</v>
      </c>
      <c r="CE19" s="1916">
        <f>ProFormaRevBuild!CE60</f>
        <v>0.03</v>
      </c>
      <c r="CF19" s="1916">
        <f>ProFormaRevBuild!CF60</f>
        <v>0.03</v>
      </c>
      <c r="CG19" s="1901">
        <f>ProFormaRevBuild!CG60</f>
        <v>2.9999999999999805E-2</v>
      </c>
      <c r="CH19" s="1916">
        <f>ProFormaRevBuild!CH60-ProFormaRevBuild!CH19</f>
        <v>0</v>
      </c>
      <c r="CI19" s="1915">
        <f>ProFormaRevBuild!CI60</f>
        <v>0.03</v>
      </c>
      <c r="CJ19" s="1916">
        <f>ProFormaRevBuild!CJ60</f>
        <v>0.03</v>
      </c>
      <c r="CK19" s="1916">
        <f>ProFormaRevBuild!CK60</f>
        <v>0.03</v>
      </c>
      <c r="CL19" s="1916">
        <f>ProFormaRevBuild!CL60</f>
        <v>0.03</v>
      </c>
      <c r="CM19" s="1901">
        <f>ProFormaRevBuild!CM60</f>
        <v>2.9999999999999805E-2</v>
      </c>
      <c r="CS19" s="1391" t="str">
        <f>CS11</f>
        <v>Total PKI</v>
      </c>
      <c r="CT19" s="1392">
        <f t="shared" si="5"/>
        <v>6.6947391275125487E-2</v>
      </c>
      <c r="CU19" s="1392">
        <f t="shared" si="5"/>
        <v>1.4064884533469914E-2</v>
      </c>
      <c r="CV19" s="1392">
        <f t="shared" si="5"/>
        <v>-7.9297109368793445E-3</v>
      </c>
      <c r="CW19" s="1392">
        <f t="shared" si="5"/>
        <v>-1.1054833386662771E-2</v>
      </c>
      <c r="CX19" s="1392">
        <f>AM50</f>
        <v>-4.713187910892843E-2</v>
      </c>
      <c r="CY19" s="1392">
        <f>AN50</f>
        <v>-1.5508250044289851E-2</v>
      </c>
      <c r="CZ19" s="1392">
        <f>AO50</f>
        <v>-7.3684883419088652E-3</v>
      </c>
      <c r="DA19" s="1392">
        <f>AP50</f>
        <v>4.2536534255729855E-2</v>
      </c>
      <c r="DB19" s="1392">
        <f>AS50</f>
        <v>1.8721055501782942E-2</v>
      </c>
      <c r="DC19" s="1392">
        <f>AT50</f>
        <v>2.5612199954306043E-2</v>
      </c>
      <c r="DD19" s="1392">
        <f>AU50</f>
        <v>8.2619566052508212E-2</v>
      </c>
      <c r="DE19" s="1392">
        <f>AV50</f>
        <v>0.11229429053934369</v>
      </c>
      <c r="DF19" s="1392">
        <f t="shared" ref="DF19:DU19" si="9">+DF11+DB11</f>
        <v>9.8382404263778533E-2</v>
      </c>
      <c r="DG19" s="1392">
        <f t="shared" si="9"/>
        <v>9.0934865113349417E-2</v>
      </c>
      <c r="DH19" s="1392">
        <f t="shared" si="9"/>
        <v>0.10209593012392357</v>
      </c>
      <c r="DI19" s="1392">
        <f t="shared" si="9"/>
        <v>0.12119180419512238</v>
      </c>
      <c r="DJ19" s="1392">
        <f t="shared" si="9"/>
        <v>0.11238530340589109</v>
      </c>
      <c r="DK19" s="1392">
        <f t="shared" si="9"/>
        <v>0.12937845929248526</v>
      </c>
      <c r="DL19" s="1392">
        <f t="shared" si="9"/>
        <v>5.975856969889818E-2</v>
      </c>
      <c r="DM19" s="1392">
        <f t="shared" si="9"/>
        <v>3.1684974920720796E-2</v>
      </c>
      <c r="DN19" s="1392">
        <f t="shared" si="9"/>
        <v>8.4013707841307142E-2</v>
      </c>
      <c r="DO19" s="1392">
        <f t="shared" si="9"/>
        <v>6.4010013340098426E-2</v>
      </c>
      <c r="DP19" s="1392">
        <f t="shared" si="9"/>
        <v>5.1704165626545784E-2</v>
      </c>
      <c r="DQ19" s="1392">
        <f t="shared" si="9"/>
        <v>6.5759035403344962E-2</v>
      </c>
      <c r="DR19" s="1392">
        <f t="shared" si="9"/>
        <v>7.8171833923515038E-2</v>
      </c>
      <c r="DS19" s="1392">
        <f t="shared" si="9"/>
        <v>8.8859571989615221E-2</v>
      </c>
      <c r="DT19" s="1392">
        <f t="shared" si="9"/>
        <v>9.4790436993850771E-2</v>
      </c>
      <c r="DU19" s="1392">
        <f t="shared" si="9"/>
        <v>0.10154367286975127</v>
      </c>
    </row>
    <row r="20" spans="1:125" s="228" customFormat="1">
      <c r="A20" s="897" t="str">
        <f>ProFormaRevBuild!A61</f>
        <v>Environmental and Safety</v>
      </c>
      <c r="B20" s="996"/>
      <c r="C20" s="1894"/>
      <c r="D20" s="1895"/>
      <c r="E20" s="1895"/>
      <c r="F20" s="1895"/>
      <c r="G20" s="1896"/>
      <c r="H20" s="1897"/>
      <c r="I20" s="1894"/>
      <c r="J20" s="1895"/>
      <c r="K20" s="1895"/>
      <c r="L20" s="1895"/>
      <c r="M20" s="1896"/>
      <c r="N20" s="1898"/>
      <c r="O20" s="1915"/>
      <c r="P20" s="1916"/>
      <c r="Q20" s="1916"/>
      <c r="R20" s="1916"/>
      <c r="S20" s="1901"/>
      <c r="T20" s="1898"/>
      <c r="U20" s="1915"/>
      <c r="V20" s="1916"/>
      <c r="W20" s="1916"/>
      <c r="X20" s="1916"/>
      <c r="Y20" s="1901"/>
      <c r="Z20" s="1898"/>
      <c r="AA20" s="1915"/>
      <c r="AB20" s="1916"/>
      <c r="AC20" s="1916"/>
      <c r="AD20" s="1916"/>
      <c r="AE20" s="1901"/>
      <c r="AF20" s="1898"/>
      <c r="AG20" s="1915">
        <f>ProFormaRevBuild!AG62</f>
        <v>0.04</v>
      </c>
      <c r="AH20" s="1916">
        <f>ProFormaRevBuild!AH62</f>
        <v>1.7999999999999999E-2</v>
      </c>
      <c r="AI20" s="1916">
        <f>ProFormaRevBuild!AI62</f>
        <v>0</v>
      </c>
      <c r="AJ20" s="1916">
        <f>ProFormaRevBuild!AJ62</f>
        <v>-5.0000000000000001E-3</v>
      </c>
      <c r="AK20" s="1901">
        <f>ProFormaRevBuild!AK62</f>
        <v>1.2661150591449566E-2</v>
      </c>
      <c r="AL20" s="1898"/>
      <c r="AM20" s="1915">
        <f>ProFormaRevBuild!AM62</f>
        <v>-3.2000000000000001E-2</v>
      </c>
      <c r="AN20" s="1916">
        <f>ProFormaRevBuild!AN62</f>
        <v>-1.7999999999999999E-2</v>
      </c>
      <c r="AO20" s="1916">
        <f>ProFormaRevBuild!AO62</f>
        <v>0.03</v>
      </c>
      <c r="AP20" s="1916">
        <f>ProFormaRevBuild!AP62</f>
        <v>-2.8961628789844655E-2</v>
      </c>
      <c r="AQ20" s="1901">
        <f>ProFormaRevBuild!AQ62</f>
        <v>-1.3000342670820286E-2</v>
      </c>
      <c r="AR20" s="1898"/>
      <c r="AS20" s="1915">
        <f>ProFormaRevBuild!AS62</f>
        <v>1.2E-2</v>
      </c>
      <c r="AT20" s="1916">
        <f>ProFormaRevBuild!AT62</f>
        <v>2E-3</v>
      </c>
      <c r="AU20" s="1916">
        <f>ProFormaRevBuild!AU62</f>
        <v>3.2000000000000001E-2</v>
      </c>
      <c r="AV20" s="1916">
        <f>ProFormaRevBuild!AV62</f>
        <v>7.5999999999999998E-2</v>
      </c>
      <c r="AW20" s="1901">
        <f>ProFormaRevBuild!AW62</f>
        <v>3.1294916080462087E-2</v>
      </c>
      <c r="AX20" s="1898"/>
      <c r="AY20" s="1915">
        <f>ProFormaRevBuild!AY62</f>
        <v>0.02</v>
      </c>
      <c r="AZ20" s="1916">
        <f>ProFormaRevBuild!AZ62</f>
        <v>0.03</v>
      </c>
      <c r="BA20" s="1916">
        <f>ProFormaRevBuild!BA62-4%</f>
        <v>1.0000000000000002E-2</v>
      </c>
      <c r="BB20" s="1916">
        <f>ProFormaRevBuild!BB62</f>
        <v>4.4999999999999998E-2</v>
      </c>
      <c r="BC20" s="1901">
        <f t="shared" si="7"/>
        <v>2.6250000000000002E-2</v>
      </c>
      <c r="BD20" s="1898"/>
      <c r="BE20" s="1915">
        <f>ProFormaRevBuild!BE62</f>
        <v>0.05</v>
      </c>
      <c r="BF20" s="1916">
        <f>ProFormaRevBuild!BF62</f>
        <v>1.4724227943726471E-2</v>
      </c>
      <c r="BG20" s="1916">
        <f>ProFormaRevBuild!BG62+4.4%-(1.75/ProFormaRevBuild!BA61)</f>
        <v>-9.7589453085023203E-2</v>
      </c>
      <c r="BH20" s="1916">
        <f>ProFormaRevBuild!BH62-(1.75/ProFormaRevBuild!BB61)</f>
        <v>-0.11499169146160317</v>
      </c>
      <c r="BI20" s="1901">
        <f t="shared" si="8"/>
        <v>-3.6964229150724975E-2</v>
      </c>
      <c r="BJ20" s="1898"/>
      <c r="BK20" s="1915">
        <f>ProFormaRevBuild!BK62-(2/ProFormaRevBuild!BE61)-0.6%</f>
        <v>1.448960175851116E-2</v>
      </c>
      <c r="BL20" s="1916">
        <f>ProFormaRevBuild!BL62-(1.5/ProFormaRevBuild!BF61)+0.9%+0.6%</f>
        <v>5.4549357097827215E-3</v>
      </c>
      <c r="BM20" s="1916">
        <f>ProFormaRevBuild!BM62-0.9%</f>
        <v>3.5999999999999997E-2</v>
      </c>
      <c r="BN20" s="1916">
        <f>ProFormaRevBuild!BN62</f>
        <v>0.15</v>
      </c>
      <c r="BO20" s="1901">
        <f>AVERAGE(BK20:BN20)</f>
        <v>5.1486134367073472E-2</v>
      </c>
      <c r="BP20" s="1898"/>
      <c r="BQ20" s="1915">
        <f>ProFormaRevBuild!BQ62</f>
        <v>0.09</v>
      </c>
      <c r="BR20" s="1916">
        <f>ProFormaRevBuild!BR62</f>
        <v>0.09</v>
      </c>
      <c r="BS20" s="1916">
        <f>ProFormaRevBuild!BS62</f>
        <v>0.06</v>
      </c>
      <c r="BT20" s="1916">
        <f>ProFormaRevBuild!BT62</f>
        <v>0.04</v>
      </c>
      <c r="BU20" s="1901">
        <f>ProFormaRevBuild!BU62</f>
        <v>6.9101796850915109E-2</v>
      </c>
      <c r="BV20" s="1916">
        <f>ProFormaRevBuild!BV62-ProFormaRevBuild!BV19</f>
        <v>0</v>
      </c>
      <c r="BW20" s="1915">
        <f>ProFormaRevBuild!BW62</f>
        <v>0.06</v>
      </c>
      <c r="BX20" s="1916">
        <f>ProFormaRevBuild!BX62</f>
        <v>0.06</v>
      </c>
      <c r="BY20" s="1916">
        <f>ProFormaRevBuild!BY62</f>
        <v>0.06</v>
      </c>
      <c r="BZ20" s="1916">
        <f>ProFormaRevBuild!BZ62</f>
        <v>0.06</v>
      </c>
      <c r="CA20" s="1901">
        <f>ProFormaRevBuild!CA62</f>
        <v>6.0000000000000053E-2</v>
      </c>
      <c r="CB20" s="1916">
        <f>ProFormaRevBuild!CB62-ProFormaRevBuild!CB19</f>
        <v>0</v>
      </c>
      <c r="CC20" s="1915">
        <f>ProFormaRevBuild!CC62</f>
        <v>0.03</v>
      </c>
      <c r="CD20" s="1916">
        <f>ProFormaRevBuild!CD62</f>
        <v>0.03</v>
      </c>
      <c r="CE20" s="1916">
        <f>ProFormaRevBuild!CE62</f>
        <v>0.03</v>
      </c>
      <c r="CF20" s="1916">
        <f>ProFormaRevBuild!CF62</f>
        <v>0.03</v>
      </c>
      <c r="CG20" s="1901">
        <f>ProFormaRevBuild!CG62</f>
        <v>3.0000000000000027E-2</v>
      </c>
      <c r="CH20" s="1916">
        <f>ProFormaRevBuild!CH62-ProFormaRevBuild!CH19</f>
        <v>0</v>
      </c>
      <c r="CI20" s="1915">
        <f>ProFormaRevBuild!CI62</f>
        <v>0.03</v>
      </c>
      <c r="CJ20" s="1916">
        <f>ProFormaRevBuild!CJ62</f>
        <v>0.03</v>
      </c>
      <c r="CK20" s="1916">
        <f>ProFormaRevBuild!CK62</f>
        <v>0.03</v>
      </c>
      <c r="CL20" s="1916">
        <f>ProFormaRevBuild!CL62</f>
        <v>0.03</v>
      </c>
      <c r="CM20" s="1901">
        <f>ProFormaRevBuild!CM62</f>
        <v>3.0000000000000027E-2</v>
      </c>
    </row>
    <row r="21" spans="1:125" s="228" customFormat="1">
      <c r="A21" s="897" t="str">
        <f>ProFormaRevBuild!A63</f>
        <v>Industrial</v>
      </c>
      <c r="B21" s="996"/>
      <c r="C21" s="1894"/>
      <c r="D21" s="1895"/>
      <c r="E21" s="1895"/>
      <c r="F21" s="1895"/>
      <c r="G21" s="1896"/>
      <c r="H21" s="1897"/>
      <c r="I21" s="1894"/>
      <c r="J21" s="1895"/>
      <c r="K21" s="1895"/>
      <c r="L21" s="1895"/>
      <c r="M21" s="1896"/>
      <c r="N21" s="1898"/>
      <c r="O21" s="1915"/>
      <c r="P21" s="1916"/>
      <c r="Q21" s="1916"/>
      <c r="R21" s="1916"/>
      <c r="S21" s="1901"/>
      <c r="T21" s="1898"/>
      <c r="U21" s="1915"/>
      <c r="V21" s="1916"/>
      <c r="W21" s="1916"/>
      <c r="X21" s="1916"/>
      <c r="Y21" s="1901"/>
      <c r="Z21" s="1898"/>
      <c r="AA21" s="1915"/>
      <c r="AB21" s="1916"/>
      <c r="AC21" s="1916"/>
      <c r="AD21" s="1916"/>
      <c r="AE21" s="1901"/>
      <c r="AF21" s="1898"/>
      <c r="AG21" s="1915">
        <f>ProFormaRevBuild!AG64</f>
        <v>0.04</v>
      </c>
      <c r="AH21" s="1916">
        <f>ProFormaRevBuild!AH64</f>
        <v>-2.1000000000000001E-2</v>
      </c>
      <c r="AI21" s="1916">
        <f>ProFormaRevBuild!AI64</f>
        <v>-8.5000000000000006E-2</v>
      </c>
      <c r="AJ21" s="1916">
        <f>ProFormaRevBuild!AJ64</f>
        <v>-0.11</v>
      </c>
      <c r="AK21" s="1901">
        <f>ProFormaRevBuild!AK64</f>
        <v>-4.5896706847454283E-2</v>
      </c>
      <c r="AL21" s="1898"/>
      <c r="AM21" s="1915">
        <f>ProFormaRevBuild!AM64</f>
        <v>-0.16496128478848054</v>
      </c>
      <c r="AN21" s="1916">
        <f>ProFormaRevBuild!AN64</f>
        <v>5.1999999999999998E-2</v>
      </c>
      <c r="AO21" s="1916">
        <f>ProFormaRevBuild!AO64</f>
        <v>0.03</v>
      </c>
      <c r="AP21" s="1916">
        <f>ProFormaRevBuild!AP64</f>
        <v>0.04</v>
      </c>
      <c r="AQ21" s="1901">
        <f>ProFormaRevBuild!AQ64</f>
        <v>-1.3591918991348928E-2</v>
      </c>
      <c r="AR21" s="1898"/>
      <c r="AS21" s="1915">
        <f>ProFormaRevBuild!AS64</f>
        <v>1.2E-2</v>
      </c>
      <c r="AT21" s="1916">
        <f>ProFormaRevBuild!AT64</f>
        <v>2E-3</v>
      </c>
      <c r="AU21" s="1916">
        <f>ProFormaRevBuild!AU64</f>
        <v>3.2000000000000001E-2</v>
      </c>
      <c r="AV21" s="1916">
        <f>ProFormaRevBuild!AV64</f>
        <v>3.1E-2</v>
      </c>
      <c r="AW21" s="1901">
        <f>ProFormaRevBuild!AW64</f>
        <v>1.915369562615532E-2</v>
      </c>
      <c r="AX21" s="1898"/>
      <c r="AY21" s="1915">
        <f>ProFormaRevBuild!AY64</f>
        <v>0.08</v>
      </c>
      <c r="AZ21" s="1916">
        <f>ProFormaRevBuild!AZ64</f>
        <v>0.05</v>
      </c>
      <c r="BA21" s="1916">
        <f>ProFormaRevBuild!BA64-4%</f>
        <v>1.0000000000000002E-2</v>
      </c>
      <c r="BB21" s="1916">
        <f>ProFormaRevBuild!BB64</f>
        <v>0.04</v>
      </c>
      <c r="BC21" s="1901">
        <f t="shared" si="7"/>
        <v>4.5000000000000005E-2</v>
      </c>
      <c r="BD21" s="1898"/>
      <c r="BE21" s="1915">
        <f>ProFormaRevBuild!BE64</f>
        <v>-0.03</v>
      </c>
      <c r="BF21" s="1916">
        <f>ProFormaRevBuild!BF64</f>
        <v>-9.2499999999999999E-2</v>
      </c>
      <c r="BG21" s="1916">
        <f>ProFormaRevBuild!BG64+4.4%</f>
        <v>4.9000000000000002E-2</v>
      </c>
      <c r="BH21" s="1916">
        <f>ProFormaRevBuild!BH64</f>
        <v>-0.06</v>
      </c>
      <c r="BI21" s="1901">
        <f t="shared" si="8"/>
        <v>-3.3375000000000002E-2</v>
      </c>
      <c r="BJ21" s="1898"/>
      <c r="BK21" s="1915">
        <f>ProFormaRevBuild!BK64-0.6%</f>
        <v>-1.0999999999999999E-2</v>
      </c>
      <c r="BL21" s="1916">
        <f>ProFormaRevBuild!BL64+0.9%+0.6%</f>
        <v>0.04</v>
      </c>
      <c r="BM21" s="1916">
        <f>ProFormaRevBuild!BM64-0.9%</f>
        <v>3.5999999999999997E-2</v>
      </c>
      <c r="BN21" s="1916">
        <f>ProFormaRevBuild!BN64</f>
        <v>0.11</v>
      </c>
      <c r="BO21" s="1901">
        <f t="shared" ref="BO21:BO23" si="10">AVERAGE(BK21:BN21)</f>
        <v>4.3749999999999997E-2</v>
      </c>
      <c r="BP21" s="1898"/>
      <c r="BQ21" s="1915">
        <f>ProFormaRevBuild!BQ64</f>
        <v>0.1</v>
      </c>
      <c r="BR21" s="1916">
        <f>ProFormaRevBuild!BR64</f>
        <v>0.08</v>
      </c>
      <c r="BS21" s="1916">
        <f>ProFormaRevBuild!BS64</f>
        <v>0.03</v>
      </c>
      <c r="BT21" s="1916">
        <f>ProFormaRevBuild!BT64</f>
        <v>-0.01</v>
      </c>
      <c r="BU21" s="1901">
        <f>ProFormaRevBuild!BU64</f>
        <v>4.6138544971705331E-2</v>
      </c>
      <c r="BV21" s="1916">
        <f>ProFormaRevBuild!BV64-ProFormaRevBuild!BV$19</f>
        <v>0</v>
      </c>
      <c r="BW21" s="1915">
        <f>ProFormaRevBuild!BW64</f>
        <v>0.05</v>
      </c>
      <c r="BX21" s="1916">
        <f>ProFormaRevBuild!BX64</f>
        <v>0.05</v>
      </c>
      <c r="BY21" s="1916">
        <f>ProFormaRevBuild!BY64</f>
        <v>0.05</v>
      </c>
      <c r="BZ21" s="1916">
        <f>ProFormaRevBuild!BZ64</f>
        <v>0.05</v>
      </c>
      <c r="CA21" s="1901">
        <f>ProFormaRevBuild!CA64</f>
        <v>5.0000000000000044E-2</v>
      </c>
      <c r="CB21" s="1916">
        <f>ProFormaRevBuild!CB64-ProFormaRevBuild!CB$19</f>
        <v>0</v>
      </c>
      <c r="CC21" s="1915">
        <f>ProFormaRevBuild!CC64</f>
        <v>0.03</v>
      </c>
      <c r="CD21" s="1916">
        <f>ProFormaRevBuild!CD64</f>
        <v>0.03</v>
      </c>
      <c r="CE21" s="1916">
        <f>ProFormaRevBuild!CE64</f>
        <v>0.03</v>
      </c>
      <c r="CF21" s="1916">
        <f>ProFormaRevBuild!CF64</f>
        <v>0.03</v>
      </c>
      <c r="CG21" s="1901">
        <f>ProFormaRevBuild!CG64</f>
        <v>3.0000000000000027E-2</v>
      </c>
      <c r="CH21" s="1916">
        <f>ProFormaRevBuild!CH64-ProFormaRevBuild!CH$19</f>
        <v>0</v>
      </c>
      <c r="CI21" s="1915">
        <f>ProFormaRevBuild!CI64</f>
        <v>0.03</v>
      </c>
      <c r="CJ21" s="1916">
        <f>ProFormaRevBuild!CJ64</f>
        <v>0.03</v>
      </c>
      <c r="CK21" s="1916">
        <f>ProFormaRevBuild!CK64</f>
        <v>0.03</v>
      </c>
      <c r="CL21" s="1916">
        <f>ProFormaRevBuild!CL64</f>
        <v>0.03</v>
      </c>
      <c r="CM21" s="1901">
        <f>ProFormaRevBuild!CM64</f>
        <v>3.0000000000000027E-2</v>
      </c>
      <c r="CS21" s="226"/>
      <c r="CT21" s="226"/>
      <c r="CU21" s="226"/>
      <c r="CV21" s="226"/>
      <c r="CW21" s="226"/>
      <c r="CX21" s="226"/>
      <c r="CY21" s="226"/>
      <c r="CZ21" s="226"/>
      <c r="DA21" s="226"/>
      <c r="DB21" s="226"/>
      <c r="DC21" s="226"/>
      <c r="DD21" s="226"/>
      <c r="DE21" s="226"/>
      <c r="DF21" s="226"/>
      <c r="DG21" s="226"/>
      <c r="DH21" s="226"/>
      <c r="DI21" s="226"/>
      <c r="DJ21" s="226"/>
      <c r="DK21" s="226"/>
      <c r="DL21" s="226"/>
      <c r="DM21" s="226"/>
      <c r="DN21" s="226"/>
      <c r="DO21" s="226"/>
      <c r="DP21" s="226"/>
      <c r="DQ21" s="226"/>
    </row>
    <row r="22" spans="1:125" s="228" customFormat="1">
      <c r="A22" s="1800" t="str">
        <f>ProFormaRevBuild!A65</f>
        <v>Pharma</v>
      </c>
      <c r="C22" s="1917"/>
      <c r="D22" s="1917"/>
      <c r="E22" s="1917"/>
      <c r="F22" s="1917"/>
      <c r="G22" s="1918"/>
      <c r="H22" s="1918"/>
      <c r="I22" s="1918"/>
      <c r="J22" s="1917"/>
      <c r="K22" s="1917"/>
      <c r="L22" s="1917"/>
      <c r="M22" s="1918"/>
      <c r="N22" s="1918"/>
      <c r="O22" s="1918"/>
      <c r="P22" s="1917"/>
      <c r="Q22" s="1917"/>
      <c r="R22" s="1917"/>
      <c r="S22" s="1918"/>
      <c r="T22" s="1918"/>
      <c r="U22" s="1918"/>
      <c r="V22" s="1917"/>
      <c r="W22" s="1917"/>
      <c r="X22" s="1917"/>
      <c r="Y22" s="1918"/>
      <c r="Z22" s="1918"/>
      <c r="AA22" s="1918"/>
      <c r="AB22" s="1917"/>
      <c r="AC22" s="1917"/>
      <c r="AD22" s="1917"/>
      <c r="AE22" s="1918"/>
      <c r="AF22" s="1918"/>
      <c r="AG22" s="1915">
        <f>ProFormaRevBuild!AG66</f>
        <v>0.04</v>
      </c>
      <c r="AH22" s="1916">
        <f>ProFormaRevBuild!AH66</f>
        <v>-8.1000000000000003E-2</v>
      </c>
      <c r="AI22" s="1916">
        <f>ProFormaRevBuild!AI66</f>
        <v>1.4266951377083864E-2</v>
      </c>
      <c r="AJ22" s="1916">
        <f>ProFormaRevBuild!AJ66</f>
        <v>0.05</v>
      </c>
      <c r="AK22" s="1915">
        <f>ProFormaRevBuild!AK66</f>
        <v>8.6417524667243839E-3</v>
      </c>
      <c r="AL22" s="1915"/>
      <c r="AM22" s="1915">
        <f>ProFormaRevBuild!AM66</f>
        <v>-0.09</v>
      </c>
      <c r="AN22" s="1916">
        <f>ProFormaRevBuild!AN66</f>
        <v>8.2000000000000003E-2</v>
      </c>
      <c r="AO22" s="1916">
        <f>ProFormaRevBuild!AO66</f>
        <v>0.09</v>
      </c>
      <c r="AP22" s="1916">
        <f>ProFormaRevBuild!AP66</f>
        <v>0.01</v>
      </c>
      <c r="AQ22" s="1915">
        <f>ProFormaRevBuild!AQ66</f>
        <v>1.4255103708273875E-2</v>
      </c>
      <c r="AR22" s="1915"/>
      <c r="AS22" s="1915">
        <f>ProFormaRevBuild!AS66</f>
        <v>6.2E-2</v>
      </c>
      <c r="AT22" s="1916">
        <f>ProFormaRevBuild!AT66</f>
        <v>1.2E-2</v>
      </c>
      <c r="AU22" s="1916">
        <f>ProFormaRevBuild!AU66</f>
        <v>3.2000000000000001E-2</v>
      </c>
      <c r="AV22" s="1916">
        <f>ProFormaRevBuild!AV66</f>
        <v>6.0999999999999999E-2</v>
      </c>
      <c r="AW22" s="1915">
        <f>ProFormaRevBuild!AW66</f>
        <v>4.3598199596552645E-2</v>
      </c>
      <c r="AX22" s="1915"/>
      <c r="AY22" s="1915">
        <f>ProFormaRevBuild!AY66</f>
        <v>0.06</v>
      </c>
      <c r="AZ22" s="1916">
        <f>ProFormaRevBuild!AZ66</f>
        <v>0.1</v>
      </c>
      <c r="BA22" s="1916">
        <f>ProFormaRevBuild!BA66-4%</f>
        <v>6.0000000000000005E-2</v>
      </c>
      <c r="BB22" s="1916">
        <f>ProFormaRevBuild!BB66</f>
        <v>0.08</v>
      </c>
      <c r="BC22" s="1915">
        <f t="shared" si="7"/>
        <v>7.4999999999999997E-2</v>
      </c>
      <c r="BD22" s="1915"/>
      <c r="BE22" s="1915">
        <f>ProFormaRevBuild!BE66</f>
        <v>7.0000000000000007E-2</v>
      </c>
      <c r="BF22" s="1916">
        <f>ProFormaRevBuild!BF66</f>
        <v>0.03</v>
      </c>
      <c r="BG22" s="1916">
        <f>ProFormaRevBuild!BG66+4.4%</f>
        <v>3.4000000000000002E-2</v>
      </c>
      <c r="BH22" s="1916">
        <f>ProFormaRevBuild!BH66</f>
        <v>0.02</v>
      </c>
      <c r="BI22" s="1915">
        <f t="shared" si="8"/>
        <v>3.85E-2</v>
      </c>
      <c r="BJ22" s="1915"/>
      <c r="BK22" s="1915">
        <f>ProFormaRevBuild!BK66-0.6%</f>
        <v>3.4000000000000002E-2</v>
      </c>
      <c r="BL22" s="1916">
        <f>ProFormaRevBuild!BL66+0.9%+0.6%</f>
        <v>3.5000000000000003E-2</v>
      </c>
      <c r="BM22" s="1916">
        <f>ProFormaRevBuild!BM66-0.9%</f>
        <v>6.1000000000000006E-2</v>
      </c>
      <c r="BN22" s="1916">
        <f>ProFormaRevBuild!BN66</f>
        <v>0.15</v>
      </c>
      <c r="BO22" s="1915">
        <f t="shared" si="10"/>
        <v>7.0000000000000007E-2</v>
      </c>
      <c r="BP22" s="1915"/>
      <c r="BQ22" s="1915">
        <f>ProFormaRevBuild!BQ66</f>
        <v>9.5000000000000001E-2</v>
      </c>
      <c r="BR22" s="1916">
        <f>ProFormaRevBuild!BR66</f>
        <v>9.5000000000000001E-2</v>
      </c>
      <c r="BS22" s="1916">
        <f>ProFormaRevBuild!BS66</f>
        <v>6.5000000000000002E-2</v>
      </c>
      <c r="BT22" s="1916">
        <f>ProFormaRevBuild!BT66</f>
        <v>4.4999999999999998E-2</v>
      </c>
      <c r="BU22" s="1901">
        <f>ProFormaRevBuild!BU66</f>
        <v>7.2331565497700367E-2</v>
      </c>
      <c r="BV22" s="1916">
        <f>ProFormaRevBuild!BV66-ProFormaRevBuild!BV$19</f>
        <v>0</v>
      </c>
      <c r="BW22" s="1915">
        <f>ProFormaRevBuild!BW66</f>
        <v>0.04</v>
      </c>
      <c r="BX22" s="1916">
        <f>ProFormaRevBuild!BX66</f>
        <v>0.04</v>
      </c>
      <c r="BY22" s="1916">
        <f>ProFormaRevBuild!BY66</f>
        <v>0.04</v>
      </c>
      <c r="BZ22" s="1916">
        <f>ProFormaRevBuild!BZ66</f>
        <v>0.04</v>
      </c>
      <c r="CA22" s="1901">
        <f>ProFormaRevBuild!CA66</f>
        <v>4.0000000000000036E-2</v>
      </c>
      <c r="CB22" s="1916">
        <f>ProFormaRevBuild!CB66-ProFormaRevBuild!CB$19</f>
        <v>0</v>
      </c>
      <c r="CC22" s="1915">
        <f>ProFormaRevBuild!CC66</f>
        <v>3.7499999999999999E-2</v>
      </c>
      <c r="CD22" s="1916">
        <f>ProFormaRevBuild!CD66</f>
        <v>3.7499999999999999E-2</v>
      </c>
      <c r="CE22" s="1916">
        <f>ProFormaRevBuild!CE66</f>
        <v>3.7499999999999999E-2</v>
      </c>
      <c r="CF22" s="1916">
        <f>ProFormaRevBuild!CF66</f>
        <v>3.7499999999999999E-2</v>
      </c>
      <c r="CG22" s="1901">
        <f>ProFormaRevBuild!CG66</f>
        <v>3.7500000000000089E-2</v>
      </c>
      <c r="CH22" s="1916">
        <f>ProFormaRevBuild!CH66-ProFormaRevBuild!CH$19</f>
        <v>0</v>
      </c>
      <c r="CI22" s="1915">
        <f>ProFormaRevBuild!CI66</f>
        <v>3.7499999999999999E-2</v>
      </c>
      <c r="CJ22" s="1916">
        <f>ProFormaRevBuild!CJ66</f>
        <v>3.7499999999999999E-2</v>
      </c>
      <c r="CK22" s="1916">
        <f>ProFormaRevBuild!CK66</f>
        <v>3.7499999999999999E-2</v>
      </c>
      <c r="CL22" s="1916">
        <f>ProFormaRevBuild!CL66</f>
        <v>3.7499999999999999E-2</v>
      </c>
      <c r="CM22" s="1901">
        <f>ProFormaRevBuild!CM66</f>
        <v>3.7500000000000089E-2</v>
      </c>
      <c r="CN22" s="353"/>
      <c r="CO22" s="353"/>
      <c r="CP22" s="353"/>
      <c r="CQ22" s="353"/>
      <c r="CR22" s="226"/>
      <c r="CS22" s="469" t="s">
        <v>460</v>
      </c>
      <c r="CT22" s="1386"/>
      <c r="CU22" s="1386"/>
      <c r="CV22" s="1386"/>
      <c r="CW22" s="1386"/>
      <c r="CX22" s="1386"/>
      <c r="CY22" s="1386"/>
      <c r="CZ22" s="1386"/>
      <c r="DA22" s="1386"/>
      <c r="DB22" s="1386"/>
      <c r="DC22" s="1386"/>
      <c r="DD22" s="1386"/>
      <c r="DE22" s="353"/>
    </row>
    <row r="23" spans="1:125" s="228" customFormat="1">
      <c r="A23" s="1800" t="str">
        <f>ProFormaRevBuild!A67</f>
        <v>Academic</v>
      </c>
      <c r="C23" s="1917"/>
      <c r="D23" s="1917"/>
      <c r="E23" s="1917"/>
      <c r="F23" s="1917"/>
      <c r="G23" s="1918"/>
      <c r="H23" s="1918"/>
      <c r="I23" s="1918"/>
      <c r="J23" s="1917"/>
      <c r="K23" s="1917"/>
      <c r="L23" s="1917"/>
      <c r="M23" s="1918"/>
      <c r="N23" s="1918"/>
      <c r="O23" s="1918"/>
      <c r="P23" s="1917"/>
      <c r="Q23" s="1917"/>
      <c r="R23" s="1917"/>
      <c r="S23" s="1918"/>
      <c r="T23" s="1918"/>
      <c r="U23" s="1918"/>
      <c r="V23" s="1917"/>
      <c r="W23" s="1917"/>
      <c r="X23" s="1917"/>
      <c r="Y23" s="1918"/>
      <c r="Z23" s="1918"/>
      <c r="AA23" s="1918"/>
      <c r="AB23" s="1917"/>
      <c r="AC23" s="1917"/>
      <c r="AD23" s="1917"/>
      <c r="AE23" s="1918"/>
      <c r="AF23" s="1918"/>
      <c r="AG23" s="1915">
        <f>ProFormaRevBuild!AG68</f>
        <v>3.9329234109348583E-2</v>
      </c>
      <c r="AH23" s="1916">
        <f>ProFormaRevBuild!AH68</f>
        <v>-8.1531988112971715E-2</v>
      </c>
      <c r="AI23" s="1916">
        <f>ProFormaRevBuild!AI68</f>
        <v>0</v>
      </c>
      <c r="AJ23" s="1916">
        <f>ProFormaRevBuild!AJ68</f>
        <v>1.0873389574083819E-3</v>
      </c>
      <c r="AK23" s="1915">
        <f>ProFormaRevBuild!AK68</f>
        <v>-1.2109868933787515E-2</v>
      </c>
      <c r="AL23" s="1915"/>
      <c r="AM23" s="1915">
        <f>ProFormaRevBuild!AM68</f>
        <v>-0.06</v>
      </c>
      <c r="AN23" s="1916">
        <f>ProFormaRevBuild!AN68</f>
        <v>-2.8699791876668934E-2</v>
      </c>
      <c r="AO23" s="1916">
        <f>ProFormaRevBuild!AO68</f>
        <v>-4.513926513265229E-2</v>
      </c>
      <c r="AP23" s="1916">
        <f>ProFormaRevBuild!AP68</f>
        <v>0.01</v>
      </c>
      <c r="AQ23" s="1915">
        <f>ProFormaRevBuild!AQ68</f>
        <v>-2.9009247819640871E-2</v>
      </c>
      <c r="AR23" s="1915"/>
      <c r="AS23" s="1915">
        <f>ProFormaRevBuild!AS68</f>
        <v>1.2E-2</v>
      </c>
      <c r="AT23" s="1916">
        <f>ProFormaRevBuild!AT68</f>
        <v>-9.2999999999999999E-2</v>
      </c>
      <c r="AU23" s="1916">
        <f>ProFormaRevBuild!AU68</f>
        <v>-8.0000000000000002E-3</v>
      </c>
      <c r="AV23" s="1916">
        <f>ProFormaRevBuild!AV68</f>
        <v>3.1E-2</v>
      </c>
      <c r="AW23" s="1915">
        <f>ProFormaRevBuild!AW68</f>
        <v>-1.2234319683569805E-2</v>
      </c>
      <c r="AX23" s="1915"/>
      <c r="AY23" s="1915">
        <f>ProFormaRevBuild!AY68</f>
        <v>2.5000000000000001E-2</v>
      </c>
      <c r="AZ23" s="1916">
        <f>ProFormaRevBuild!AZ68</f>
        <v>0.08</v>
      </c>
      <c r="BA23" s="1916">
        <f>ProFormaRevBuild!BA68-4%</f>
        <v>-0.02</v>
      </c>
      <c r="BB23" s="1916">
        <f>ProFormaRevBuild!BB68</f>
        <v>0.02</v>
      </c>
      <c r="BC23" s="1915">
        <f t="shared" si="7"/>
        <v>2.6250000000000002E-2</v>
      </c>
      <c r="BD23" s="1915"/>
      <c r="BE23" s="1915">
        <f>ProFormaRevBuild!BE68</f>
        <v>1.8565366323186373E-2</v>
      </c>
      <c r="BF23" s="1916">
        <f>ProFormaRevBuild!BF68</f>
        <v>-0.04</v>
      </c>
      <c r="BG23" s="1916">
        <f>ProFormaRevBuild!BG68+4.4%</f>
        <v>4.0000000000000036E-3</v>
      </c>
      <c r="BH23" s="1916">
        <f>ProFormaRevBuild!BH68</f>
        <v>0.05</v>
      </c>
      <c r="BI23" s="1915">
        <f t="shared" si="8"/>
        <v>8.1413415807965947E-3</v>
      </c>
      <c r="BJ23" s="1915"/>
      <c r="BK23" s="1915">
        <f>ProFormaRevBuild!BK68-0.6%</f>
        <v>-4.5999999999999999E-2</v>
      </c>
      <c r="BL23" s="1916">
        <f>ProFormaRevBuild!BL68+0.9%+0.6%</f>
        <v>-4.9999999999999992E-3</v>
      </c>
      <c r="BM23" s="1916">
        <f>ProFormaRevBuild!BM68-0.9%</f>
        <v>3.5941770334360877E-2</v>
      </c>
      <c r="BN23" s="1916">
        <f>ProFormaRevBuild!BN68</f>
        <v>1.2386111353299267E-3</v>
      </c>
      <c r="BO23" s="1915">
        <f t="shared" si="10"/>
        <v>-3.4549046325772982E-3</v>
      </c>
      <c r="BP23" s="1915"/>
      <c r="BQ23" s="1915">
        <f>ProFormaRevBuild!BQ68</f>
        <v>8.5000000000000006E-2</v>
      </c>
      <c r="BR23" s="1916">
        <f>ProFormaRevBuild!BR68</f>
        <v>7.4999999999999997E-2</v>
      </c>
      <c r="BS23" s="1916">
        <f>ProFormaRevBuild!BS68</f>
        <v>3.5000000000000003E-2</v>
      </c>
      <c r="BT23" s="1916">
        <f>ProFormaRevBuild!BT68</f>
        <v>5.5399999999999998E-2</v>
      </c>
      <c r="BU23" s="1901">
        <f>ProFormaRevBuild!BU68</f>
        <v>6.0059882594123426E-2</v>
      </c>
      <c r="BV23" s="1916">
        <f>ProFormaRevBuild!BV68-ProFormaRevBuild!BV$19</f>
        <v>0</v>
      </c>
      <c r="BW23" s="1915">
        <f>ProFormaRevBuild!BW68</f>
        <v>0.02</v>
      </c>
      <c r="BX23" s="1916">
        <f>ProFormaRevBuild!BX68</f>
        <v>0.02</v>
      </c>
      <c r="BY23" s="1916">
        <f>ProFormaRevBuild!BY68</f>
        <v>0.02</v>
      </c>
      <c r="BZ23" s="1916">
        <f>ProFormaRevBuild!BZ68</f>
        <v>0.02</v>
      </c>
      <c r="CA23" s="1901">
        <f>ProFormaRevBuild!CA68</f>
        <v>2.0000000000000018E-2</v>
      </c>
      <c r="CB23" s="1916">
        <f>ProFormaRevBuild!CB68-ProFormaRevBuild!CB$19</f>
        <v>0</v>
      </c>
      <c r="CC23" s="1915">
        <f>ProFormaRevBuild!CC68</f>
        <v>0.01</v>
      </c>
      <c r="CD23" s="1916">
        <f>ProFormaRevBuild!CD68</f>
        <v>0.01</v>
      </c>
      <c r="CE23" s="1916">
        <f>ProFormaRevBuild!CE68</f>
        <v>0.01</v>
      </c>
      <c r="CF23" s="1916">
        <f>ProFormaRevBuild!CF68</f>
        <v>0.01</v>
      </c>
      <c r="CG23" s="1901">
        <f>ProFormaRevBuild!CG68</f>
        <v>1.0000000000000009E-2</v>
      </c>
      <c r="CH23" s="1916">
        <f>ProFormaRevBuild!CH68-ProFormaRevBuild!CH$19</f>
        <v>0</v>
      </c>
      <c r="CI23" s="1915">
        <f>ProFormaRevBuild!CI68</f>
        <v>0.01</v>
      </c>
      <c r="CJ23" s="1916">
        <f>ProFormaRevBuild!CJ68</f>
        <v>0.01</v>
      </c>
      <c r="CK23" s="1916">
        <f>ProFormaRevBuild!CK68</f>
        <v>0.01</v>
      </c>
      <c r="CL23" s="1916">
        <f>ProFormaRevBuild!CL68</f>
        <v>0.01</v>
      </c>
      <c r="CM23" s="1901">
        <f>ProFormaRevBuild!CM68</f>
        <v>1.0000000000000009E-2</v>
      </c>
      <c r="CN23" s="353"/>
      <c r="CO23" s="353"/>
      <c r="CP23" s="353"/>
      <c r="CQ23" s="353"/>
      <c r="CR23" s="226"/>
      <c r="CS23" s="1387"/>
      <c r="CT23" s="1388" t="s">
        <v>461</v>
      </c>
      <c r="CU23" s="1388" t="s">
        <v>78</v>
      </c>
      <c r="CV23" s="1388" t="s">
        <v>72</v>
      </c>
      <c r="CW23" s="1388" t="s">
        <v>71</v>
      </c>
      <c r="CX23" s="1388" t="str">
        <f t="shared" ref="CX23:DF23" si="11">+CX6</f>
        <v>1Q13</v>
      </c>
      <c r="CY23" s="1388" t="str">
        <f t="shared" si="11"/>
        <v>2Q13</v>
      </c>
      <c r="CZ23" s="1388" t="str">
        <f t="shared" si="11"/>
        <v>3Q13</v>
      </c>
      <c r="DA23" s="1388" t="str">
        <f t="shared" si="11"/>
        <v>4Q13</v>
      </c>
      <c r="DB23" s="1388" t="str">
        <f t="shared" si="11"/>
        <v>1Q14</v>
      </c>
      <c r="DC23" s="1388" t="str">
        <f t="shared" si="11"/>
        <v>2Q14</v>
      </c>
      <c r="DD23" s="1388" t="str">
        <f t="shared" si="11"/>
        <v>3Q14</v>
      </c>
      <c r="DE23" s="1388" t="str">
        <f t="shared" si="11"/>
        <v>4Q14E</v>
      </c>
      <c r="DF23" s="1388" t="str">
        <f t="shared" si="11"/>
        <v>1Q15</v>
      </c>
      <c r="DG23" s="1388" t="str">
        <f t="shared" ref="DG23:DM23" si="12">+DG6</f>
        <v>2Q15</v>
      </c>
      <c r="DH23" s="1388" t="str">
        <f t="shared" si="12"/>
        <v>3Q15</v>
      </c>
      <c r="DI23" s="1388" t="str">
        <f t="shared" si="12"/>
        <v>4Q15</v>
      </c>
      <c r="DJ23" s="1388" t="str">
        <f t="shared" si="12"/>
        <v>1Q16</v>
      </c>
      <c r="DK23" s="1388" t="str">
        <f t="shared" si="12"/>
        <v>2Q16</v>
      </c>
      <c r="DL23" s="1388" t="str">
        <f t="shared" si="12"/>
        <v>3Q16</v>
      </c>
      <c r="DM23" s="1388" t="str">
        <f t="shared" si="12"/>
        <v>4Q16</v>
      </c>
      <c r="DN23" s="1388" t="str">
        <f>+DN6</f>
        <v>1Q17</v>
      </c>
      <c r="DO23" s="1388" t="str">
        <f>+DO6</f>
        <v>2Q17</v>
      </c>
      <c r="DP23" s="1388" t="str">
        <f>+DP6</f>
        <v>3Q17</v>
      </c>
      <c r="DQ23" s="1388" t="str">
        <f>+DQ6</f>
        <v>4Q17</v>
      </c>
    </row>
    <row r="24" spans="1:125" s="228" customFormat="1">
      <c r="A24" s="1456" t="s">
        <v>531</v>
      </c>
      <c r="B24" s="1457"/>
      <c r="C24" s="1902"/>
      <c r="D24" s="1903"/>
      <c r="E24" s="1903"/>
      <c r="F24" s="1903"/>
      <c r="G24" s="1904"/>
      <c r="H24" s="1905"/>
      <c r="I24" s="1902"/>
      <c r="J24" s="1903"/>
      <c r="K24" s="1903"/>
      <c r="L24" s="1903"/>
      <c r="M24" s="1904"/>
      <c r="N24" s="1906"/>
      <c r="O24" s="1919">
        <f>ProFormaRevBuild!O74</f>
        <v>-3.4286942021720473E-2</v>
      </c>
      <c r="P24" s="1920">
        <f>ProFormaRevBuild!P74</f>
        <v>-0.12549264597991702</v>
      </c>
      <c r="Q24" s="1920">
        <f>ProFormaRevBuild!Q74</f>
        <v>-7.928204219110091E-2</v>
      </c>
      <c r="R24" s="1920">
        <f>ProFormaRevBuild!R74</f>
        <v>-5.6219624992237566E-2</v>
      </c>
      <c r="S24" s="1909">
        <f>ProFormaRevBuild!S74</f>
        <v>-7.441643144643309E-2</v>
      </c>
      <c r="T24" s="1906"/>
      <c r="U24" s="1919">
        <f>ProFormaRevBuild!U74</f>
        <v>1.3975850231659849E-2</v>
      </c>
      <c r="V24" s="1920">
        <f>ProFormaRevBuild!V74</f>
        <v>0.17237883105379948</v>
      </c>
      <c r="W24" s="1920">
        <f>ProFormaRevBuild!W74</f>
        <v>0.14306043334141805</v>
      </c>
      <c r="X24" s="1920">
        <f>ProFormaRevBuild!X74</f>
        <v>8.9556504864263461E-2</v>
      </c>
      <c r="Y24" s="1909">
        <f>ProFormaRevBuild!Y74</f>
        <v>0.10855469975595677</v>
      </c>
      <c r="Z24" s="1906"/>
      <c r="AA24" s="1919">
        <f>ProFormaRevBuild!AA74</f>
        <v>0.6576310307830362</v>
      </c>
      <c r="AB24" s="1920">
        <f>ProFormaRevBuild!AB74</f>
        <v>0.64266995230382762</v>
      </c>
      <c r="AC24" s="1920">
        <f>ProFormaRevBuild!AC74</f>
        <v>0.60154527607252695</v>
      </c>
      <c r="AD24" s="1920">
        <f>ProFormaRevBuild!AD74</f>
        <v>0.65765869613103178</v>
      </c>
      <c r="AE24" s="1909">
        <f>ProFormaRevBuild!AE74</f>
        <v>0.63986816987915229</v>
      </c>
      <c r="AF24" s="1906"/>
      <c r="AG24" s="1919">
        <f>ProFormaRevBuild!AG74</f>
        <v>1.9876371841933936E-2</v>
      </c>
      <c r="AH24" s="1920">
        <f>ProFormaRevBuild!AH74</f>
        <v>3.7637375753303247E-2</v>
      </c>
      <c r="AI24" s="1920">
        <f>ProFormaRevBuild!AI74</f>
        <v>3.3474718272068688E-2</v>
      </c>
      <c r="AJ24" s="1920">
        <f>ProFormaRevBuild!AJ74</f>
        <v>1.4529660080490059E-2</v>
      </c>
      <c r="AK24" s="1909">
        <f>ProFormaRevBuild!AK74</f>
        <v>2.3595971716741763E-2</v>
      </c>
      <c r="AL24" s="1906"/>
      <c r="AM24" s="1919">
        <f>ProFormaRevBuild!AM74</f>
        <v>-3.3681210651028477E-2</v>
      </c>
      <c r="AN24" s="1920">
        <f>ProFormaRevBuild!AN74</f>
        <v>2.0705630531375425E-2</v>
      </c>
      <c r="AO24" s="1920">
        <f>ProFormaRevBuild!AO74</f>
        <v>2.5125464591310376E-2</v>
      </c>
      <c r="AP24" s="1920">
        <f>ProFormaRevBuild!AP74</f>
        <v>8.2154733367287864E-3</v>
      </c>
      <c r="AQ24" s="1909">
        <f>ProFormaRevBuild!AQ74</f>
        <v>5.2157648801794314E-3</v>
      </c>
      <c r="AR24" s="1906"/>
      <c r="AS24" s="1919">
        <f>ProFormaRevBuild!AS74</f>
        <v>5.3535241721835443E-2</v>
      </c>
      <c r="AT24" s="1920">
        <f>ProFormaRevBuild!AT74</f>
        <v>3.8955601513035454E-3</v>
      </c>
      <c r="AU24" s="1920">
        <f>ProFormaRevBuild!AU74</f>
        <v>4.1663329528944582E-2</v>
      </c>
      <c r="AV24" s="1920">
        <f>ProFormaRevBuild!AV74</f>
        <v>8.9770649845876904E-2</v>
      </c>
      <c r="AW24" s="1909">
        <f>ProFormaRevBuild!AW74</f>
        <v>4.8098245230089244E-2</v>
      </c>
      <c r="AX24" s="1906"/>
      <c r="AY24" s="1919">
        <f>ProFormaRevBuild!AY74</f>
        <v>5.5580895152815842E-2</v>
      </c>
      <c r="AZ24" s="1920">
        <f>ProFormaRevBuild!AZ74</f>
        <v>6.6891759543480672E-2</v>
      </c>
      <c r="BA24" s="1920">
        <f>ProFormaRevBuild!BA74</f>
        <v>6.8526413105558251E-2</v>
      </c>
      <c r="BB24" s="1920">
        <f>ProFormaRevBuild!BB74</f>
        <v>3.0266068602882626E-2</v>
      </c>
      <c r="BC24" s="1909">
        <f>ProFormaRevBuild!BC74</f>
        <v>5.4274429695392729E-2</v>
      </c>
      <c r="BD24" s="1906"/>
      <c r="BE24" s="1919">
        <f>ProFormaRevBuild!BE74</f>
        <v>4.2595109748085655E-2</v>
      </c>
      <c r="BF24" s="1920">
        <f>ProFormaRevBuild!BF74</f>
        <v>3.5218554814968597E-3</v>
      </c>
      <c r="BG24" s="1920">
        <f>ProFormaRevBuild!BG74</f>
        <v>-1.8933174092503058E-4</v>
      </c>
      <c r="BH24" s="1920">
        <f>ProFormaRevBuild!BH74</f>
        <v>-1.388433744159241E-2</v>
      </c>
      <c r="BI24" s="1909">
        <f>ProFormaRevBuild!BI74</f>
        <v>6.7475235212064982E-3</v>
      </c>
      <c r="BJ24" s="1906"/>
      <c r="BK24" s="1919">
        <f>ProFormaRevBuild!BK74</f>
        <v>1.7345345346532575E-2</v>
      </c>
      <c r="BL24" s="1920">
        <f>ProFormaRevBuild!BL74</f>
        <v>2.3131238662902634E-2</v>
      </c>
      <c r="BM24" s="1920">
        <f>ProFormaRevBuild!BM74</f>
        <v>3.8736061617852181E-2</v>
      </c>
      <c r="BN24" s="1920">
        <f>ProFormaRevBuild!BN74</f>
        <v>6.529323029486947E-2</v>
      </c>
      <c r="BO24" s="1909">
        <f>ProFormaRevBuild!BO74</f>
        <v>3.6957452549126565E-2</v>
      </c>
      <c r="BP24" s="1906"/>
      <c r="BQ24" s="1919">
        <f>ProFormaRevBuild!BQ74</f>
        <v>4.7103854897796948E-2</v>
      </c>
      <c r="BR24" s="1920">
        <f>ProFormaRevBuild!BR74</f>
        <v>5.2946129513304907E-2</v>
      </c>
      <c r="BS24" s="1920">
        <f>ProFormaRevBuild!BS74</f>
        <v>4.4653397249545757E-2</v>
      </c>
      <c r="BT24" s="1920">
        <f>ProFormaRevBuild!BT74</f>
        <v>3.4776489158655527E-2</v>
      </c>
      <c r="BU24" s="1909">
        <f>ProFormaRevBuild!BU74</f>
        <v>4.4423384259175289E-2</v>
      </c>
      <c r="BV24" s="1920">
        <f>ProFormaRevBuild!BV74</f>
        <v>0</v>
      </c>
      <c r="BW24" s="1919">
        <f>ProFormaRevBuild!BW74</f>
        <v>4.3798047134179452E-2</v>
      </c>
      <c r="BX24" s="1920">
        <f>ProFormaRevBuild!BX74</f>
        <v>4.3487976834777564E-2</v>
      </c>
      <c r="BY24" s="1920">
        <f>ProFormaRevBuild!BY74</f>
        <v>4.2171928217342725E-2</v>
      </c>
      <c r="BZ24" s="1920">
        <f>ProFormaRevBuild!BZ74</f>
        <v>4.2361259751743541E-2</v>
      </c>
      <c r="CA24" s="1909">
        <f>ProFormaRevBuild!CA74</f>
        <v>4.2928660891115022E-2</v>
      </c>
      <c r="CB24" s="1920">
        <f>ProFormaRevBuild!CB74</f>
        <v>0</v>
      </c>
      <c r="CC24" s="1919">
        <f>ProFormaRevBuild!CC74</f>
        <v>2.7751165635075958E-2</v>
      </c>
      <c r="CD24" s="1920">
        <f>ProFormaRevBuild!CD74</f>
        <v>2.7718451437989788E-2</v>
      </c>
      <c r="CE24" s="1920">
        <f>ProFormaRevBuild!CE74</f>
        <v>2.6821798236176253E-2</v>
      </c>
      <c r="CF24" s="1920">
        <f>ProFormaRevBuild!CF74</f>
        <v>2.6972930170442888E-2</v>
      </c>
      <c r="CG24" s="1909">
        <f>ProFormaRevBuild!CG74</f>
        <v>2.7302114347675488E-2</v>
      </c>
      <c r="CH24" s="1920">
        <f>ProFormaRevBuild!CH74</f>
        <v>0</v>
      </c>
      <c r="CI24" s="1919">
        <f>ProFormaRevBuild!CI74</f>
        <v>2.781664043191312E-2</v>
      </c>
      <c r="CJ24" s="1920">
        <f>ProFormaRevBuild!CJ74</f>
        <v>2.7780454899081874E-2</v>
      </c>
      <c r="CK24" s="1920">
        <f>ProFormaRevBuild!CK74</f>
        <v>2.6894550396827421E-2</v>
      </c>
      <c r="CL24" s="1920">
        <f>ProFormaRevBuild!CL74</f>
        <v>2.7051870230753394E-2</v>
      </c>
      <c r="CM24" s="1909">
        <f>ProFormaRevBuild!CM74</f>
        <v>2.737240580964051E-2</v>
      </c>
      <c r="CR24" s="226"/>
      <c r="CS24" s="1389" t="s">
        <v>396</v>
      </c>
      <c r="CT24" s="1390">
        <f>ProFormaRevBuild!AG137</f>
        <v>0.02</v>
      </c>
      <c r="CU24" s="1390">
        <f>ProFormaRevBuild!AH137</f>
        <v>0.08</v>
      </c>
      <c r="CV24" s="1390">
        <f>ProFormaRevBuild!AI137</f>
        <v>0.02</v>
      </c>
      <c r="CW24" s="1390">
        <f>ProFormaRevBuild!AJ137</f>
        <v>0.08</v>
      </c>
      <c r="CX24" s="1390">
        <f>ProFormaRevBuild!AM137</f>
        <v>0.02</v>
      </c>
      <c r="CY24" s="1390">
        <f>ProFormaRevBuild!AN137</f>
        <v>-0.02</v>
      </c>
      <c r="CZ24" s="1390">
        <f>ProFormaRevBuild!AO137</f>
        <v>0.05</v>
      </c>
      <c r="DA24" s="1390">
        <f>ProFormaRevBuild!AP137</f>
        <v>-0.02</v>
      </c>
      <c r="DB24" s="1390">
        <f>ProFormaRevBuild!AS137</f>
        <v>0.05</v>
      </c>
      <c r="DC24" s="1390">
        <f>ProFormaRevBuild!AT137</f>
        <v>0.05</v>
      </c>
      <c r="DD24" s="1390">
        <f>ProFormaRevBuild!AU137</f>
        <v>0.05</v>
      </c>
      <c r="DE24" s="1390">
        <f>ProFormaRevBuild!AV137</f>
        <v>0.08</v>
      </c>
      <c r="DF24" s="1390">
        <f>ProFormaRevBuild!AY137</f>
        <v>0.05</v>
      </c>
      <c r="DG24" s="1390">
        <f>ProFormaRevBuild!AZ137</f>
        <v>0.05</v>
      </c>
      <c r="DH24" s="1390">
        <f>ProFormaRevBuild!BA137</f>
        <v>0.05</v>
      </c>
      <c r="DI24" s="1390">
        <f>ProFormaRevBuild!BB137</f>
        <v>0.02</v>
      </c>
      <c r="DJ24" s="1390">
        <f>ProFormaRevBuild!BE137</f>
        <v>0.02</v>
      </c>
      <c r="DK24" s="1390">
        <f>ProFormaRevBuild!BF137</f>
        <v>-0.02</v>
      </c>
      <c r="DL24" s="1390">
        <f>ProFormaRevBuild!BG137</f>
        <v>-0.05</v>
      </c>
      <c r="DM24" s="1390">
        <f>ProFormaRevBuild!BH137</f>
        <v>-0.03</v>
      </c>
      <c r="DN24" s="1390">
        <f>ProFormaRevBuild!BK137</f>
        <v>-0.02</v>
      </c>
      <c r="DO24" s="1390">
        <f>ProFormaRevBuild!BL137</f>
        <v>0.05</v>
      </c>
      <c r="DP24" s="1390">
        <f>ProFormaRevBuild!BM137</f>
        <v>0.05</v>
      </c>
      <c r="DQ24" s="1390">
        <f>ProFormaRevBuild!BN137</f>
        <v>0.02</v>
      </c>
    </row>
    <row r="25" spans="1:125" s="228" customFormat="1">
      <c r="A25" s="1017" t="s">
        <v>81</v>
      </c>
      <c r="B25" s="1002"/>
      <c r="C25" s="1910"/>
      <c r="D25" s="1911"/>
      <c r="E25" s="1911"/>
      <c r="F25" s="1911"/>
      <c r="G25" s="1912"/>
      <c r="H25" s="1913"/>
      <c r="I25" s="1910"/>
      <c r="J25" s="1911"/>
      <c r="K25" s="1911"/>
      <c r="L25" s="1911"/>
      <c r="M25" s="1912"/>
      <c r="N25" s="1914"/>
      <c r="O25" s="1910"/>
      <c r="P25" s="1911"/>
      <c r="Q25" s="1911"/>
      <c r="R25" s="1911"/>
      <c r="S25" s="1912"/>
      <c r="T25" s="1914"/>
      <c r="U25" s="1910"/>
      <c r="V25" s="1911"/>
      <c r="W25" s="1911"/>
      <c r="X25" s="1911"/>
      <c r="Y25" s="1912"/>
      <c r="Z25" s="1914"/>
      <c r="AA25" s="1910"/>
      <c r="AB25" s="1911"/>
      <c r="AC25" s="1911"/>
      <c r="AD25" s="1911"/>
      <c r="AE25" s="1912"/>
      <c r="AF25" s="1914"/>
      <c r="AG25" s="1910"/>
      <c r="AH25" s="1911"/>
      <c r="AI25" s="1911"/>
      <c r="AJ25" s="1911"/>
      <c r="AK25" s="1912"/>
      <c r="AL25" s="1914"/>
      <c r="AM25" s="1910"/>
      <c r="AN25" s="1911"/>
      <c r="AO25" s="1911"/>
      <c r="AP25" s="1911"/>
      <c r="AQ25" s="1912"/>
      <c r="AR25" s="1914"/>
      <c r="AS25" s="1910"/>
      <c r="AT25" s="1911"/>
      <c r="AU25" s="1911"/>
      <c r="AV25" s="1911"/>
      <c r="AW25" s="1912"/>
      <c r="AX25" s="1914"/>
      <c r="AY25" s="1910"/>
      <c r="AZ25" s="1911"/>
      <c r="BA25" s="1911"/>
      <c r="BB25" s="1911"/>
      <c r="BC25" s="1912"/>
      <c r="BD25" s="1914"/>
      <c r="BE25" s="1910"/>
      <c r="BF25" s="1911"/>
      <c r="BG25" s="1911"/>
      <c r="BH25" s="1911"/>
      <c r="BI25" s="1912"/>
      <c r="BJ25" s="1914"/>
      <c r="BK25" s="1910"/>
      <c r="BL25" s="1911"/>
      <c r="BM25" s="1911"/>
      <c r="BN25" s="1911"/>
      <c r="BO25" s="1912"/>
      <c r="BP25" s="1914"/>
      <c r="BQ25" s="1910"/>
      <c r="BR25" s="1911"/>
      <c r="BS25" s="1911"/>
      <c r="BT25" s="1911"/>
      <c r="BU25" s="1912"/>
      <c r="BV25" s="1911"/>
      <c r="BW25" s="1910"/>
      <c r="BX25" s="1911"/>
      <c r="BY25" s="1911"/>
      <c r="BZ25" s="1911"/>
      <c r="CA25" s="1912"/>
      <c r="CB25" s="1911"/>
      <c r="CC25" s="1910"/>
      <c r="CD25" s="1911"/>
      <c r="CE25" s="1911"/>
      <c r="CF25" s="1911"/>
      <c r="CG25" s="1912"/>
      <c r="CH25" s="1911"/>
      <c r="CI25" s="1910"/>
      <c r="CJ25" s="1911"/>
      <c r="CK25" s="1911"/>
      <c r="CL25" s="1911"/>
      <c r="CM25" s="1912"/>
      <c r="CR25" s="226"/>
      <c r="CS25" s="1393" t="s">
        <v>398</v>
      </c>
      <c r="CT25" s="1394">
        <f>ProFormaRevBuild!AG138</f>
        <v>0.12</v>
      </c>
      <c r="CU25" s="1394">
        <f>ProFormaRevBuild!AH138</f>
        <v>0.08</v>
      </c>
      <c r="CV25" s="1394">
        <f>ProFormaRevBuild!AI138</f>
        <v>0.22</v>
      </c>
      <c r="CW25" s="1394">
        <f>ProFormaRevBuild!AJ138</f>
        <v>0.08</v>
      </c>
      <c r="CX25" s="1394">
        <f>ProFormaRevBuild!AM138</f>
        <v>-0.02</v>
      </c>
      <c r="CY25" s="1394">
        <f>ProFormaRevBuild!AN138</f>
        <v>0.12</v>
      </c>
      <c r="CZ25" s="1394">
        <f>ProFormaRevBuild!AO138</f>
        <v>0.02</v>
      </c>
      <c r="DA25" s="1394">
        <f>ProFormaRevBuild!AP138</f>
        <v>0.08</v>
      </c>
      <c r="DB25" s="1394">
        <f>ProFormaRevBuild!AS138</f>
        <v>0.15</v>
      </c>
      <c r="DC25" s="1394">
        <f>ProFormaRevBuild!AT138</f>
        <v>0.02</v>
      </c>
      <c r="DD25" s="1394">
        <f>ProFormaRevBuild!AU138</f>
        <v>0.08</v>
      </c>
      <c r="DE25" s="1394">
        <f>ProFormaRevBuild!AV138</f>
        <v>0.05</v>
      </c>
      <c r="DF25" s="1394">
        <f>ProFormaRevBuild!AY138</f>
        <v>0.03</v>
      </c>
      <c r="DG25" s="1394">
        <f>ProFormaRevBuild!AZ138</f>
        <v>0.05</v>
      </c>
      <c r="DH25" s="1394">
        <f>ProFormaRevBuild!BA138</f>
        <v>0.05</v>
      </c>
      <c r="DI25" s="1394">
        <f>ProFormaRevBuild!BB138</f>
        <v>0.08</v>
      </c>
      <c r="DJ25" s="1394">
        <f>ProFormaRevBuild!BE138</f>
        <v>0.08</v>
      </c>
      <c r="DK25" s="1394">
        <f>ProFormaRevBuild!BF138</f>
        <v>0.12</v>
      </c>
      <c r="DL25" s="1394">
        <f>ProFormaRevBuild!BG138</f>
        <v>0.1</v>
      </c>
      <c r="DM25" s="1394">
        <f>ProFormaRevBuild!BH138</f>
        <v>0.09</v>
      </c>
      <c r="DN25" s="1394">
        <f>ProFormaRevBuild!BK138</f>
        <v>0.18</v>
      </c>
      <c r="DO25" s="1394">
        <f>ProFormaRevBuild!BL138</f>
        <v>0</v>
      </c>
      <c r="DP25" s="1394">
        <f>ProFormaRevBuild!BM138</f>
        <v>0.08</v>
      </c>
      <c r="DQ25" s="1394">
        <f>ProFormaRevBuild!BN138</f>
        <v>0.08</v>
      </c>
    </row>
    <row r="26" spans="1:125" s="228" customFormat="1">
      <c r="A26" s="1761" t="s">
        <v>515</v>
      </c>
      <c r="B26" s="1762"/>
      <c r="C26" s="1921">
        <f>ProFormaRevBuild!C21</f>
        <v>4.9999999999999996E-2</v>
      </c>
      <c r="D26" s="1922">
        <f>ProFormaRevBuild!D21</f>
        <v>0.09</v>
      </c>
      <c r="E26" s="1922">
        <f>ProFormaRevBuild!E21</f>
        <v>0.06</v>
      </c>
      <c r="F26" s="1922">
        <f>ProFormaRevBuild!F21</f>
        <v>0.10000000000000002</v>
      </c>
      <c r="G26" s="1923">
        <f>ProFormaRevBuild!G21</f>
        <v>7.4999999999999997E-2</v>
      </c>
      <c r="H26" s="1924"/>
      <c r="I26" s="1921">
        <f>ProFormaRevBuild!I21</f>
        <v>3.8545544800198651E-2</v>
      </c>
      <c r="J26" s="1922">
        <f>ProFormaRevBuild!J21</f>
        <v>7.4759999085275475E-2</v>
      </c>
      <c r="K26" s="1922">
        <f>ProFormaRevBuild!K21</f>
        <v>1.8880340075470306E-2</v>
      </c>
      <c r="L26" s="1922">
        <f>ProFormaRevBuild!L21</f>
        <v>3.9827645388447963E-2</v>
      </c>
      <c r="M26" s="1923">
        <f>ProFormaRevBuild!M21</f>
        <v>4.3034460104534253E-2</v>
      </c>
      <c r="N26" s="1925"/>
      <c r="O26" s="1921">
        <f>ProFormaRevBuild!O21</f>
        <v>8.2267293883424297E-4</v>
      </c>
      <c r="P26" s="1922">
        <f>ProFormaRevBuild!P21</f>
        <v>-9.4396149298470344E-2</v>
      </c>
      <c r="Q26" s="1922">
        <f>ProFormaRevBuild!Q21</f>
        <v>-7.7064775340628791E-2</v>
      </c>
      <c r="R26" s="1922">
        <f>ProFormaRevBuild!R21</f>
        <v>-5.3240842619081019E-2</v>
      </c>
      <c r="S26" s="1923">
        <f>ProFormaRevBuild!S21</f>
        <v>-5.7044375694407901E-2</v>
      </c>
      <c r="T26" s="1925"/>
      <c r="U26" s="1921">
        <f>ProFormaRevBuild!U21</f>
        <v>1.7264031860912004E-2</v>
      </c>
      <c r="V26" s="1922">
        <f>ProFormaRevBuild!V21</f>
        <v>0.13518400727316249</v>
      </c>
      <c r="W26" s="1922">
        <f>ProFormaRevBuild!W21</f>
        <v>0.10167899086559373</v>
      </c>
      <c r="X26" s="1922">
        <f>ProFormaRevBuild!X21</f>
        <v>9.2840896572970344E-2</v>
      </c>
      <c r="Y26" s="1923">
        <f>ProFormaRevBuild!Y21</f>
        <v>7.9034928544990071E-2</v>
      </c>
      <c r="Z26" s="1925"/>
      <c r="AA26" s="1921">
        <f>ProFormaRevBuild!AA21</f>
        <v>9.814846806564706E-2</v>
      </c>
      <c r="AB26" s="1922">
        <f>ProFormaRevBuild!AB21</f>
        <v>5.6075944052958522E-2</v>
      </c>
      <c r="AC26" s="1922">
        <f>ProFormaRevBuild!AC21</f>
        <v>2.6202744705267664E-2</v>
      </c>
      <c r="AD26" s="1922">
        <f>ProFormaRevBuild!AD21</f>
        <v>-3.2166904270485672E-2</v>
      </c>
      <c r="AE26" s="1923">
        <f>ProFormaRevBuild!AE21</f>
        <v>3.4113239931328532E-2</v>
      </c>
      <c r="AF26" s="1925"/>
      <c r="AG26" s="1921">
        <f>ProFormaRevBuild!AG21</f>
        <v>-3.1201076790521573E-2</v>
      </c>
      <c r="AH26" s="1922">
        <f>ProFormaRevBuild!AH21</f>
        <v>-4.2011059519488608E-2</v>
      </c>
      <c r="AI26" s="1922">
        <f>ProFormaRevBuild!AI21</f>
        <v>-3.4132455642147008E-2</v>
      </c>
      <c r="AJ26" s="1922">
        <f>ProFormaRevBuild!AJ21</f>
        <v>2.11120708838229E-2</v>
      </c>
      <c r="AK26" s="1923">
        <f>ProFormaRevBuild!AK21</f>
        <v>-2.5033657997521018E-2</v>
      </c>
      <c r="AL26" s="1925"/>
      <c r="AM26" s="1921">
        <f>ProFormaRevBuild!AM21</f>
        <v>-1.5930802318406857E-2</v>
      </c>
      <c r="AN26" s="1922">
        <f>ProFormaRevBuild!AN21</f>
        <v>2.6502809475198758E-2</v>
      </c>
      <c r="AO26" s="1922">
        <f>ProFormaRevBuild!AO21</f>
        <v>2.6763967300238143E-2</v>
      </c>
      <c r="AP26" s="1922">
        <f>ProFormaRevBuild!AP21</f>
        <v>2.1424463371906954E-2</v>
      </c>
      <c r="AQ26" s="1923">
        <f>ProFormaRevBuild!AQ21</f>
        <v>1.4881646449178448E-2</v>
      </c>
      <c r="AR26" s="1925"/>
      <c r="AS26" s="1921">
        <f>ProFormaRevBuild!AS21</f>
        <v>3.4651857820189799E-2</v>
      </c>
      <c r="AT26" s="1922">
        <f>ProFormaRevBuild!AT21</f>
        <v>-8.9060952089271492E-4</v>
      </c>
      <c r="AU26" s="1922">
        <f>ProFormaRevBuild!AU21</f>
        <v>5.5855598752270065E-2</v>
      </c>
      <c r="AV26" s="1922">
        <f>ProFormaRevBuild!AV21</f>
        <v>9.0869827167436731E-2</v>
      </c>
      <c r="AW26" s="1923">
        <f>ProFormaRevBuild!AW21</f>
        <v>4.6098842016514339E-2</v>
      </c>
      <c r="AX26" s="1925"/>
      <c r="AY26" s="1921">
        <f>ProFormaRevBuild!AY21</f>
        <v>6.3730546443588734E-2</v>
      </c>
      <c r="AZ26" s="1922">
        <f>ProFormaRevBuild!AZ21</f>
        <v>9.1825474634242135E-2</v>
      </c>
      <c r="BA26" s="1922">
        <f>ProFormaRevBuild!BA21</f>
        <v>4.6240331371653502E-2</v>
      </c>
      <c r="BB26" s="1922">
        <f>ProFormaRevBuild!BB21</f>
        <v>3.0321977027685645E-2</v>
      </c>
      <c r="BC26" s="1923">
        <f>ProFormaRevBuild!BC21</f>
        <v>5.6981619066898775E-2</v>
      </c>
      <c r="BD26" s="1925"/>
      <c r="BE26" s="1921">
        <f>ProFormaRevBuild!BE21</f>
        <v>4.8654756962302356E-2</v>
      </c>
      <c r="BF26" s="1922">
        <f>ProFormaRevBuild!BF21</f>
        <v>3.755298465824311E-2</v>
      </c>
      <c r="BG26" s="1922">
        <f>ProFormaRevBuild!BG21</f>
        <v>1.3518238327244678E-2</v>
      </c>
      <c r="BH26" s="1922">
        <f>ProFormaRevBuild!BH21</f>
        <v>1.3629978930351531E-3</v>
      </c>
      <c r="BI26" s="1923">
        <f>ProFormaRevBuild!BI21</f>
        <v>2.4307019468531615E-2</v>
      </c>
      <c r="BJ26" s="1925"/>
      <c r="BK26" s="1921">
        <f>ProFormaRevBuild!BK21</f>
        <v>3.5358950879004786E-2</v>
      </c>
      <c r="BL26" s="1922">
        <f>ProFormaRevBuild!BL21</f>
        <v>2.6457028681855309E-2</v>
      </c>
      <c r="BM26" s="1922">
        <f>ProFormaRevBuild!BM21</f>
        <v>3.8185927299301106E-2</v>
      </c>
      <c r="BN26" s="1922">
        <f>ProFormaRevBuild!BN21</f>
        <v>6.4396037510309811E-2</v>
      </c>
      <c r="BO26" s="1923">
        <f>ProFormaRevBuild!BO21</f>
        <v>4.1569353961883534E-2</v>
      </c>
      <c r="BP26" s="1925"/>
      <c r="BQ26" s="1921">
        <f>ProFormaRevBuild!BQ21</f>
        <v>4.2812883044510253E-2</v>
      </c>
      <c r="BR26" s="1922">
        <f>ProFormaRevBuild!BR21</f>
        <v>6.2402543307759906E-2</v>
      </c>
      <c r="BS26" s="1922">
        <f>ProFormaRevBuild!BS21</f>
        <v>5.6604509694549665E-2</v>
      </c>
      <c r="BT26" s="1922">
        <f>ProFormaRevBuild!BT21</f>
        <v>3.7147635359441461E-2</v>
      </c>
      <c r="BU26" s="1923">
        <f>ProFormaRevBuild!BU21</f>
        <v>4.9336710326335187E-2</v>
      </c>
      <c r="BV26" s="1922">
        <f>ProFormaRevBuild!BV21</f>
        <v>0</v>
      </c>
      <c r="BW26" s="1921">
        <f>ProFormaRevBuild!BW21</f>
        <v>6.3716831390071782E-2</v>
      </c>
      <c r="BX26" s="1922">
        <f>ProFormaRevBuild!BX21</f>
        <v>7.022300964112671E-2</v>
      </c>
      <c r="BY26" s="1922">
        <f>ProFormaRevBuild!BY21</f>
        <v>7.5706464866881484E-2</v>
      </c>
      <c r="BZ26" s="1922">
        <f>ProFormaRevBuild!BZ21</f>
        <v>7.6724625586982231E-2</v>
      </c>
      <c r="CA26" s="1923">
        <f>ProFormaRevBuild!CA21</f>
        <v>7.1914962987918774E-2</v>
      </c>
      <c r="CB26" s="1922">
        <f>ProFormaRevBuild!CB21</f>
        <v>0</v>
      </c>
      <c r="CC26" s="1921">
        <f>ProFormaRevBuild!CC21</f>
        <v>7.2098123715333529E-2</v>
      </c>
      <c r="CD26" s="1922">
        <f>ProFormaRevBuild!CD21</f>
        <v>7.414551930808666E-2</v>
      </c>
      <c r="CE26" s="1922">
        <f>ProFormaRevBuild!CE21</f>
        <v>7.1739492174721642E-2</v>
      </c>
      <c r="CF26" s="1922">
        <f>ProFormaRevBuild!CF21</f>
        <v>6.6658569242043608E-2</v>
      </c>
      <c r="CG26" s="1923">
        <f>ProFormaRevBuild!CG21</f>
        <v>7.0999974590042036E-2</v>
      </c>
      <c r="CH26" s="1922">
        <f>ProFormaRevBuild!CH21</f>
        <v>0</v>
      </c>
      <c r="CI26" s="1921">
        <f>ProFormaRevBuild!CI21</f>
        <v>5.367527687261564E-2</v>
      </c>
      <c r="CJ26" s="1922">
        <f>ProFormaRevBuild!CJ21</f>
        <v>5.3778306982475765E-2</v>
      </c>
      <c r="CK26" s="1922">
        <f>ProFormaRevBuild!CK21</f>
        <v>5.7624273319504704E-2</v>
      </c>
      <c r="CL26" s="1922">
        <f>ProFormaRevBuild!CL21</f>
        <v>5.6808205503407372E-2</v>
      </c>
      <c r="CM26" s="1923">
        <f>ProFormaRevBuild!CM21</f>
        <v>5.5553044167389931E-2</v>
      </c>
      <c r="CR26" s="226"/>
      <c r="CS26" s="1389" t="s">
        <v>495</v>
      </c>
      <c r="CT26" s="1390">
        <f>ProFormaRevBuild!AG139</f>
        <v>0.22</v>
      </c>
      <c r="CU26" s="1390">
        <f>ProFormaRevBuild!AH139</f>
        <v>0.22</v>
      </c>
      <c r="CV26" s="1390">
        <f>ProFormaRevBuild!AI139</f>
        <v>0.22</v>
      </c>
      <c r="CW26" s="1390">
        <f>ProFormaRevBuild!AJ139</f>
        <v>0.22</v>
      </c>
      <c r="CX26" s="1390">
        <f>ProFormaRevBuild!AM139</f>
        <v>0.2</v>
      </c>
      <c r="CY26" s="1390">
        <f>ProFormaRevBuild!AN139</f>
        <v>0.17</v>
      </c>
      <c r="CZ26" s="1390">
        <f>ProFormaRevBuild!AO139</f>
        <v>0.12</v>
      </c>
      <c r="DA26" s="1390">
        <f>ProFormaRevBuild!AP139</f>
        <v>0.15</v>
      </c>
      <c r="DB26" s="1390">
        <f>ProFormaRevBuild!AS139</f>
        <v>0.12</v>
      </c>
      <c r="DC26" s="1390">
        <f>ProFormaRevBuild!AT139</f>
        <v>0.08</v>
      </c>
      <c r="DD26" s="1390">
        <f>ProFormaRevBuild!AU139</f>
        <v>0.08</v>
      </c>
      <c r="DE26" s="1390">
        <f>ProFormaRevBuild!AV139</f>
        <v>0.05</v>
      </c>
      <c r="DF26" s="1390">
        <f>ProFormaRevBuild!AY139</f>
        <v>0.09</v>
      </c>
      <c r="DG26" s="1390">
        <f>ProFormaRevBuild!AZ139</f>
        <v>0.12</v>
      </c>
      <c r="DH26" s="1390">
        <f>ProFormaRevBuild!BA139</f>
        <v>0.08</v>
      </c>
      <c r="DI26" s="1390">
        <f>ProFormaRevBuild!BB139</f>
        <v>0.12</v>
      </c>
      <c r="DJ26" s="1390">
        <f>ProFormaRevBuild!BE139</f>
        <v>0.15</v>
      </c>
      <c r="DK26" s="1390">
        <f>ProFormaRevBuild!BF139</f>
        <v>0.15</v>
      </c>
      <c r="DL26" s="1390">
        <f>ProFormaRevBuild!BG139</f>
        <v>0.22</v>
      </c>
      <c r="DM26" s="1390">
        <f>ProFormaRevBuild!BH139</f>
        <v>0.09</v>
      </c>
      <c r="DN26" s="1390">
        <f>ProFormaRevBuild!BK139</f>
        <v>0.18</v>
      </c>
      <c r="DO26" s="1390">
        <f>ProFormaRevBuild!BL139</f>
        <v>0.12</v>
      </c>
      <c r="DP26" s="1390">
        <f>ProFormaRevBuild!BM139</f>
        <v>0.15</v>
      </c>
      <c r="DQ26" s="1390">
        <f>ProFormaRevBuild!BN139</f>
        <v>0.15</v>
      </c>
    </row>
    <row r="27" spans="1:125" s="228" customFormat="1">
      <c r="A27" s="1759" t="s">
        <v>514</v>
      </c>
      <c r="B27" s="1760"/>
      <c r="C27" s="1926">
        <f>ProFormaRevBuild!C22</f>
        <v>4.9999999999999996E-2</v>
      </c>
      <c r="D27" s="1927">
        <f>ProFormaRevBuild!D22</f>
        <v>0.09</v>
      </c>
      <c r="E27" s="1927">
        <f>ProFormaRevBuild!E22</f>
        <v>0.06</v>
      </c>
      <c r="F27" s="1927">
        <f>ProFormaRevBuild!F22</f>
        <v>0.10000000000000002</v>
      </c>
      <c r="G27" s="1928">
        <f>ProFormaRevBuild!G22</f>
        <v>7.4999999999999997E-2</v>
      </c>
      <c r="H27" s="1929"/>
      <c r="I27" s="1926">
        <f>ProFormaRevBuild!I22</f>
        <v>3.8545544800198651E-2</v>
      </c>
      <c r="J27" s="1927">
        <f>ProFormaRevBuild!J22</f>
        <v>7.4759999085275475E-2</v>
      </c>
      <c r="K27" s="1927">
        <f>ProFormaRevBuild!K22</f>
        <v>1.8880340075470306E-2</v>
      </c>
      <c r="L27" s="1927">
        <f>ProFormaRevBuild!L22</f>
        <v>3.9827645388447963E-2</v>
      </c>
      <c r="M27" s="1928">
        <f>ProFormaRevBuild!M22</f>
        <v>4.3034460104534253E-2</v>
      </c>
      <c r="N27" s="1930"/>
      <c r="O27" s="1926">
        <f>ProFormaRevBuild!O22</f>
        <v>8.2267293883424297E-4</v>
      </c>
      <c r="P27" s="1927">
        <f>ProFormaRevBuild!P22</f>
        <v>-9.4396149298470344E-2</v>
      </c>
      <c r="Q27" s="1927">
        <f>ProFormaRevBuild!Q22</f>
        <v>-7.7064775340628791E-2</v>
      </c>
      <c r="R27" s="1927">
        <f>ProFormaRevBuild!R22</f>
        <v>-5.3240842619081019E-2</v>
      </c>
      <c r="S27" s="1928">
        <f>ProFormaRevBuild!S22</f>
        <v>-5.7044375694407901E-2</v>
      </c>
      <c r="T27" s="1930"/>
      <c r="U27" s="1926">
        <f>ProFormaRevBuild!U22</f>
        <v>1.7264031860912004E-2</v>
      </c>
      <c r="V27" s="1927">
        <f>ProFormaRevBuild!V22</f>
        <v>0.13518400727316249</v>
      </c>
      <c r="W27" s="1927">
        <f>ProFormaRevBuild!W22</f>
        <v>0.10167899086559373</v>
      </c>
      <c r="X27" s="1927">
        <f>ProFormaRevBuild!X22</f>
        <v>9.2840896572970344E-2</v>
      </c>
      <c r="Y27" s="1928">
        <f>ProFormaRevBuild!Y22</f>
        <v>7.9034928544990071E-2</v>
      </c>
      <c r="Z27" s="1930"/>
      <c r="AA27" s="1926">
        <f>ProFormaRevBuild!AA22</f>
        <v>9.814846806564706E-2</v>
      </c>
      <c r="AB27" s="1927">
        <f>ProFormaRevBuild!AB22</f>
        <v>5.6075944052958522E-2</v>
      </c>
      <c r="AC27" s="1927">
        <f>ProFormaRevBuild!AC22</f>
        <v>2.6202744705267664E-2</v>
      </c>
      <c r="AD27" s="1927">
        <f>ProFormaRevBuild!AD22</f>
        <v>-3.2166904270485672E-2</v>
      </c>
      <c r="AE27" s="1928">
        <f>ProFormaRevBuild!AE22</f>
        <v>3.4113239931328532E-2</v>
      </c>
      <c r="AF27" s="1930"/>
      <c r="AG27" s="1926">
        <f>ProFormaRevBuild!AG22</f>
        <v>-3.1201076790521573E-2</v>
      </c>
      <c r="AH27" s="1927">
        <f>ProFormaRevBuild!AH22</f>
        <v>-4.2011059519488608E-2</v>
      </c>
      <c r="AI27" s="1927">
        <f>ProFormaRevBuild!AI22</f>
        <v>-3.4132455642147008E-2</v>
      </c>
      <c r="AJ27" s="1927">
        <f>ProFormaRevBuild!AJ22</f>
        <v>2.11120708838229E-2</v>
      </c>
      <c r="AK27" s="1928">
        <f>ProFormaRevBuild!AK22</f>
        <v>-2.5033657997521018E-2</v>
      </c>
      <c r="AL27" s="1930"/>
      <c r="AM27" s="1926">
        <f>ProFormaRevBuild!AM22</f>
        <v>-1.5930802318406857E-2</v>
      </c>
      <c r="AN27" s="1927">
        <f>ProFormaRevBuild!AN22</f>
        <v>2.6502809475198758E-2</v>
      </c>
      <c r="AO27" s="1927">
        <f>ProFormaRevBuild!AO22</f>
        <v>2.6763967300238143E-2</v>
      </c>
      <c r="AP27" s="1927">
        <f>ProFormaRevBuild!AP22</f>
        <v>2.1424463371906954E-2</v>
      </c>
      <c r="AQ27" s="1928">
        <f>ProFormaRevBuild!AQ22</f>
        <v>1.4881646449178448E-2</v>
      </c>
      <c r="AR27" s="1930"/>
      <c r="AS27" s="1926">
        <f>ProFormaRevBuild!AS22</f>
        <v>3.4651857820189799E-2</v>
      </c>
      <c r="AT27" s="1927">
        <f>ProFormaRevBuild!AT22</f>
        <v>-8.9060952089271492E-4</v>
      </c>
      <c r="AU27" s="1927">
        <f>ProFormaRevBuild!AU22</f>
        <v>5.5855598752270065E-2</v>
      </c>
      <c r="AV27" s="1927">
        <f>ProFormaRevBuild!AV22</f>
        <v>9.8869827167436725E-2</v>
      </c>
      <c r="AW27" s="1928">
        <f>ProFormaRevBuild!AW22</f>
        <v>4.6098842016514339E-2</v>
      </c>
      <c r="AX27" s="1930"/>
      <c r="AY27" s="1926">
        <f>ProFormaRevBuild!AY22</f>
        <v>5.5730546443588734E-2</v>
      </c>
      <c r="AZ27" s="1927">
        <f>ProFormaRevBuild!AZ22</f>
        <v>6.982547463424213E-2</v>
      </c>
      <c r="BA27" s="1927">
        <f>ProFormaRevBuild!BA22</f>
        <v>6.6240331371653499E-2</v>
      </c>
      <c r="BB27" s="1927">
        <f>ProFormaRevBuild!BB22</f>
        <v>2.2321977027685645E-2</v>
      </c>
      <c r="BC27" s="1928">
        <f>ProFormaRevBuild!BC22</f>
        <v>5.6981619066898775E-2</v>
      </c>
      <c r="BD27" s="1930"/>
      <c r="BE27" s="1926">
        <f>ProFormaRevBuild!BE22</f>
        <v>4.8654756962302356E-2</v>
      </c>
      <c r="BF27" s="1927">
        <f>ProFormaRevBuild!BF22</f>
        <v>3.755298465824311E-2</v>
      </c>
      <c r="BG27" s="1927">
        <f>ProFormaRevBuild!BG22</f>
        <v>-6.4817616727553228E-3</v>
      </c>
      <c r="BH27" s="1927">
        <f>ProFormaRevBuild!BH22</f>
        <v>1.3629978930351531E-3</v>
      </c>
      <c r="BI27" s="1928">
        <f>ProFormaRevBuild!BI22</f>
        <v>1.9307019468531614E-2</v>
      </c>
      <c r="BJ27" s="1930"/>
      <c r="BK27" s="1926">
        <f>ProFormaRevBuild!BK22</f>
        <v>4.1358950879004784E-2</v>
      </c>
      <c r="BL27" s="1927">
        <f>ProFormaRevBuild!BL22</f>
        <v>1.1135939531230236E-2</v>
      </c>
      <c r="BM27" s="1927">
        <f>ProFormaRevBuild!BM22</f>
        <v>4.7900984666714858E-2</v>
      </c>
      <c r="BN27" s="1927">
        <f>ProFormaRevBuild!BN22</f>
        <v>6.4396037510309811E-2</v>
      </c>
      <c r="BO27" s="1928">
        <f>ProFormaRevBuild!BO22</f>
        <v>4.1569353961883534E-2</v>
      </c>
      <c r="BP27" s="1930"/>
      <c r="BQ27" s="1926">
        <f>ProFormaRevBuild!BQ22</f>
        <v>4.2812883044510253E-2</v>
      </c>
      <c r="BR27" s="1927">
        <f>ProFormaRevBuild!BR22</f>
        <v>6.2402543307759906E-2</v>
      </c>
      <c r="BS27" s="1927">
        <f>ProFormaRevBuild!BS22</f>
        <v>5.6604509694549665E-2</v>
      </c>
      <c r="BT27" s="1927">
        <f>ProFormaRevBuild!BT22</f>
        <v>3.7147635359441461E-2</v>
      </c>
      <c r="BU27" s="1928">
        <f>ProFormaRevBuild!BU22</f>
        <v>4.9336710326335187E-2</v>
      </c>
      <c r="BV27" s="1927">
        <f>ProFormaRevBuild!BV22</f>
        <v>0</v>
      </c>
      <c r="BW27" s="1926">
        <f>ProFormaRevBuild!BW22</f>
        <v>6.3716831390071782E-2</v>
      </c>
      <c r="BX27" s="1927">
        <f>ProFormaRevBuild!BX22</f>
        <v>7.022300964112671E-2</v>
      </c>
      <c r="BY27" s="1927">
        <f>ProFormaRevBuild!BY22</f>
        <v>7.5706464866881484E-2</v>
      </c>
      <c r="BZ27" s="1927">
        <f>ProFormaRevBuild!BZ22</f>
        <v>7.6724625586982231E-2</v>
      </c>
      <c r="CA27" s="1928">
        <f>ProFormaRevBuild!CA22</f>
        <v>7.1914962987918774E-2</v>
      </c>
      <c r="CB27" s="1927">
        <f>ProFormaRevBuild!CB22</f>
        <v>0</v>
      </c>
      <c r="CC27" s="1926">
        <f>ProFormaRevBuild!CC22</f>
        <v>7.2098123715333529E-2</v>
      </c>
      <c r="CD27" s="1927">
        <f>ProFormaRevBuild!CD22</f>
        <v>7.414551930808666E-2</v>
      </c>
      <c r="CE27" s="1927">
        <f>ProFormaRevBuild!CE22</f>
        <v>7.1739492174721642E-2</v>
      </c>
      <c r="CF27" s="1927">
        <f>ProFormaRevBuild!CF22</f>
        <v>6.6658569242043608E-2</v>
      </c>
      <c r="CG27" s="1928">
        <f>ProFormaRevBuild!CG22</f>
        <v>7.0999974590042036E-2</v>
      </c>
      <c r="CH27" s="1927">
        <f>ProFormaRevBuild!CH22</f>
        <v>0</v>
      </c>
      <c r="CI27" s="1926">
        <f>ProFormaRevBuild!CI22</f>
        <v>5.367527687261564E-2</v>
      </c>
      <c r="CJ27" s="1927">
        <f>ProFormaRevBuild!CJ22</f>
        <v>5.3778306982475765E-2</v>
      </c>
      <c r="CK27" s="1927">
        <f>ProFormaRevBuild!CK22</f>
        <v>5.7624273319504704E-2</v>
      </c>
      <c r="CL27" s="1927">
        <f>ProFormaRevBuild!CL22</f>
        <v>5.6808205503407372E-2</v>
      </c>
      <c r="CM27" s="1928">
        <f>ProFormaRevBuild!CM22</f>
        <v>5.5553044167389931E-2</v>
      </c>
      <c r="CR27" s="226"/>
      <c r="CS27" s="1393" t="s">
        <v>397</v>
      </c>
      <c r="CT27" s="1394">
        <f>ProFormaRevBuild!AG140</f>
        <v>0.05</v>
      </c>
      <c r="CU27" s="1394">
        <f>ProFormaRevBuild!AH140</f>
        <v>-0.02</v>
      </c>
      <c r="CV27" s="1394">
        <f>ProFormaRevBuild!AI140</f>
        <v>0.02</v>
      </c>
      <c r="CW27" s="1394">
        <f>ProFormaRevBuild!AJ140</f>
        <v>-0.08</v>
      </c>
      <c r="CX27" s="1394">
        <f>ProFormaRevBuild!AM140</f>
        <v>-0.08</v>
      </c>
      <c r="CY27" s="1394">
        <f>ProFormaRevBuild!AN140</f>
        <v>0.02</v>
      </c>
      <c r="CZ27" s="1394">
        <f>ProFormaRevBuild!AO140</f>
        <v>-0.02</v>
      </c>
      <c r="DA27" s="1394">
        <f>ProFormaRevBuild!AP140</f>
        <v>0.08</v>
      </c>
      <c r="DB27" s="1394">
        <f>ProFormaRevBuild!AS140</f>
        <v>0</v>
      </c>
      <c r="DC27" s="1394">
        <f>ProFormaRevBuild!AT140</f>
        <v>-0.02</v>
      </c>
      <c r="DD27" s="1394">
        <f>ProFormaRevBuild!AU140</f>
        <v>0.02</v>
      </c>
      <c r="DE27" s="1394">
        <f>ProFormaRevBuild!AV140</f>
        <v>0.05</v>
      </c>
      <c r="DF27" s="1394">
        <f>ProFormaRevBuild!AY140</f>
        <v>0.03</v>
      </c>
      <c r="DG27" s="1394">
        <f>ProFormaRevBuild!AZ140</f>
        <v>0.03</v>
      </c>
      <c r="DH27" s="1394">
        <f>ProFormaRevBuild!BA140</f>
        <v>0.08</v>
      </c>
      <c r="DI27" s="1394">
        <f>ProFormaRevBuild!BB140</f>
        <v>0</v>
      </c>
      <c r="DJ27" s="1394">
        <f>ProFormaRevBuild!BE140</f>
        <v>0.05</v>
      </c>
      <c r="DK27" s="1394">
        <f>ProFormaRevBuild!BF140</f>
        <v>0.02</v>
      </c>
      <c r="DL27" s="1394">
        <f>ProFormaRevBuild!BG140</f>
        <v>-0.05</v>
      </c>
      <c r="DM27" s="1394">
        <f>ProFormaRevBuild!BH140</f>
        <v>0</v>
      </c>
      <c r="DN27" s="1394">
        <f>ProFormaRevBuild!BK140</f>
        <v>-2.9999999999999992E-3</v>
      </c>
      <c r="DO27" s="1394">
        <f>ProFormaRevBuild!BL140</f>
        <v>7.8000000000000014E-2</v>
      </c>
      <c r="DP27" s="1394">
        <f>ProFormaRevBuild!BM140</f>
        <v>-1.5000000000000003E-2</v>
      </c>
      <c r="DQ27" s="1394">
        <f>ProFormaRevBuild!BN140</f>
        <v>0.13500000000000001</v>
      </c>
    </row>
    <row r="28" spans="1:125" s="228" customFormat="1">
      <c r="A28" s="2302" t="s">
        <v>729</v>
      </c>
      <c r="B28" s="2303"/>
      <c r="C28" s="2304"/>
      <c r="D28" s="2305"/>
      <c r="E28" s="2305"/>
      <c r="F28" s="2305"/>
      <c r="G28" s="2306"/>
      <c r="H28" s="2307"/>
      <c r="I28" s="2304"/>
      <c r="J28" s="2305"/>
      <c r="K28" s="2305"/>
      <c r="L28" s="2305"/>
      <c r="M28" s="2306"/>
      <c r="N28" s="2308"/>
      <c r="O28" s="2309"/>
      <c r="P28" s="2310"/>
      <c r="Q28" s="2310"/>
      <c r="R28" s="2310"/>
      <c r="S28" s="2311"/>
      <c r="T28" s="2308"/>
      <c r="U28" s="2309"/>
      <c r="V28" s="2310"/>
      <c r="W28" s="2310"/>
      <c r="X28" s="2310"/>
      <c r="Y28" s="2311"/>
      <c r="Z28" s="2308"/>
      <c r="AA28" s="2309"/>
      <c r="AB28" s="2310"/>
      <c r="AC28" s="2310"/>
      <c r="AD28" s="2310"/>
      <c r="AE28" s="2311"/>
      <c r="AF28" s="2308"/>
      <c r="AG28" s="2312"/>
      <c r="AH28" s="2310"/>
      <c r="AI28" s="2310"/>
      <c r="AJ28" s="2310"/>
      <c r="AK28" s="2311"/>
      <c r="AL28" s="2308"/>
      <c r="AM28" s="2312"/>
      <c r="AN28" s="2310"/>
      <c r="AO28" s="2310"/>
      <c r="AP28" s="2310"/>
      <c r="AQ28" s="2311"/>
      <c r="AR28" s="2308"/>
      <c r="AS28" s="2312"/>
      <c r="AT28" s="2310"/>
      <c r="AU28" s="2310"/>
      <c r="AV28" s="2310"/>
      <c r="AW28" s="2311"/>
      <c r="AX28" s="2308"/>
      <c r="AY28" s="2312"/>
      <c r="AZ28" s="2310"/>
      <c r="BA28" s="2310"/>
      <c r="BB28" s="2310"/>
      <c r="BC28" s="2311"/>
      <c r="BD28" s="2308"/>
      <c r="BE28" s="2312"/>
      <c r="BF28" s="2310"/>
      <c r="BG28" s="2310"/>
      <c r="BH28" s="2310"/>
      <c r="BI28" s="2311"/>
      <c r="BJ28" s="2308"/>
      <c r="BK28" s="2312"/>
      <c r="BL28" s="2310"/>
      <c r="BM28" s="2310"/>
      <c r="BN28" s="2310"/>
      <c r="BO28" s="2311"/>
      <c r="BP28" s="2308"/>
      <c r="BQ28" s="2312"/>
      <c r="BR28" s="2310"/>
      <c r="BS28" s="2310"/>
      <c r="BT28" s="2310"/>
      <c r="BU28" s="2311"/>
      <c r="BV28" s="2310"/>
      <c r="BW28" s="2312">
        <f>BW26-(BW12*ProFormaRevBuild!BQ39)/ProFormaRevBuild!BQ15</f>
        <v>4.4921580912033576E-2</v>
      </c>
      <c r="BX28" s="2310">
        <f>BX26-(BX12*ProFormaRevBuild!BR39)/ProFormaRevBuild!BR15</f>
        <v>4.7150965591591987E-2</v>
      </c>
      <c r="BY28" s="2310">
        <f>BY26-(BY12*ProFormaRevBuild!BS39)/ProFormaRevBuild!BS15</f>
        <v>5.1960704298534388E-2</v>
      </c>
      <c r="BZ28" s="2310">
        <f>BZ26-(BZ12*ProFormaRevBuild!BT39)/ProFormaRevBuild!BT15</f>
        <v>5.4790886494304025E-2</v>
      </c>
      <c r="CA28" s="2311">
        <f>CA26-(CA12*ProFormaRevBuild!BU39)/ProFormaRevBuild!BU15</f>
        <v>4.995919872703012E-2</v>
      </c>
      <c r="CB28" s="2310"/>
      <c r="CC28" s="2312">
        <f>CC26-(CC12*ProFormaRevBuild!BW39)/ProFormaRevBuild!BW15</f>
        <v>4.6920362321159703E-2</v>
      </c>
      <c r="CD28" s="2310">
        <f>CD26-(CD12*ProFormaRevBuild!BX39)/ProFormaRevBuild!BX15</f>
        <v>4.3426537615725763E-2</v>
      </c>
      <c r="CE28" s="2310">
        <f>CE26-(CE12*ProFormaRevBuild!BY39)/ProFormaRevBuild!BY15</f>
        <v>4.0284662876068127E-2</v>
      </c>
      <c r="CF28" s="2310">
        <f>CF26-(CF12*ProFormaRevBuild!BZ39)/ProFormaRevBuild!BZ15</f>
        <v>3.7631509003493359E-2</v>
      </c>
      <c r="CG28" s="2311">
        <f>CG26-(CG12*ProFormaRevBuild!CA39)/ProFormaRevBuild!CA15</f>
        <v>4.1813391625339577E-2</v>
      </c>
      <c r="CH28" s="2310"/>
      <c r="CI28" s="2312">
        <f>CI26-(CI12*ProFormaRevBuild!CC39)/ProFormaRevBuild!CC15</f>
        <v>3.8551671028508802E-2</v>
      </c>
      <c r="CJ28" s="2310">
        <f>CJ26-(CJ12*ProFormaRevBuild!CD39)/ProFormaRevBuild!CD15</f>
        <v>3.5361409672750033E-2</v>
      </c>
      <c r="CK28" s="2310">
        <f>CK26-(CK12*ProFormaRevBuild!CE39)/ProFormaRevBuild!CE15</f>
        <v>3.8723878734020736E-2</v>
      </c>
      <c r="CL28" s="2310">
        <f>CL26-(CL12*ProFormaRevBuild!CF39)/ProFormaRevBuild!CF15</f>
        <v>3.9283513253785533E-2</v>
      </c>
      <c r="CM28" s="2311">
        <f>CM26-(CM12*ProFormaRevBuild!CG39)/ProFormaRevBuild!CG15</f>
        <v>3.8003470735610265E-2</v>
      </c>
      <c r="CR28" s="226"/>
      <c r="CS28" s="2231"/>
      <c r="CT28" s="1390"/>
      <c r="CU28" s="1390"/>
      <c r="CV28" s="1390"/>
      <c r="CW28" s="1390"/>
      <c r="CX28" s="1390"/>
      <c r="CY28" s="1390"/>
      <c r="CZ28" s="1390"/>
      <c r="DA28" s="1390"/>
      <c r="DB28" s="1390"/>
      <c r="DC28" s="1390"/>
      <c r="DD28" s="1390"/>
      <c r="DE28" s="1390"/>
      <c r="DF28" s="1390"/>
      <c r="DG28" s="1390"/>
      <c r="DH28" s="1390"/>
      <c r="DI28" s="1390"/>
      <c r="DJ28" s="1390"/>
      <c r="DK28" s="1390"/>
      <c r="DL28" s="1390"/>
      <c r="DM28" s="1390"/>
      <c r="DN28" s="1390"/>
      <c r="DO28" s="1390"/>
      <c r="DP28" s="1390"/>
      <c r="DQ28" s="1390"/>
    </row>
    <row r="29" spans="1:125" s="228" customFormat="1">
      <c r="A29" s="2313" t="s">
        <v>730</v>
      </c>
      <c r="B29" s="2314"/>
      <c r="C29" s="2315"/>
      <c r="D29" s="2316"/>
      <c r="E29" s="2316"/>
      <c r="F29" s="2316"/>
      <c r="G29" s="2317"/>
      <c r="H29" s="2318"/>
      <c r="I29" s="2315"/>
      <c r="J29" s="2316"/>
      <c r="K29" s="2316"/>
      <c r="L29" s="2316"/>
      <c r="M29" s="2317"/>
      <c r="N29" s="2319"/>
      <c r="O29" s="2320"/>
      <c r="P29" s="2321"/>
      <c r="Q29" s="2321"/>
      <c r="R29" s="2321"/>
      <c r="S29" s="2322"/>
      <c r="T29" s="2319"/>
      <c r="U29" s="2320"/>
      <c r="V29" s="2321"/>
      <c r="W29" s="2321"/>
      <c r="X29" s="2321"/>
      <c r="Y29" s="2322"/>
      <c r="Z29" s="2319"/>
      <c r="AA29" s="2320"/>
      <c r="AB29" s="2321"/>
      <c r="AC29" s="2321"/>
      <c r="AD29" s="2321"/>
      <c r="AE29" s="2322"/>
      <c r="AF29" s="2319"/>
      <c r="AG29" s="2323"/>
      <c r="AH29" s="2321"/>
      <c r="AI29" s="2321"/>
      <c r="AJ29" s="2321"/>
      <c r="AK29" s="2322"/>
      <c r="AL29" s="2319"/>
      <c r="AM29" s="2323"/>
      <c r="AN29" s="2321"/>
      <c r="AO29" s="2321"/>
      <c r="AP29" s="2321"/>
      <c r="AQ29" s="2322"/>
      <c r="AR29" s="2319"/>
      <c r="AS29" s="2323"/>
      <c r="AT29" s="2321"/>
      <c r="AU29" s="2321"/>
      <c r="AV29" s="2321"/>
      <c r="AW29" s="2322"/>
      <c r="AX29" s="2319"/>
      <c r="AY29" s="2323"/>
      <c r="AZ29" s="2321"/>
      <c r="BA29" s="2321"/>
      <c r="BB29" s="2321"/>
      <c r="BC29" s="2322"/>
      <c r="BD29" s="2319"/>
      <c r="BE29" s="2323"/>
      <c r="BF29" s="2321"/>
      <c r="BG29" s="2321"/>
      <c r="BH29" s="2321"/>
      <c r="BI29" s="2322"/>
      <c r="BJ29" s="2319"/>
      <c r="BK29" s="2323"/>
      <c r="BL29" s="2321"/>
      <c r="BM29" s="2321"/>
      <c r="BN29" s="2321"/>
      <c r="BO29" s="2322"/>
      <c r="BP29" s="2319"/>
      <c r="BQ29" s="2323"/>
      <c r="BR29" s="2321"/>
      <c r="BS29" s="2321"/>
      <c r="BT29" s="2321"/>
      <c r="BU29" s="2322"/>
      <c r="BV29" s="2321"/>
      <c r="BW29" s="2323">
        <f>BW26-((BW12*ProFormaRevBuild!BQ39)+(BW13*ProFormaRevBuild!BQ41)+(BW14*ProFormaRevBuild!BQ43))/ProFormaRevBuild!BQ15</f>
        <v>4.0431952889597944E-2</v>
      </c>
      <c r="BX29" s="2321">
        <f>BX26-((BX12*ProFormaRevBuild!BR39)+(BX13*ProFormaRevBuild!BR41)+(BX14*ProFormaRevBuild!BR43))/ProFormaRevBuild!BR15</f>
        <v>4.2485376435034895E-2</v>
      </c>
      <c r="BY29" s="2321">
        <f>BY26-((BY12*ProFormaRevBuild!BS39)+(BY13*ProFormaRevBuild!BS41)+(BY14*ProFormaRevBuild!BS43))/ProFormaRevBuild!BS15</f>
        <v>4.6688818982076628E-2</v>
      </c>
      <c r="BZ29" s="2321">
        <f>BZ26-((BZ12*ProFormaRevBuild!BT39)+(BZ13*ProFormaRevBuild!BT41)+(BZ14*ProFormaRevBuild!BT43))/ProFormaRevBuild!BT15</f>
        <v>4.9568972982667506E-2</v>
      </c>
      <c r="CA29" s="2322">
        <f>CA26-((CA12*ProFormaRevBuild!BU39)+(CA13*ProFormaRevBuild!BU41)+(CA14*ProFormaRevBuild!BU43))/ProFormaRevBuild!BU15</f>
        <v>4.5028809168877207E-2</v>
      </c>
      <c r="CB29" s="2321"/>
      <c r="CC29" s="2323">
        <f>CC26-((CC12*ProFormaRevBuild!BW39)+(CC13*ProFormaRevBuild!BW41)+(CC14*ProFormaRevBuild!BW43))/ProFormaRevBuild!BW15</f>
        <v>3.0289693816528865E-2</v>
      </c>
      <c r="CD29" s="2321">
        <f>CD26-((CD12*ProFormaRevBuild!BX39)+(CD13*ProFormaRevBuild!BX41)+(CD14*ProFormaRevBuild!BX43))/ProFormaRevBuild!BX15</f>
        <v>2.8974257490627223E-2</v>
      </c>
      <c r="CE29" s="2321">
        <f>CE26-((CE12*ProFormaRevBuild!BY39)+(CE13*ProFormaRevBuild!BY41)+(CE14*ProFormaRevBuild!BY43))/ProFormaRevBuild!BY15</f>
        <v>2.8805770284392108E-2</v>
      </c>
      <c r="CF29" s="2321">
        <f>CF26-((CF12*ProFormaRevBuild!BZ39)+(CF13*ProFormaRevBuild!BZ41)+(CF14*ProFormaRevBuild!BZ43))/ProFormaRevBuild!BZ15</f>
        <v>2.9386879250321553E-2</v>
      </c>
      <c r="CG29" s="2322">
        <f>CG26-((CG12*ProFormaRevBuild!CA39)+(CG13*ProFormaRevBuild!CA41)+(CG14*ProFormaRevBuild!CA43))/ProFormaRevBuild!CA15</f>
        <v>2.9342636031539138E-2</v>
      </c>
      <c r="CH29" s="2321"/>
      <c r="CI29" s="2323">
        <f>CI26-((CI12*ProFormaRevBuild!CC39)+(CI13*ProFormaRevBuild!CC41)+(CI14*ProFormaRevBuild!CC43))/ProFormaRevBuild!CC15</f>
        <v>2.9545045740585849E-2</v>
      </c>
      <c r="CJ29" s="2321">
        <f>CJ26-((CJ12*ProFormaRevBuild!CD39)+(CJ13*ProFormaRevBuild!CD41)+(CJ14*ProFormaRevBuild!CD43))/ProFormaRevBuild!CD15</f>
        <v>2.8200840367740846E-2</v>
      </c>
      <c r="CK29" s="2321">
        <f>CK26-((CK12*ProFormaRevBuild!CE39)+(CK13*ProFormaRevBuild!CE41)+(CK14*ProFormaRevBuild!CE43))/ProFormaRevBuild!CE15</f>
        <v>2.8130366859258914E-2</v>
      </c>
      <c r="CL29" s="2321">
        <f>CL26-((CL12*ProFormaRevBuild!CF39)+(CL13*ProFormaRevBuild!CF41)+(CL14*ProFormaRevBuild!CF43))/ProFormaRevBuild!CF15</f>
        <v>2.8839507177407991E-2</v>
      </c>
      <c r="CM29" s="2322">
        <f>CM26-((CM12*ProFormaRevBuild!CG39)+(CM13*ProFormaRevBuild!CG41)+(CM14*ProFormaRevBuild!CG43))/ProFormaRevBuild!CG15</f>
        <v>2.8662652583315205E-2</v>
      </c>
      <c r="CR29" s="226"/>
      <c r="CS29" s="2231"/>
      <c r="CT29" s="1390"/>
      <c r="CU29" s="1390"/>
      <c r="CV29" s="1390"/>
      <c r="CW29" s="1390"/>
      <c r="CX29" s="1390"/>
      <c r="CY29" s="1390"/>
      <c r="CZ29" s="1390"/>
      <c r="DA29" s="1390"/>
      <c r="DB29" s="1390"/>
      <c r="DC29" s="1390"/>
      <c r="DD29" s="1390"/>
      <c r="DE29" s="1390"/>
      <c r="DF29" s="1390"/>
      <c r="DG29" s="1390"/>
      <c r="DH29" s="1390"/>
      <c r="DI29" s="1390"/>
      <c r="DJ29" s="1390"/>
      <c r="DK29" s="1390"/>
      <c r="DL29" s="1390"/>
      <c r="DM29" s="1390"/>
      <c r="DN29" s="1390"/>
      <c r="DO29" s="1390"/>
      <c r="DP29" s="1390"/>
      <c r="DQ29" s="1390"/>
    </row>
    <row r="30" spans="1:125">
      <c r="A30" s="454"/>
      <c r="B30" s="454"/>
      <c r="C30" s="454"/>
      <c r="D30" s="454"/>
      <c r="E30" s="454"/>
      <c r="F30" s="454"/>
      <c r="G30" s="454"/>
      <c r="H30" s="454"/>
      <c r="I30" s="454"/>
      <c r="J30" s="454"/>
      <c r="K30" s="454"/>
      <c r="L30" s="454"/>
      <c r="M30" s="454"/>
      <c r="N30" s="454"/>
      <c r="O30" s="454"/>
      <c r="P30" s="454"/>
      <c r="Q30" s="454"/>
      <c r="R30" s="454"/>
      <c r="S30" s="454"/>
      <c r="T30" s="454"/>
      <c r="U30" s="454"/>
      <c r="V30" s="454"/>
      <c r="W30" s="454"/>
      <c r="X30" s="454"/>
      <c r="Y30" s="454"/>
      <c r="Z30" s="454"/>
      <c r="AA30" s="454"/>
      <c r="AB30" s="454"/>
      <c r="AC30" s="454"/>
      <c r="AD30" s="454"/>
      <c r="AE30" s="454"/>
      <c r="AF30" s="454"/>
      <c r="AG30" s="454"/>
      <c r="AH30" s="454"/>
      <c r="AI30" s="454"/>
      <c r="AJ30" s="454"/>
      <c r="AK30" s="454"/>
      <c r="AL30" s="454"/>
      <c r="AM30" s="454"/>
      <c r="AN30" s="454"/>
      <c r="AO30" s="454"/>
      <c r="AP30" s="454"/>
      <c r="AQ30" s="454"/>
      <c r="AR30" s="454"/>
      <c r="AS30" s="454"/>
      <c r="AT30" s="454"/>
      <c r="AU30" s="454"/>
      <c r="AV30" s="454"/>
      <c r="AW30" s="454"/>
      <c r="AX30" s="454"/>
      <c r="AY30" s="454"/>
      <c r="AZ30" s="454"/>
      <c r="BA30" s="454"/>
      <c r="BB30" s="454"/>
      <c r="BC30" s="454"/>
      <c r="BD30" s="454"/>
      <c r="BE30" s="454"/>
      <c r="BF30" s="454"/>
      <c r="BG30" s="454"/>
      <c r="BH30" s="454"/>
      <c r="BI30" s="454"/>
      <c r="BJ30" s="454"/>
      <c r="BK30" s="454"/>
      <c r="BL30" s="454"/>
      <c r="BM30" s="454"/>
      <c r="BN30" s="454"/>
      <c r="BO30" s="454"/>
      <c r="BP30" s="454"/>
      <c r="BQ30" s="454"/>
      <c r="BR30" s="454"/>
      <c r="BS30" s="454"/>
      <c r="BT30" s="454"/>
      <c r="BU30" s="454"/>
      <c r="BV30" s="454"/>
      <c r="BW30" s="454"/>
      <c r="BX30" s="454"/>
      <c r="BY30" s="454"/>
      <c r="BZ30" s="454"/>
      <c r="CA30" s="454"/>
      <c r="CB30" s="454"/>
      <c r="CC30" s="454"/>
      <c r="CD30" s="454"/>
      <c r="CE30" s="454"/>
      <c r="CF30" s="454"/>
      <c r="CG30" s="454"/>
      <c r="CH30" s="454"/>
      <c r="CI30" s="454"/>
      <c r="CJ30" s="454"/>
      <c r="CK30" s="454"/>
      <c r="CL30" s="454"/>
      <c r="CM30" s="454"/>
      <c r="CN30" s="454"/>
      <c r="CO30" s="454"/>
      <c r="CP30" s="454"/>
      <c r="CQ30" s="454"/>
    </row>
    <row r="31" spans="1:125" ht="12.75">
      <c r="A31" s="1003" t="s">
        <v>218</v>
      </c>
      <c r="B31" s="1004"/>
      <c r="C31" s="1018"/>
      <c r="D31" s="1004"/>
      <c r="E31" s="1004"/>
      <c r="F31" s="1004"/>
      <c r="G31" s="1019"/>
      <c r="H31" s="1004"/>
      <c r="I31" s="1018"/>
      <c r="J31" s="1004"/>
      <c r="K31" s="1004"/>
      <c r="L31" s="1004"/>
      <c r="M31" s="1019"/>
      <c r="N31" s="1004"/>
      <c r="O31" s="1018"/>
      <c r="P31" s="1004"/>
      <c r="Q31" s="1004"/>
      <c r="R31" s="1004"/>
      <c r="S31" s="1019"/>
      <c r="T31" s="1004"/>
      <c r="U31" s="1018"/>
      <c r="V31" s="1004"/>
      <c r="W31" s="1004"/>
      <c r="X31" s="1004"/>
      <c r="Y31" s="1019"/>
      <c r="Z31" s="1004"/>
      <c r="AA31" s="1018"/>
      <c r="AB31" s="1004"/>
      <c r="AC31" s="1004"/>
      <c r="AD31" s="1004"/>
      <c r="AE31" s="1019"/>
      <c r="AF31" s="1004"/>
      <c r="AG31" s="1018"/>
      <c r="AH31" s="1004"/>
      <c r="AI31" s="1004"/>
      <c r="AJ31" s="1004"/>
      <c r="AK31" s="1019"/>
      <c r="AL31" s="1004"/>
      <c r="AM31" s="1018"/>
      <c r="AN31" s="1004"/>
      <c r="AO31" s="1004"/>
      <c r="AP31" s="1004"/>
      <c r="AQ31" s="1019"/>
      <c r="AR31" s="1004"/>
      <c r="AS31" s="1018"/>
      <c r="AT31" s="1004"/>
      <c r="AU31" s="1004"/>
      <c r="AV31" s="1004"/>
      <c r="AW31" s="1019"/>
      <c r="AX31" s="1004"/>
      <c r="AY31" s="1018"/>
      <c r="AZ31" s="1004"/>
      <c r="BA31" s="1004"/>
      <c r="BB31" s="1004"/>
      <c r="BC31" s="1019"/>
      <c r="BD31" s="1004"/>
      <c r="BE31" s="1018"/>
      <c r="BF31" s="1004"/>
      <c r="BG31" s="1004"/>
      <c r="BH31" s="1004"/>
      <c r="BI31" s="1019"/>
      <c r="BJ31" s="1004"/>
      <c r="BK31" s="1018"/>
      <c r="BL31" s="1004"/>
      <c r="BM31" s="1004"/>
      <c r="BN31" s="1004"/>
      <c r="BO31" s="1019"/>
      <c r="BP31" s="1004"/>
      <c r="BQ31" s="1018"/>
      <c r="BR31" s="1004"/>
      <c r="BS31" s="1004"/>
      <c r="BT31" s="1004"/>
      <c r="BU31" s="1019"/>
      <c r="BV31" s="1004"/>
      <c r="BW31" s="1018"/>
      <c r="BX31" s="1004"/>
      <c r="BY31" s="1004"/>
      <c r="BZ31" s="1004"/>
      <c r="CA31" s="1019"/>
      <c r="CB31" s="1004"/>
      <c r="CC31" s="1018"/>
      <c r="CD31" s="1004"/>
      <c r="CE31" s="1004"/>
      <c r="CF31" s="1004"/>
      <c r="CG31" s="1019"/>
      <c r="CH31" s="1004"/>
      <c r="CI31" s="1018"/>
      <c r="CJ31" s="1004"/>
      <c r="CK31" s="1004"/>
      <c r="CL31" s="1004"/>
      <c r="CM31" s="1019"/>
      <c r="CR31" s="228"/>
      <c r="CS31" s="469" t="s">
        <v>465</v>
      </c>
      <c r="CT31" s="168"/>
      <c r="CU31" s="168"/>
      <c r="CV31" s="168"/>
      <c r="CW31" s="168"/>
      <c r="CX31" s="168"/>
      <c r="CY31" s="168"/>
      <c r="CZ31" s="168"/>
      <c r="DA31" s="168"/>
      <c r="DB31" s="168"/>
      <c r="DC31" s="168"/>
      <c r="DD31" s="168"/>
      <c r="DE31" s="168"/>
    </row>
    <row r="32" spans="1:125">
      <c r="A32" s="993" t="s">
        <v>208</v>
      </c>
      <c r="C32" s="1458"/>
      <c r="D32" s="209"/>
      <c r="E32" s="209"/>
      <c r="F32" s="209"/>
      <c r="G32" s="781"/>
      <c r="I32" s="1458"/>
      <c r="J32" s="209"/>
      <c r="K32" s="209"/>
      <c r="L32" s="209"/>
      <c r="M32" s="781"/>
      <c r="O32" s="1458"/>
      <c r="P32" s="209"/>
      <c r="Q32" s="209"/>
      <c r="R32" s="209"/>
      <c r="S32" s="781"/>
      <c r="U32" s="1458"/>
      <c r="V32" s="209"/>
      <c r="W32" s="209"/>
      <c r="X32" s="209"/>
      <c r="Y32" s="781"/>
      <c r="AA32" s="1458"/>
      <c r="AB32" s="209"/>
      <c r="AC32" s="209"/>
      <c r="AD32" s="209"/>
      <c r="AE32" s="781"/>
      <c r="AG32" s="1458"/>
      <c r="AH32" s="209"/>
      <c r="AI32" s="209"/>
      <c r="AJ32" s="209"/>
      <c r="AK32" s="781"/>
      <c r="AM32" s="1458"/>
      <c r="AN32" s="209"/>
      <c r="AO32" s="209"/>
      <c r="AP32" s="209"/>
      <c r="AQ32" s="781"/>
      <c r="AS32" s="1458"/>
      <c r="AT32" s="209"/>
      <c r="AU32" s="209"/>
      <c r="AV32" s="209"/>
      <c r="AW32" s="781"/>
      <c r="AY32" s="1458"/>
      <c r="AZ32" s="209"/>
      <c r="BA32" s="209"/>
      <c r="BB32" s="209"/>
      <c r="BC32" s="781"/>
      <c r="BE32" s="1458"/>
      <c r="BF32" s="209"/>
      <c r="BG32" s="209"/>
      <c r="BH32" s="209"/>
      <c r="BI32" s="781"/>
      <c r="BK32" s="1458"/>
      <c r="BL32" s="209"/>
      <c r="BM32" s="209"/>
      <c r="BN32" s="209"/>
      <c r="BO32" s="781"/>
      <c r="BQ32" s="1458"/>
      <c r="BR32" s="209"/>
      <c r="BS32" s="209"/>
      <c r="BT32" s="209"/>
      <c r="BU32" s="781"/>
      <c r="BW32" s="1458"/>
      <c r="BX32" s="209"/>
      <c r="BY32" s="209"/>
      <c r="BZ32" s="209"/>
      <c r="CA32" s="781"/>
      <c r="CC32" s="1458"/>
      <c r="CD32" s="209"/>
      <c r="CE32" s="209"/>
      <c r="CF32" s="209"/>
      <c r="CG32" s="781"/>
      <c r="CI32" s="1458"/>
      <c r="CJ32" s="209"/>
      <c r="CK32" s="209"/>
      <c r="CL32" s="209"/>
      <c r="CM32" s="781"/>
      <c r="CR32" s="228"/>
      <c r="CS32" s="1387"/>
      <c r="CT32" s="1388" t="s">
        <v>461</v>
      </c>
      <c r="CU32" s="1388" t="s">
        <v>78</v>
      </c>
      <c r="CV32" s="1388" t="s">
        <v>72</v>
      </c>
      <c r="CW32" s="1388" t="s">
        <v>71</v>
      </c>
      <c r="CX32" s="1388" t="s">
        <v>63</v>
      </c>
      <c r="CY32" s="1388" t="s">
        <v>69</v>
      </c>
      <c r="CZ32" s="1388" t="s">
        <v>57</v>
      </c>
      <c r="DA32" s="1388" t="s">
        <v>68</v>
      </c>
      <c r="DB32" s="1388" t="s">
        <v>64</v>
      </c>
      <c r="DC32" s="1388" t="s">
        <v>462</v>
      </c>
      <c r="DD32" s="1388" t="s">
        <v>463</v>
      </c>
      <c r="DE32" s="1388" t="s">
        <v>464</v>
      </c>
      <c r="DF32" s="1388" t="s">
        <v>492</v>
      </c>
      <c r="DG32" s="1388" t="str">
        <f t="shared" ref="DG32:DQ32" si="13">+DG6</f>
        <v>2Q15</v>
      </c>
      <c r="DH32" s="1388" t="str">
        <f t="shared" si="13"/>
        <v>3Q15</v>
      </c>
      <c r="DI32" s="1388" t="str">
        <f t="shared" si="13"/>
        <v>4Q15</v>
      </c>
      <c r="DJ32" s="1388" t="str">
        <f t="shared" si="13"/>
        <v>1Q16</v>
      </c>
      <c r="DK32" s="1388" t="str">
        <f t="shared" si="13"/>
        <v>2Q16</v>
      </c>
      <c r="DL32" s="1388" t="str">
        <f t="shared" si="13"/>
        <v>3Q16</v>
      </c>
      <c r="DM32" s="1388" t="str">
        <f t="shared" si="13"/>
        <v>4Q16</v>
      </c>
      <c r="DN32" s="1388" t="str">
        <f t="shared" si="13"/>
        <v>1Q17</v>
      </c>
      <c r="DO32" s="1388" t="str">
        <f t="shared" si="13"/>
        <v>2Q17</v>
      </c>
      <c r="DP32" s="1388" t="str">
        <f t="shared" si="13"/>
        <v>3Q17</v>
      </c>
      <c r="DQ32" s="1388" t="str">
        <f t="shared" si="13"/>
        <v>4Q17</v>
      </c>
    </row>
    <row r="33" spans="1:150" hidden="1" outlineLevel="1">
      <c r="A33" s="897" t="s">
        <v>209</v>
      </c>
      <c r="B33" s="454"/>
      <c r="C33" s="780"/>
      <c r="D33" s="454"/>
      <c r="E33" s="454"/>
      <c r="F33" s="454"/>
      <c r="G33" s="781"/>
      <c r="H33" s="454"/>
      <c r="I33" s="780"/>
      <c r="J33" s="454"/>
      <c r="K33" s="454"/>
      <c r="L33" s="454"/>
      <c r="M33" s="781"/>
      <c r="N33" s="454"/>
      <c r="O33" s="780"/>
      <c r="P33" s="454"/>
      <c r="Q33" s="454"/>
      <c r="R33" s="454"/>
      <c r="S33" s="781"/>
      <c r="T33" s="454"/>
      <c r="U33" s="780"/>
      <c r="V33" s="454"/>
      <c r="W33" s="454"/>
      <c r="X33" s="454"/>
      <c r="Y33" s="781"/>
      <c r="Z33" s="454"/>
      <c r="AA33" s="780"/>
      <c r="AB33" s="454"/>
      <c r="AC33" s="454"/>
      <c r="AD33" s="454"/>
      <c r="AE33" s="781"/>
      <c r="AF33" s="454"/>
      <c r="AG33" s="780">
        <f t="shared" ref="AG33:AK36" si="14">AG8+AA8</f>
        <v>0.15337649955316279</v>
      </c>
      <c r="AH33" s="454">
        <f t="shared" si="14"/>
        <v>8.5705275810249087E-2</v>
      </c>
      <c r="AI33" s="454">
        <f t="shared" si="14"/>
        <v>0.12913541698611927</v>
      </c>
      <c r="AJ33" s="454">
        <f t="shared" si="14"/>
        <v>1.4419590576211774E-2</v>
      </c>
      <c r="AK33" s="781">
        <f t="shared" si="14"/>
        <v>9.3970131013644903E-2</v>
      </c>
      <c r="AL33" s="454"/>
      <c r="AM33" s="780">
        <f t="shared" ref="AM33:AQ36" si="15">AM8+AG8</f>
        <v>0.20337649955316278</v>
      </c>
      <c r="AN33" s="454">
        <f t="shared" si="15"/>
        <v>0.10670527581024908</v>
      </c>
      <c r="AO33" s="454">
        <f t="shared" si="15"/>
        <v>0.15313541698611927</v>
      </c>
      <c r="AP33" s="454">
        <f t="shared" si="15"/>
        <v>8.4419590576211775E-2</v>
      </c>
      <c r="AQ33" s="781">
        <f t="shared" si="15"/>
        <v>0.1352104597183936</v>
      </c>
      <c r="AR33" s="454"/>
      <c r="AS33" s="780">
        <f t="shared" ref="AS33:AW36" si="16">AS8+AM8</f>
        <v>5.6000000000000001E-2</v>
      </c>
      <c r="AT33" s="454">
        <f t="shared" si="16"/>
        <v>2.6899999999999997E-2</v>
      </c>
      <c r="AU33" s="454">
        <f t="shared" si="16"/>
        <v>0.17699999999999999</v>
      </c>
      <c r="AV33" s="454">
        <f t="shared" si="16"/>
        <v>0.19600000000000001</v>
      </c>
      <c r="AW33" s="781">
        <f t="shared" si="16"/>
        <v>0.1152350135224339</v>
      </c>
      <c r="AX33" s="454"/>
      <c r="AY33" s="780">
        <f t="shared" ref="AY33:BC36" si="17">AY8+AS8</f>
        <v>9.5000000000000001E-2</v>
      </c>
      <c r="AZ33" s="454">
        <f t="shared" si="17"/>
        <v>7.1900000000000006E-2</v>
      </c>
      <c r="BA33" s="454">
        <f t="shared" si="17"/>
        <v>0.16299999999999998</v>
      </c>
      <c r="BB33" s="454">
        <f t="shared" si="17"/>
        <v>0.19860663056537603</v>
      </c>
      <c r="BC33" s="781">
        <f t="shared" si="17"/>
        <v>0.1333963424590292</v>
      </c>
      <c r="BD33" s="454"/>
      <c r="BE33" s="780">
        <f t="shared" ref="BE33:BI34" si="18">BE8+AY8</f>
        <v>0.25913860938415628</v>
      </c>
      <c r="BF33" s="454">
        <f t="shared" si="18"/>
        <v>0.26815652545128466</v>
      </c>
      <c r="BG33" s="454">
        <f t="shared" si="18"/>
        <v>0.17573217154722481</v>
      </c>
      <c r="BH33" s="454">
        <f t="shared" si="18"/>
        <v>0.22937016183311532</v>
      </c>
      <c r="BI33" s="781">
        <f t="shared" si="18"/>
        <v>0.23309936705394527</v>
      </c>
      <c r="BJ33" s="454"/>
      <c r="BK33" s="780">
        <f t="shared" ref="BK33:BO34" si="19">BK8+BE8</f>
        <v>0.28035451553555707</v>
      </c>
      <c r="BL33" s="454">
        <f t="shared" si="19"/>
        <v>0.21883505659646041</v>
      </c>
      <c r="BM33" s="454">
        <f t="shared" si="19"/>
        <v>0.17115868521911265</v>
      </c>
      <c r="BN33" s="454">
        <f t="shared" si="19"/>
        <v>0.18741222420822795</v>
      </c>
      <c r="BO33" s="781">
        <f t="shared" si="19"/>
        <v>0.21444012038983953</v>
      </c>
      <c r="BP33" s="454"/>
      <c r="BQ33" s="780">
        <f t="shared" ref="BQ33:BU34" si="20">BQ8+BK8</f>
        <v>0.13477368317701008</v>
      </c>
      <c r="BR33" s="454">
        <f t="shared" si="20"/>
        <v>0.11624811467295555</v>
      </c>
      <c r="BS33" s="454">
        <f t="shared" si="20"/>
        <v>9.3077118278073773E-2</v>
      </c>
      <c r="BT33" s="454">
        <f t="shared" si="20"/>
        <v>0.16885487530976184</v>
      </c>
      <c r="BU33" s="781">
        <f t="shared" si="20"/>
        <v>0.12823844785945032</v>
      </c>
      <c r="BV33" s="454"/>
      <c r="BW33" s="780">
        <f t="shared" ref="BW33:CA34" si="21">BW8+BQ8</f>
        <v>9.4557777025609288E-2</v>
      </c>
      <c r="BX33" s="454">
        <f t="shared" si="21"/>
        <v>0.16956958352777979</v>
      </c>
      <c r="BY33" s="454">
        <f t="shared" si="21"/>
        <v>0.15765060460618593</v>
      </c>
      <c r="BZ33" s="454">
        <f t="shared" si="21"/>
        <v>0.20820618236927321</v>
      </c>
      <c r="CA33" s="781">
        <f t="shared" si="21"/>
        <v>0.15749603688221211</v>
      </c>
      <c r="CB33" s="454"/>
      <c r="CC33" s="780">
        <f t="shared" ref="CC33:CG34" si="22">CC8+BW8</f>
        <v>0.14000000000000001</v>
      </c>
      <c r="CD33" s="454">
        <f t="shared" si="22"/>
        <v>0.14000000000000001</v>
      </c>
      <c r="CE33" s="454">
        <f t="shared" si="22"/>
        <v>0.14000000000000001</v>
      </c>
      <c r="CF33" s="454">
        <f t="shared" si="22"/>
        <v>0.14000000000000001</v>
      </c>
      <c r="CG33" s="781">
        <f t="shared" si="22"/>
        <v>0.1399999999999999</v>
      </c>
      <c r="CH33" s="454"/>
      <c r="CI33" s="780">
        <f t="shared" ref="CI33:CM34" si="23">CI8+CC8</f>
        <v>0.14000000000000001</v>
      </c>
      <c r="CJ33" s="454">
        <f t="shared" si="23"/>
        <v>0.14000000000000001</v>
      </c>
      <c r="CK33" s="454">
        <f t="shared" si="23"/>
        <v>0.14000000000000001</v>
      </c>
      <c r="CL33" s="454">
        <f t="shared" si="23"/>
        <v>0.14000000000000001</v>
      </c>
      <c r="CM33" s="781">
        <f t="shared" si="23"/>
        <v>0.1399999999999999</v>
      </c>
      <c r="CR33" s="228"/>
      <c r="CS33" s="1389" t="str">
        <f>CS24</f>
        <v>Americas</v>
      </c>
      <c r="CT33" s="1390"/>
      <c r="CU33" s="1390"/>
      <c r="CV33" s="1390"/>
      <c r="CW33" s="1390"/>
      <c r="CX33" s="1390">
        <f t="shared" ref="CX33:DG36" si="24">+CX24+CT24</f>
        <v>0.04</v>
      </c>
      <c r="CY33" s="1390">
        <f t="shared" si="24"/>
        <v>0.06</v>
      </c>
      <c r="CZ33" s="1390">
        <f t="shared" si="24"/>
        <v>7.0000000000000007E-2</v>
      </c>
      <c r="DA33" s="1390">
        <f t="shared" si="24"/>
        <v>0.06</v>
      </c>
      <c r="DB33" s="1390">
        <f t="shared" si="24"/>
        <v>7.0000000000000007E-2</v>
      </c>
      <c r="DC33" s="1390">
        <f t="shared" si="24"/>
        <v>3.0000000000000002E-2</v>
      </c>
      <c r="DD33" s="1390">
        <f t="shared" si="24"/>
        <v>0.1</v>
      </c>
      <c r="DE33" s="1390">
        <f t="shared" si="24"/>
        <v>0.06</v>
      </c>
      <c r="DF33" s="1390">
        <f t="shared" si="24"/>
        <v>0.1</v>
      </c>
      <c r="DG33" s="1390">
        <f t="shared" si="24"/>
        <v>0.1</v>
      </c>
      <c r="DH33" s="1390">
        <f t="shared" ref="DH33:DQ36" si="25">+DH24+DD24</f>
        <v>0.1</v>
      </c>
      <c r="DI33" s="1390">
        <f t="shared" si="25"/>
        <v>0.1</v>
      </c>
      <c r="DJ33" s="1390">
        <f t="shared" si="25"/>
        <v>7.0000000000000007E-2</v>
      </c>
      <c r="DK33" s="1390">
        <f t="shared" si="25"/>
        <v>3.0000000000000002E-2</v>
      </c>
      <c r="DL33" s="1390">
        <f t="shared" si="25"/>
        <v>0</v>
      </c>
      <c r="DM33" s="1390">
        <f t="shared" si="25"/>
        <v>-9.9999999999999985E-3</v>
      </c>
      <c r="DN33" s="1390">
        <f t="shared" si="25"/>
        <v>0</v>
      </c>
      <c r="DO33" s="1390">
        <f t="shared" si="25"/>
        <v>3.0000000000000002E-2</v>
      </c>
      <c r="DP33" s="1390">
        <f t="shared" si="25"/>
        <v>0</v>
      </c>
      <c r="DQ33" s="1390">
        <f t="shared" si="25"/>
        <v>-9.9999999999999985E-3</v>
      </c>
    </row>
    <row r="34" spans="1:150" hidden="1" outlineLevel="1">
      <c r="A34" s="897" t="s">
        <v>211</v>
      </c>
      <c r="B34" s="454"/>
      <c r="C34" s="780"/>
      <c r="D34" s="454"/>
      <c r="E34" s="454"/>
      <c r="F34" s="454"/>
      <c r="G34" s="781"/>
      <c r="H34" s="454"/>
      <c r="I34" s="780"/>
      <c r="J34" s="454"/>
      <c r="K34" s="454"/>
      <c r="L34" s="454"/>
      <c r="M34" s="781"/>
      <c r="N34" s="454"/>
      <c r="O34" s="780"/>
      <c r="P34" s="454"/>
      <c r="Q34" s="454"/>
      <c r="R34" s="454"/>
      <c r="S34" s="781"/>
      <c r="T34" s="454"/>
      <c r="U34" s="780"/>
      <c r="V34" s="454"/>
      <c r="W34" s="454"/>
      <c r="X34" s="454"/>
      <c r="Y34" s="781"/>
      <c r="Z34" s="454"/>
      <c r="AA34" s="780"/>
      <c r="AB34" s="454"/>
      <c r="AC34" s="454"/>
      <c r="AD34" s="454"/>
      <c r="AE34" s="781"/>
      <c r="AF34" s="454"/>
      <c r="AG34" s="780">
        <f t="shared" si="14"/>
        <v>6.0000000000000005E-2</v>
      </c>
      <c r="AH34" s="454">
        <f t="shared" si="14"/>
        <v>5.1000000000000004E-2</v>
      </c>
      <c r="AI34" s="454">
        <f t="shared" si="14"/>
        <v>3.9E-2</v>
      </c>
      <c r="AJ34" s="454">
        <f t="shared" si="14"/>
        <v>8.9999999999999993E-3</v>
      </c>
      <c r="AK34" s="781">
        <f t="shared" si="14"/>
        <v>4.2028169014084439E-2</v>
      </c>
      <c r="AL34" s="454"/>
      <c r="AM34" s="780">
        <f t="shared" si="15"/>
        <v>4.6000000000000006E-2</v>
      </c>
      <c r="AN34" s="454">
        <f t="shared" si="15"/>
        <v>6.2E-2</v>
      </c>
      <c r="AO34" s="454">
        <f t="shared" si="15"/>
        <v>5.2999999999999999E-2</v>
      </c>
      <c r="AP34" s="454">
        <f t="shared" si="15"/>
        <v>-3.2000000000000001E-2</v>
      </c>
      <c r="AQ34" s="781">
        <f t="shared" si="15"/>
        <v>3.6099096087934476E-2</v>
      </c>
      <c r="AR34" s="454"/>
      <c r="AS34" s="780">
        <f t="shared" si="16"/>
        <v>-5.2999999999999999E-2</v>
      </c>
      <c r="AT34" s="454">
        <f t="shared" si="16"/>
        <v>6.9900000000000004E-2</v>
      </c>
      <c r="AU34" s="454">
        <f t="shared" si="16"/>
        <v>2.7E-2</v>
      </c>
      <c r="AV34" s="454">
        <f t="shared" si="16"/>
        <v>9.9000000000000005E-2</v>
      </c>
      <c r="AW34" s="781">
        <f t="shared" si="16"/>
        <v>3.5274551238335422E-2</v>
      </c>
      <c r="AX34" s="454"/>
      <c r="AY34" s="780">
        <f t="shared" si="17"/>
        <v>-4.8656136800304887E-2</v>
      </c>
      <c r="AZ34" s="454">
        <f t="shared" si="17"/>
        <v>0.10366915139862209</v>
      </c>
      <c r="BA34" s="454">
        <f t="shared" si="17"/>
        <v>-0.13575613521985508</v>
      </c>
      <c r="BB34" s="454">
        <f t="shared" si="17"/>
        <v>5.9247460128295459E-2</v>
      </c>
      <c r="BC34" s="781">
        <f t="shared" si="17"/>
        <v>-7.3952909588252264E-3</v>
      </c>
      <c r="BD34" s="454"/>
      <c r="BE34" s="780">
        <f t="shared" si="18"/>
        <v>1.7584579879628748E-2</v>
      </c>
      <c r="BF34" s="454">
        <f t="shared" si="18"/>
        <v>4.1691337600952984E-2</v>
      </c>
      <c r="BG34" s="454">
        <f t="shared" si="18"/>
        <v>-9.036885723193315E-2</v>
      </c>
      <c r="BH34" s="454">
        <f t="shared" si="18"/>
        <v>-4.4027281807454632E-2</v>
      </c>
      <c r="BI34" s="781">
        <f t="shared" si="18"/>
        <v>-1.8780055389701514E-2</v>
      </c>
      <c r="BJ34" s="454"/>
      <c r="BK34" s="780">
        <f t="shared" si="19"/>
        <v>3.5291552604308024E-2</v>
      </c>
      <c r="BL34" s="454">
        <f t="shared" si="19"/>
        <v>2.2175384268018468E-2</v>
      </c>
      <c r="BM34" s="454">
        <f t="shared" si="19"/>
        <v>3.9387277987921937E-2</v>
      </c>
      <c r="BN34" s="454">
        <f t="shared" si="19"/>
        <v>1.8725258064249919E-2</v>
      </c>
      <c r="BO34" s="781">
        <f t="shared" si="19"/>
        <v>2.8894868231124585E-2</v>
      </c>
      <c r="BP34" s="454"/>
      <c r="BQ34" s="780">
        <f t="shared" si="20"/>
        <v>-4.2486668226617216E-2</v>
      </c>
      <c r="BR34" s="454">
        <f t="shared" si="20"/>
        <v>-1.517721840653264E-2</v>
      </c>
      <c r="BS34" s="454">
        <f t="shared" si="20"/>
        <v>-6.1349395393814073E-2</v>
      </c>
      <c r="BT34" s="454">
        <f t="shared" si="20"/>
        <v>-3.9793817630726813E-2</v>
      </c>
      <c r="BU34" s="781">
        <f t="shared" si="20"/>
        <v>-3.8290011722231357E-2</v>
      </c>
      <c r="BV34" s="454"/>
      <c r="BW34" s="780">
        <f t="shared" si="21"/>
        <v>-8.0537504150991604E-2</v>
      </c>
      <c r="BX34" s="454">
        <f t="shared" si="21"/>
        <v>-7.0430416472220217E-2</v>
      </c>
      <c r="BY34" s="454">
        <f t="shared" si="21"/>
        <v>-7.2349395393814075E-2</v>
      </c>
      <c r="BZ34" s="454">
        <f t="shared" si="21"/>
        <v>-5.179381763072681E-2</v>
      </c>
      <c r="CA34" s="781">
        <f t="shared" si="21"/>
        <v>-6.7366020219746761E-2</v>
      </c>
      <c r="CB34" s="454"/>
      <c r="CC34" s="780">
        <f t="shared" si="22"/>
        <v>-9.9999999999999985E-3</v>
      </c>
      <c r="CD34" s="454">
        <f t="shared" si="22"/>
        <v>-9.9999999999999985E-3</v>
      </c>
      <c r="CE34" s="454">
        <f t="shared" si="22"/>
        <v>-9.9999999999999985E-3</v>
      </c>
      <c r="CF34" s="454">
        <f t="shared" si="22"/>
        <v>-9.9999999999999985E-3</v>
      </c>
      <c r="CG34" s="781">
        <f t="shared" si="22"/>
        <v>-9.9999999999998979E-3</v>
      </c>
      <c r="CH34" s="454"/>
      <c r="CI34" s="780">
        <f t="shared" si="23"/>
        <v>0.04</v>
      </c>
      <c r="CJ34" s="454">
        <f t="shared" si="23"/>
        <v>0.04</v>
      </c>
      <c r="CK34" s="454">
        <f t="shared" si="23"/>
        <v>0.04</v>
      </c>
      <c r="CL34" s="454">
        <f t="shared" si="23"/>
        <v>0.04</v>
      </c>
      <c r="CM34" s="781">
        <f t="shared" si="23"/>
        <v>4.0000000000000036E-2</v>
      </c>
      <c r="CR34" s="228"/>
      <c r="CS34" s="1393" t="s">
        <v>398</v>
      </c>
      <c r="CT34" s="1394"/>
      <c r="CU34" s="1394"/>
      <c r="CV34" s="1394"/>
      <c r="CW34" s="1394"/>
      <c r="CX34" s="1394">
        <f t="shared" si="24"/>
        <v>9.9999999999999992E-2</v>
      </c>
      <c r="CY34" s="1394">
        <f t="shared" si="24"/>
        <v>0.2</v>
      </c>
      <c r="CZ34" s="1394">
        <f t="shared" si="24"/>
        <v>0.24</v>
      </c>
      <c r="DA34" s="1394">
        <f t="shared" si="24"/>
        <v>0.16</v>
      </c>
      <c r="DB34" s="1394">
        <f t="shared" si="24"/>
        <v>0.13</v>
      </c>
      <c r="DC34" s="1394">
        <f t="shared" si="24"/>
        <v>0.13999999999999999</v>
      </c>
      <c r="DD34" s="1394">
        <f t="shared" si="24"/>
        <v>0.1</v>
      </c>
      <c r="DE34" s="1394">
        <f t="shared" si="24"/>
        <v>0.13</v>
      </c>
      <c r="DF34" s="1394">
        <f t="shared" si="24"/>
        <v>0.18</v>
      </c>
      <c r="DG34" s="1394">
        <f t="shared" si="24"/>
        <v>7.0000000000000007E-2</v>
      </c>
      <c r="DH34" s="1394">
        <f t="shared" si="25"/>
        <v>0.13</v>
      </c>
      <c r="DI34" s="1394">
        <f t="shared" si="25"/>
        <v>0.13</v>
      </c>
      <c r="DJ34" s="1394">
        <f t="shared" si="25"/>
        <v>0.11</v>
      </c>
      <c r="DK34" s="1394">
        <f t="shared" si="25"/>
        <v>0.16999999999999998</v>
      </c>
      <c r="DL34" s="1394">
        <f t="shared" si="25"/>
        <v>0.15000000000000002</v>
      </c>
      <c r="DM34" s="1394">
        <f t="shared" si="25"/>
        <v>0.16999999999999998</v>
      </c>
      <c r="DN34" s="1394">
        <f t="shared" si="25"/>
        <v>0.26</v>
      </c>
      <c r="DO34" s="1394">
        <f t="shared" si="25"/>
        <v>0.12</v>
      </c>
      <c r="DP34" s="1394">
        <f t="shared" si="25"/>
        <v>0.18</v>
      </c>
      <c r="DQ34" s="1394">
        <f t="shared" si="25"/>
        <v>0.16999999999999998</v>
      </c>
    </row>
    <row r="35" spans="1:150" hidden="1" outlineLevel="1">
      <c r="A35" s="897" t="s">
        <v>212</v>
      </c>
      <c r="B35" s="454"/>
      <c r="C35" s="780"/>
      <c r="D35" s="454"/>
      <c r="E35" s="454"/>
      <c r="F35" s="454"/>
      <c r="G35" s="781"/>
      <c r="H35" s="454"/>
      <c r="I35" s="780"/>
      <c r="J35" s="454"/>
      <c r="K35" s="454"/>
      <c r="L35" s="454"/>
      <c r="M35" s="781"/>
      <c r="N35" s="454"/>
      <c r="O35" s="780"/>
      <c r="P35" s="454"/>
      <c r="Q35" s="454"/>
      <c r="R35" s="454"/>
      <c r="S35" s="781"/>
      <c r="T35" s="454"/>
      <c r="U35" s="780"/>
      <c r="V35" s="454"/>
      <c r="W35" s="454"/>
      <c r="X35" s="454"/>
      <c r="Y35" s="781"/>
      <c r="Z35" s="454"/>
      <c r="AA35" s="780"/>
      <c r="AB35" s="454"/>
      <c r="AC35" s="454"/>
      <c r="AD35" s="454"/>
      <c r="AE35" s="781"/>
      <c r="AF35" s="454"/>
      <c r="AG35" s="780">
        <f t="shared" si="14"/>
        <v>0.18000000000000002</v>
      </c>
      <c r="AH35" s="454">
        <f t="shared" si="14"/>
        <v>0.151</v>
      </c>
      <c r="AI35" s="454">
        <f t="shared" si="14"/>
        <v>0.17899999999999999</v>
      </c>
      <c r="AJ35" s="454">
        <f t="shared" si="14"/>
        <v>0.159</v>
      </c>
      <c r="AK35" s="781">
        <f t="shared" si="14"/>
        <v>0.168839387515578</v>
      </c>
      <c r="AL35" s="454"/>
      <c r="AM35" s="780">
        <f t="shared" si="15"/>
        <v>0.24000000000000002</v>
      </c>
      <c r="AN35" s="454">
        <f t="shared" si="15"/>
        <v>0.104</v>
      </c>
      <c r="AO35" s="454">
        <f t="shared" si="15"/>
        <v>7.5648576631010822E-2</v>
      </c>
      <c r="AP35" s="454">
        <f t="shared" si="15"/>
        <v>0.219</v>
      </c>
      <c r="AQ35" s="781">
        <f t="shared" si="15"/>
        <v>0.16194809506217897</v>
      </c>
      <c r="AR35" s="454"/>
      <c r="AS35" s="780">
        <f t="shared" si="16"/>
        <v>5.5000000000000007E-2</v>
      </c>
      <c r="AT35" s="454">
        <f t="shared" si="16"/>
        <v>2.7899999999999994E-2</v>
      </c>
      <c r="AU35" s="454">
        <f t="shared" si="16"/>
        <v>1.8648576631010827E-2</v>
      </c>
      <c r="AV35" s="454">
        <f t="shared" si="16"/>
        <v>1.999999999999999E-2</v>
      </c>
      <c r="AW35" s="781">
        <f t="shared" si="16"/>
        <v>2.3745616329159031E-2</v>
      </c>
      <c r="AX35" s="454"/>
      <c r="AY35" s="780">
        <f t="shared" si="17"/>
        <v>4.9000000000000002E-2</v>
      </c>
      <c r="AZ35" s="454">
        <f t="shared" si="17"/>
        <v>5.0900000000000001E-2</v>
      </c>
      <c r="BA35" s="454">
        <f t="shared" si="17"/>
        <v>9.1999999999999998E-2</v>
      </c>
      <c r="BB35" s="454">
        <f t="shared" si="17"/>
        <v>1.5606630565376006E-2</v>
      </c>
      <c r="BC35" s="781">
        <f t="shared" si="17"/>
        <v>4.4538566423902061E-2</v>
      </c>
      <c r="BD35" s="454"/>
      <c r="BE35" s="780">
        <f t="shared" ref="BE35:BG36" si="26">BE10+AY10</f>
        <v>1.4000000000000005E-2</v>
      </c>
      <c r="BF35" s="454">
        <f t="shared" si="26"/>
        <v>-9.5146608536566035E-2</v>
      </c>
      <c r="BG35" s="454">
        <f t="shared" si="26"/>
        <v>-0.19031149704019987</v>
      </c>
      <c r="BH35" s="454"/>
      <c r="BI35" s="781">
        <f>BI10+BC10</f>
        <v>-7.6584377550911298E-2</v>
      </c>
      <c r="BJ35" s="454"/>
      <c r="BK35" s="780"/>
      <c r="BL35" s="454"/>
      <c r="BM35" s="454"/>
      <c r="BN35" s="454"/>
      <c r="BO35" s="781"/>
      <c r="BP35" s="454"/>
      <c r="BQ35" s="780"/>
      <c r="BR35" s="454"/>
      <c r="BS35" s="454"/>
      <c r="BT35" s="454"/>
      <c r="BU35" s="781"/>
      <c r="BV35" s="454"/>
      <c r="BW35" s="780"/>
      <c r="BX35" s="454"/>
      <c r="BY35" s="454"/>
      <c r="BZ35" s="454"/>
      <c r="CA35" s="781"/>
      <c r="CB35" s="454"/>
      <c r="CC35" s="780"/>
      <c r="CD35" s="454"/>
      <c r="CE35" s="454"/>
      <c r="CF35" s="454"/>
      <c r="CG35" s="781"/>
      <c r="CH35" s="454"/>
      <c r="CI35" s="780"/>
      <c r="CJ35" s="454"/>
      <c r="CK35" s="454"/>
      <c r="CL35" s="454"/>
      <c r="CM35" s="781"/>
      <c r="CR35" s="228"/>
      <c r="CS35" s="1389" t="s">
        <v>495</v>
      </c>
      <c r="CT35" s="1390"/>
      <c r="CU35" s="1390"/>
      <c r="CV35" s="1390"/>
      <c r="CW35" s="1390"/>
      <c r="CX35" s="1390">
        <f t="shared" si="24"/>
        <v>0.42000000000000004</v>
      </c>
      <c r="CY35" s="1390">
        <f t="shared" si="24"/>
        <v>0.39</v>
      </c>
      <c r="CZ35" s="1390">
        <f t="shared" si="24"/>
        <v>0.33999999999999997</v>
      </c>
      <c r="DA35" s="1390">
        <f t="shared" si="24"/>
        <v>0.37</v>
      </c>
      <c r="DB35" s="1390">
        <f t="shared" si="24"/>
        <v>0.32</v>
      </c>
      <c r="DC35" s="1390">
        <f t="shared" si="24"/>
        <v>0.25</v>
      </c>
      <c r="DD35" s="1390">
        <f t="shared" si="24"/>
        <v>0.2</v>
      </c>
      <c r="DE35" s="1390">
        <f t="shared" si="24"/>
        <v>0.2</v>
      </c>
      <c r="DF35" s="1390">
        <f t="shared" si="24"/>
        <v>0.21</v>
      </c>
      <c r="DG35" s="1390">
        <f t="shared" si="24"/>
        <v>0.2</v>
      </c>
      <c r="DH35" s="1390">
        <f t="shared" si="25"/>
        <v>0.16</v>
      </c>
      <c r="DI35" s="1390">
        <f t="shared" si="25"/>
        <v>0.16999999999999998</v>
      </c>
      <c r="DJ35" s="1390">
        <f t="shared" si="25"/>
        <v>0.24</v>
      </c>
      <c r="DK35" s="1390">
        <f t="shared" si="25"/>
        <v>0.27</v>
      </c>
      <c r="DL35" s="1390">
        <f t="shared" si="25"/>
        <v>0.3</v>
      </c>
      <c r="DM35" s="1390">
        <f t="shared" si="25"/>
        <v>0.21</v>
      </c>
      <c r="DN35" s="1390">
        <f t="shared" si="25"/>
        <v>0.32999999999999996</v>
      </c>
      <c r="DO35" s="1390">
        <f t="shared" si="25"/>
        <v>0.27</v>
      </c>
      <c r="DP35" s="1390">
        <f t="shared" si="25"/>
        <v>0.37</v>
      </c>
      <c r="DQ35" s="1390">
        <f t="shared" si="25"/>
        <v>0.24</v>
      </c>
    </row>
    <row r="36" spans="1:150" hidden="1" outlineLevel="1">
      <c r="A36" s="897" t="s">
        <v>49</v>
      </c>
      <c r="B36" s="454"/>
      <c r="C36" s="780"/>
      <c r="D36" s="454"/>
      <c r="E36" s="454"/>
      <c r="F36" s="454"/>
      <c r="G36" s="781"/>
      <c r="H36" s="454"/>
      <c r="I36" s="780"/>
      <c r="J36" s="454"/>
      <c r="K36" s="454"/>
      <c r="L36" s="454"/>
      <c r="M36" s="781"/>
      <c r="N36" s="454"/>
      <c r="O36" s="780"/>
      <c r="P36" s="454"/>
      <c r="Q36" s="454"/>
      <c r="R36" s="454"/>
      <c r="S36" s="781"/>
      <c r="T36" s="454"/>
      <c r="U36" s="780"/>
      <c r="V36" s="454"/>
      <c r="W36" s="454"/>
      <c r="X36" s="454"/>
      <c r="Y36" s="781"/>
      <c r="Z36" s="454"/>
      <c r="AA36" s="780"/>
      <c r="AB36" s="454"/>
      <c r="AC36" s="454"/>
      <c r="AD36" s="454"/>
      <c r="AE36" s="781"/>
      <c r="AF36" s="454"/>
      <c r="AG36" s="780">
        <f t="shared" si="14"/>
        <v>0.13786152987158018</v>
      </c>
      <c r="AH36" s="454">
        <f t="shared" si="14"/>
        <v>8.4269606948175507E-2</v>
      </c>
      <c r="AI36" s="454">
        <f t="shared" si="14"/>
        <v>3.7181227671321787E-2</v>
      </c>
      <c r="AJ36" s="454">
        <f t="shared" si="14"/>
        <v>0.34456903225806446</v>
      </c>
      <c r="AK36" s="781">
        <f t="shared" si="14"/>
        <v>0.14323185723634665</v>
      </c>
      <c r="AL36" s="454"/>
      <c r="AM36" s="780">
        <f t="shared" si="15"/>
        <v>6.2861529871580168E-2</v>
      </c>
      <c r="AN36" s="454">
        <f t="shared" si="15"/>
        <v>9.2269606948175514E-2</v>
      </c>
      <c r="AO36" s="454">
        <f t="shared" si="15"/>
        <v>5.1181227671321786E-2</v>
      </c>
      <c r="AP36" s="454">
        <f t="shared" si="15"/>
        <v>0.41456903225806446</v>
      </c>
      <c r="AQ36" s="781">
        <f t="shared" si="15"/>
        <v>0.14759459824041452</v>
      </c>
      <c r="AR36" s="454"/>
      <c r="AS36" s="780">
        <f t="shared" si="16"/>
        <v>-6.4000000000000015E-2</v>
      </c>
      <c r="AT36" s="454">
        <f t="shared" si="16"/>
        <v>-3.61E-2</v>
      </c>
      <c r="AU36" s="454">
        <f t="shared" si="16"/>
        <v>7.000000000000001E-3</v>
      </c>
      <c r="AV36" s="454">
        <f t="shared" si="16"/>
        <v>0.128</v>
      </c>
      <c r="AW36" s="781">
        <f t="shared" si="16"/>
        <v>1.0086994658117771E-2</v>
      </c>
      <c r="AX36" s="454"/>
      <c r="AY36" s="780">
        <f t="shared" si="17"/>
        <v>4.4999999999999998E-2</v>
      </c>
      <c r="AZ36" s="454">
        <f t="shared" si="17"/>
        <v>3.1899999999999998E-2</v>
      </c>
      <c r="BA36" s="454">
        <f t="shared" si="17"/>
        <v>3.3000000000000002E-2</v>
      </c>
      <c r="BB36" s="454">
        <f t="shared" si="17"/>
        <v>1.3606630565376004E-2</v>
      </c>
      <c r="BC36" s="781">
        <f t="shared" si="17"/>
        <v>3.2125911295393904E-2</v>
      </c>
      <c r="BD36" s="454"/>
      <c r="BE36" s="780">
        <f t="shared" si="26"/>
        <v>7.8883054721921829E-3</v>
      </c>
      <c r="BF36" s="454">
        <f t="shared" si="26"/>
        <v>8.3660792482058682E-2</v>
      </c>
      <c r="BG36" s="454">
        <f t="shared" si="26"/>
        <v>-1.0000000000000009E-3</v>
      </c>
      <c r="BH36" s="454">
        <f>BH11+BB11</f>
        <v>-0.151393369434624</v>
      </c>
      <c r="BI36" s="781">
        <f>BI11+BC11</f>
        <v>-1.5211067870093284E-2</v>
      </c>
      <c r="BJ36" s="454"/>
      <c r="BK36" s="780">
        <f>BK11+BE11</f>
        <v>1.1939141396566568E-2</v>
      </c>
      <c r="BL36" s="454">
        <f>BL11+BF11</f>
        <v>6.2623353880123495E-2</v>
      </c>
      <c r="BM36" s="454">
        <f>BM11+BG11</f>
        <v>0.13999999999999999</v>
      </c>
      <c r="BN36" s="454">
        <f>BN11+BH11</f>
        <v>6.5000000000000016E-2</v>
      </c>
      <c r="BO36" s="781">
        <f>BO11+BI11</f>
        <v>6.9890623819172534E-2</v>
      </c>
      <c r="BP36" s="454"/>
      <c r="BQ36" s="780">
        <f>BQ11+BK11</f>
        <v>2.7513331773382787E-2</v>
      </c>
      <c r="BR36" s="454">
        <f>BR11+BL11</f>
        <v>6.4532144925844609E-2</v>
      </c>
      <c r="BS36" s="454">
        <f>BS11+BM11</f>
        <v>0.18865060460618593</v>
      </c>
      <c r="BT36" s="454">
        <f>BT11+BN11</f>
        <v>0.17020618236927321</v>
      </c>
      <c r="BU36" s="781">
        <f>BU11+BO11</f>
        <v>0.11303261728061827</v>
      </c>
      <c r="BV36" s="454"/>
      <c r="BW36" s="780">
        <f>BW11+BQ11</f>
        <v>-5.3750415099160058E-4</v>
      </c>
      <c r="BX36" s="454">
        <f>BX11+BR11</f>
        <v>1.9569583527779787E-2</v>
      </c>
      <c r="BY36" s="454">
        <f>BY11+BS11</f>
        <v>1.7650604606185932E-2</v>
      </c>
      <c r="BZ36" s="454">
        <f>BZ11+BT11</f>
        <v>8.206182369273193E-3</v>
      </c>
      <c r="CA36" s="781">
        <f>CA11+BU11</f>
        <v>1.1529267950008453E-2</v>
      </c>
      <c r="CB36" s="454"/>
      <c r="CC36" s="780">
        <f>CC11+BW11</f>
        <v>0.02</v>
      </c>
      <c r="CD36" s="454">
        <f>CD11+BX11</f>
        <v>0.02</v>
      </c>
      <c r="CE36" s="454">
        <f>CE11+BY11</f>
        <v>0.02</v>
      </c>
      <c r="CF36" s="454">
        <f>CF11+BZ11</f>
        <v>0.02</v>
      </c>
      <c r="CG36" s="781">
        <f>CG11+CA11</f>
        <v>2.000000000000024E-2</v>
      </c>
      <c r="CH36" s="454"/>
      <c r="CI36" s="780">
        <f t="shared" ref="CI36:CM40" si="27">CI11+CC11</f>
        <v>0.02</v>
      </c>
      <c r="CJ36" s="454">
        <f t="shared" si="27"/>
        <v>0.02</v>
      </c>
      <c r="CK36" s="454">
        <f t="shared" si="27"/>
        <v>0.02</v>
      </c>
      <c r="CL36" s="454">
        <f t="shared" si="27"/>
        <v>0.02</v>
      </c>
      <c r="CM36" s="781">
        <f t="shared" si="27"/>
        <v>2.000000000000024E-2</v>
      </c>
      <c r="CR36" s="228"/>
      <c r="CS36" s="1393" t="s">
        <v>397</v>
      </c>
      <c r="CT36" s="1394"/>
      <c r="CU36" s="1394"/>
      <c r="CV36" s="1394"/>
      <c r="CW36" s="1394"/>
      <c r="CX36" s="1394">
        <f t="shared" si="24"/>
        <v>-0.03</v>
      </c>
      <c r="CY36" s="1394">
        <f t="shared" si="24"/>
        <v>0</v>
      </c>
      <c r="CZ36" s="1394">
        <f t="shared" si="24"/>
        <v>0</v>
      </c>
      <c r="DA36" s="1394">
        <f t="shared" si="24"/>
        <v>0</v>
      </c>
      <c r="DB36" s="1394">
        <f t="shared" si="24"/>
        <v>-0.08</v>
      </c>
      <c r="DC36" s="1394">
        <f t="shared" si="24"/>
        <v>0</v>
      </c>
      <c r="DD36" s="1394">
        <f t="shared" si="24"/>
        <v>0</v>
      </c>
      <c r="DE36" s="1394">
        <f t="shared" si="24"/>
        <v>0.13</v>
      </c>
      <c r="DF36" s="1394">
        <f t="shared" si="24"/>
        <v>0.03</v>
      </c>
      <c r="DG36" s="1394">
        <f t="shared" si="24"/>
        <v>9.9999999999999985E-3</v>
      </c>
      <c r="DH36" s="1394">
        <f t="shared" si="25"/>
        <v>0.1</v>
      </c>
      <c r="DI36" s="1394">
        <f t="shared" si="25"/>
        <v>0.05</v>
      </c>
      <c r="DJ36" s="1394">
        <f t="shared" si="25"/>
        <v>0.08</v>
      </c>
      <c r="DK36" s="1394">
        <f t="shared" si="25"/>
        <v>0.05</v>
      </c>
      <c r="DL36" s="1394">
        <f t="shared" si="25"/>
        <v>0.03</v>
      </c>
      <c r="DM36" s="1394">
        <f t="shared" si="25"/>
        <v>0</v>
      </c>
      <c r="DN36" s="1394">
        <f t="shared" si="25"/>
        <v>4.7E-2</v>
      </c>
      <c r="DO36" s="1394">
        <f t="shared" si="25"/>
        <v>9.8000000000000018E-2</v>
      </c>
      <c r="DP36" s="1394">
        <f t="shared" si="25"/>
        <v>-6.5000000000000002E-2</v>
      </c>
      <c r="DQ36" s="1394">
        <f t="shared" si="25"/>
        <v>0.13500000000000001</v>
      </c>
    </row>
    <row r="37" spans="1:150" hidden="1" outlineLevel="1">
      <c r="A37" s="897" t="s">
        <v>686</v>
      </c>
      <c r="B37" s="454"/>
      <c r="C37" s="780"/>
      <c r="D37" s="454"/>
      <c r="E37" s="454"/>
      <c r="F37" s="454"/>
      <c r="G37" s="781"/>
      <c r="H37" s="454"/>
      <c r="I37" s="780"/>
      <c r="J37" s="454"/>
      <c r="K37" s="454"/>
      <c r="L37" s="454"/>
      <c r="M37" s="781"/>
      <c r="N37" s="454"/>
      <c r="O37" s="780"/>
      <c r="P37" s="454"/>
      <c r="Q37" s="454"/>
      <c r="R37" s="454"/>
      <c r="S37" s="781"/>
      <c r="T37" s="454"/>
      <c r="U37" s="780"/>
      <c r="V37" s="454"/>
      <c r="W37" s="454"/>
      <c r="X37" s="454"/>
      <c r="Y37" s="781"/>
      <c r="Z37" s="454"/>
      <c r="AA37" s="780"/>
      <c r="AB37" s="454"/>
      <c r="AC37" s="454"/>
      <c r="AD37" s="454"/>
      <c r="AE37" s="781"/>
      <c r="AF37" s="454"/>
      <c r="AG37" s="780"/>
      <c r="AH37" s="454"/>
      <c r="AI37" s="454"/>
      <c r="AJ37" s="454"/>
      <c r="AK37" s="781"/>
      <c r="AL37" s="454"/>
      <c r="AM37" s="780"/>
      <c r="AN37" s="454"/>
      <c r="AO37" s="454"/>
      <c r="AP37" s="454"/>
      <c r="AQ37" s="781"/>
      <c r="AR37" s="454"/>
      <c r="AS37" s="780"/>
      <c r="AT37" s="454"/>
      <c r="AU37" s="454"/>
      <c r="AV37" s="454"/>
      <c r="AW37" s="781"/>
      <c r="AX37" s="454"/>
      <c r="AY37" s="780"/>
      <c r="AZ37" s="454"/>
      <c r="BA37" s="454"/>
      <c r="BB37" s="454"/>
      <c r="BC37" s="781"/>
      <c r="BD37" s="454"/>
      <c r="BE37" s="780"/>
      <c r="BF37" s="454"/>
      <c r="BG37" s="454"/>
      <c r="BH37" s="454"/>
      <c r="BI37" s="781"/>
      <c r="BJ37" s="454"/>
      <c r="BK37" s="780"/>
      <c r="BL37" s="454"/>
      <c r="BM37" s="454"/>
      <c r="BN37" s="454"/>
      <c r="BO37" s="781"/>
      <c r="BP37" s="454"/>
      <c r="BQ37" s="780"/>
      <c r="BR37" s="454"/>
      <c r="BS37" s="454"/>
      <c r="BT37" s="454"/>
      <c r="BU37" s="781"/>
      <c r="BV37" s="454"/>
      <c r="BW37" s="780"/>
      <c r="BX37" s="454"/>
      <c r="BY37" s="454"/>
      <c r="BZ37" s="454"/>
      <c r="CA37" s="781"/>
      <c r="CB37" s="454"/>
      <c r="CC37" s="780">
        <f t="shared" ref="CC37:CG37" si="28">CC12+BW12</f>
        <v>0.375</v>
      </c>
      <c r="CD37" s="454">
        <f t="shared" si="28"/>
        <v>0.37499999999999978</v>
      </c>
      <c r="CE37" s="454">
        <f t="shared" si="28"/>
        <v>0.375</v>
      </c>
      <c r="CF37" s="454">
        <f t="shared" si="28"/>
        <v>0.37499999999999978</v>
      </c>
      <c r="CG37" s="781">
        <f t="shared" si="28"/>
        <v>0.37500000000000022</v>
      </c>
      <c r="CH37" s="454"/>
      <c r="CI37" s="780">
        <f t="shared" si="27"/>
        <v>0.31600000000000006</v>
      </c>
      <c r="CJ37" s="454">
        <f t="shared" si="27"/>
        <v>0.31599999999999984</v>
      </c>
      <c r="CK37" s="454">
        <f t="shared" si="27"/>
        <v>0.31600000000000006</v>
      </c>
      <c r="CL37" s="454">
        <f t="shared" si="27"/>
        <v>0.31599999999999984</v>
      </c>
      <c r="CM37" s="781">
        <f t="shared" si="27"/>
        <v>0.31600000000000006</v>
      </c>
      <c r="CR37" s="228"/>
      <c r="CS37" s="2231"/>
      <c r="CT37" s="1390"/>
      <c r="CU37" s="1390"/>
      <c r="CV37" s="1390"/>
      <c r="CW37" s="1390"/>
      <c r="CX37" s="1390"/>
      <c r="CY37" s="1390"/>
      <c r="CZ37" s="1390"/>
      <c r="DA37" s="1390"/>
      <c r="DB37" s="1390"/>
      <c r="DC37" s="1390"/>
      <c r="DD37" s="1390"/>
      <c r="DE37" s="1390"/>
      <c r="DF37" s="1390"/>
      <c r="DG37" s="1390"/>
      <c r="DH37" s="1390"/>
      <c r="DI37" s="1390"/>
      <c r="DJ37" s="1390"/>
      <c r="DK37" s="1390"/>
      <c r="DL37" s="1390"/>
      <c r="DM37" s="1390"/>
      <c r="DN37" s="1390"/>
      <c r="DO37" s="1390"/>
      <c r="DP37" s="1390"/>
      <c r="DQ37" s="1390"/>
      <c r="DR37" s="228"/>
      <c r="DS37" s="228"/>
      <c r="DT37" s="228"/>
      <c r="DU37" s="228"/>
    </row>
    <row r="38" spans="1:150" hidden="1" outlineLevel="1">
      <c r="A38" s="897" t="s">
        <v>687</v>
      </c>
      <c r="B38" s="454"/>
      <c r="C38" s="780"/>
      <c r="D38" s="454"/>
      <c r="E38" s="454"/>
      <c r="F38" s="454"/>
      <c r="G38" s="781"/>
      <c r="H38" s="454"/>
      <c r="I38" s="780"/>
      <c r="J38" s="454"/>
      <c r="K38" s="454"/>
      <c r="L38" s="454"/>
      <c r="M38" s="781"/>
      <c r="N38" s="454"/>
      <c r="O38" s="780"/>
      <c r="P38" s="454"/>
      <c r="Q38" s="454"/>
      <c r="R38" s="454"/>
      <c r="S38" s="781"/>
      <c r="T38" s="454"/>
      <c r="U38" s="780"/>
      <c r="V38" s="454"/>
      <c r="W38" s="454"/>
      <c r="X38" s="454"/>
      <c r="Y38" s="781"/>
      <c r="Z38" s="454"/>
      <c r="AA38" s="780"/>
      <c r="AB38" s="454"/>
      <c r="AC38" s="454"/>
      <c r="AD38" s="454"/>
      <c r="AE38" s="781"/>
      <c r="AF38" s="454"/>
      <c r="AG38" s="780"/>
      <c r="AH38" s="454"/>
      <c r="AI38" s="454"/>
      <c r="AJ38" s="454"/>
      <c r="AK38" s="781"/>
      <c r="AL38" s="454"/>
      <c r="AM38" s="780"/>
      <c r="AN38" s="454"/>
      <c r="AO38" s="454"/>
      <c r="AP38" s="454"/>
      <c r="AQ38" s="781"/>
      <c r="AR38" s="454"/>
      <c r="AS38" s="780"/>
      <c r="AT38" s="454"/>
      <c r="AU38" s="454"/>
      <c r="AV38" s="454"/>
      <c r="AW38" s="781"/>
      <c r="AX38" s="454"/>
      <c r="AY38" s="780"/>
      <c r="AZ38" s="454"/>
      <c r="BA38" s="454"/>
      <c r="BB38" s="454"/>
      <c r="BC38" s="781"/>
      <c r="BD38" s="454"/>
      <c r="BE38" s="780"/>
      <c r="BF38" s="454"/>
      <c r="BG38" s="454"/>
      <c r="BH38" s="454"/>
      <c r="BI38" s="781"/>
      <c r="BJ38" s="454"/>
      <c r="BK38" s="780"/>
      <c r="BL38" s="454"/>
      <c r="BM38" s="454"/>
      <c r="BN38" s="454"/>
      <c r="BO38" s="781"/>
      <c r="BP38" s="454"/>
      <c r="BQ38" s="780"/>
      <c r="BR38" s="454"/>
      <c r="BS38" s="454"/>
      <c r="BT38" s="454"/>
      <c r="BU38" s="781"/>
      <c r="BV38" s="454"/>
      <c r="BW38" s="780"/>
      <c r="BX38" s="454"/>
      <c r="BY38" s="454"/>
      <c r="BZ38" s="454"/>
      <c r="CA38" s="781"/>
      <c r="CB38" s="454"/>
      <c r="CC38" s="780">
        <f t="shared" ref="CC38:CG38" si="29">CC13+BW13</f>
        <v>10.740332897063588</v>
      </c>
      <c r="CD38" s="454">
        <f t="shared" si="29"/>
        <v>1.790574961556735</v>
      </c>
      <c r="CE38" s="454">
        <f t="shared" si="29"/>
        <v>0.5677858255964825</v>
      </c>
      <c r="CF38" s="454">
        <f t="shared" si="29"/>
        <v>0.16482572396305417</v>
      </c>
      <c r="CG38" s="781">
        <f t="shared" si="29"/>
        <v>0.97582020187603491</v>
      </c>
      <c r="CH38" s="454"/>
      <c r="CI38" s="780">
        <f t="shared" si="27"/>
        <v>11.166890159510807</v>
      </c>
      <c r="CJ38" s="454">
        <f t="shared" si="27"/>
        <v>2.0140163114240237</v>
      </c>
      <c r="CK38" s="454">
        <f t="shared" si="27"/>
        <v>1.0191529677196645</v>
      </c>
      <c r="CL38" s="454">
        <f t="shared" si="27"/>
        <v>0.65687935539000586</v>
      </c>
      <c r="CM38" s="781">
        <f t="shared" si="27"/>
        <v>1.3730872425574365</v>
      </c>
      <c r="CR38" s="228"/>
      <c r="CS38" s="2231"/>
      <c r="CT38" s="1390"/>
      <c r="CU38" s="1390"/>
      <c r="CV38" s="1390"/>
      <c r="CW38" s="1390"/>
      <c r="CX38" s="1390"/>
      <c r="CY38" s="1390"/>
      <c r="CZ38" s="1390"/>
      <c r="DA38" s="1390"/>
      <c r="DB38" s="1390"/>
      <c r="DC38" s="1390"/>
      <c r="DD38" s="1390"/>
      <c r="DE38" s="1390"/>
      <c r="DF38" s="1390"/>
      <c r="DG38" s="1390"/>
      <c r="DH38" s="1390"/>
      <c r="DI38" s="1390"/>
      <c r="DJ38" s="1390"/>
      <c r="DK38" s="1390"/>
      <c r="DL38" s="1390"/>
      <c r="DM38" s="1390"/>
      <c r="DN38" s="1390"/>
      <c r="DO38" s="1390"/>
      <c r="DP38" s="1390"/>
      <c r="DQ38" s="1390"/>
      <c r="DR38" s="228"/>
      <c r="DS38" s="228"/>
      <c r="DT38" s="228"/>
      <c r="DU38" s="228"/>
    </row>
    <row r="39" spans="1:150" hidden="1" outlineLevel="1">
      <c r="A39" s="897" t="s">
        <v>690</v>
      </c>
      <c r="B39" s="454"/>
      <c r="C39" s="780"/>
      <c r="D39" s="454"/>
      <c r="E39" s="454"/>
      <c r="F39" s="454"/>
      <c r="G39" s="781"/>
      <c r="H39" s="454"/>
      <c r="I39" s="780"/>
      <c r="J39" s="454"/>
      <c r="K39" s="454"/>
      <c r="L39" s="454"/>
      <c r="M39" s="781"/>
      <c r="N39" s="454"/>
      <c r="O39" s="780"/>
      <c r="P39" s="454"/>
      <c r="Q39" s="454"/>
      <c r="R39" s="454"/>
      <c r="S39" s="781"/>
      <c r="T39" s="454"/>
      <c r="U39" s="780"/>
      <c r="V39" s="454"/>
      <c r="W39" s="454"/>
      <c r="X39" s="454"/>
      <c r="Y39" s="781"/>
      <c r="Z39" s="454"/>
      <c r="AA39" s="780"/>
      <c r="AB39" s="454"/>
      <c r="AC39" s="454"/>
      <c r="AD39" s="454"/>
      <c r="AE39" s="781"/>
      <c r="AF39" s="454"/>
      <c r="AG39" s="780"/>
      <c r="AH39" s="454"/>
      <c r="AI39" s="454"/>
      <c r="AJ39" s="454"/>
      <c r="AK39" s="781"/>
      <c r="AL39" s="454"/>
      <c r="AM39" s="780"/>
      <c r="AN39" s="454"/>
      <c r="AO39" s="454"/>
      <c r="AP39" s="454"/>
      <c r="AQ39" s="781"/>
      <c r="AR39" s="454"/>
      <c r="AS39" s="780"/>
      <c r="AT39" s="454"/>
      <c r="AU39" s="454"/>
      <c r="AV39" s="454"/>
      <c r="AW39" s="781"/>
      <c r="AX39" s="454"/>
      <c r="AY39" s="780"/>
      <c r="AZ39" s="454"/>
      <c r="BA39" s="454"/>
      <c r="BB39" s="454"/>
      <c r="BC39" s="781"/>
      <c r="BD39" s="454"/>
      <c r="BE39" s="780"/>
      <c r="BF39" s="454"/>
      <c r="BG39" s="454"/>
      <c r="BH39" s="454"/>
      <c r="BI39" s="781"/>
      <c r="BJ39" s="454"/>
      <c r="BK39" s="780"/>
      <c r="BL39" s="454"/>
      <c r="BM39" s="454"/>
      <c r="BN39" s="454"/>
      <c r="BO39" s="781"/>
      <c r="BP39" s="454"/>
      <c r="BQ39" s="780"/>
      <c r="BR39" s="454"/>
      <c r="BS39" s="454"/>
      <c r="BT39" s="454"/>
      <c r="BU39" s="781"/>
      <c r="BV39" s="454"/>
      <c r="BW39" s="780"/>
      <c r="BX39" s="454"/>
      <c r="BY39" s="454"/>
      <c r="BZ39" s="454"/>
      <c r="CA39" s="781"/>
      <c r="CB39" s="454"/>
      <c r="CC39" s="780">
        <f t="shared" ref="CC39:CG39" si="30">CC14+BW14</f>
        <v>1.4</v>
      </c>
      <c r="CD39" s="454">
        <f t="shared" si="30"/>
        <v>1.4</v>
      </c>
      <c r="CE39" s="454">
        <f t="shared" si="30"/>
        <v>1.4</v>
      </c>
      <c r="CF39" s="454">
        <f t="shared" si="30"/>
        <v>1.4</v>
      </c>
      <c r="CG39" s="781">
        <f t="shared" si="30"/>
        <v>1.4</v>
      </c>
      <c r="CH39" s="454"/>
      <c r="CI39" s="780">
        <f t="shared" si="27"/>
        <v>0.89999999999999991</v>
      </c>
      <c r="CJ39" s="454">
        <f t="shared" si="27"/>
        <v>0.89999999999999991</v>
      </c>
      <c r="CK39" s="454">
        <f t="shared" si="27"/>
        <v>0.89999999999999991</v>
      </c>
      <c r="CL39" s="454">
        <f t="shared" si="27"/>
        <v>0.89999999999999991</v>
      </c>
      <c r="CM39" s="781">
        <f t="shared" si="27"/>
        <v>0.90000000000000013</v>
      </c>
      <c r="CR39" s="228"/>
      <c r="CS39" s="2231"/>
      <c r="CT39" s="1390"/>
      <c r="CU39" s="1390"/>
      <c r="CV39" s="1390"/>
      <c r="CW39" s="1390"/>
      <c r="CX39" s="1390"/>
      <c r="CY39" s="1390"/>
      <c r="CZ39" s="1390"/>
      <c r="DA39" s="1390"/>
      <c r="DB39" s="1390"/>
      <c r="DC39" s="1390"/>
      <c r="DD39" s="1390"/>
      <c r="DE39" s="1390"/>
      <c r="DF39" s="1390"/>
      <c r="DG39" s="1390"/>
      <c r="DH39" s="1390"/>
      <c r="DI39" s="1390"/>
      <c r="DJ39" s="1390"/>
      <c r="DK39" s="1390"/>
      <c r="DL39" s="1390"/>
      <c r="DM39" s="1390"/>
      <c r="DN39" s="1390"/>
      <c r="DO39" s="1390"/>
      <c r="DP39" s="1390"/>
      <c r="DQ39" s="1390"/>
      <c r="DR39" s="228"/>
      <c r="DS39" s="228"/>
      <c r="DT39" s="228"/>
      <c r="DU39" s="228"/>
    </row>
    <row r="40" spans="1:150" collapsed="1">
      <c r="A40" s="2324" t="s">
        <v>529</v>
      </c>
      <c r="B40" s="2325"/>
      <c r="C40" s="2326"/>
      <c r="D40" s="2325"/>
      <c r="E40" s="2325"/>
      <c r="F40" s="2325"/>
      <c r="G40" s="2327"/>
      <c r="H40" s="2325"/>
      <c r="I40" s="2326"/>
      <c r="J40" s="2325"/>
      <c r="K40" s="2325"/>
      <c r="L40" s="2325"/>
      <c r="M40" s="2327"/>
      <c r="N40" s="2325"/>
      <c r="O40" s="2326"/>
      <c r="P40" s="2325"/>
      <c r="Q40" s="2325"/>
      <c r="R40" s="2325"/>
      <c r="S40" s="2327"/>
      <c r="T40" s="2325"/>
      <c r="U40" s="2326"/>
      <c r="V40" s="2325"/>
      <c r="W40" s="2325"/>
      <c r="X40" s="2325"/>
      <c r="Y40" s="2327"/>
      <c r="Z40" s="2325"/>
      <c r="AA40" s="2326"/>
      <c r="AB40" s="2325"/>
      <c r="AC40" s="2325"/>
      <c r="AD40" s="2325"/>
      <c r="AE40" s="2327"/>
      <c r="AF40" s="2325"/>
      <c r="AG40" s="2328">
        <f t="shared" ref="AG40:AK40" si="31">AG15+AA15</f>
        <v>-0.72795466602399972</v>
      </c>
      <c r="AH40" s="2329">
        <f t="shared" si="31"/>
        <v>-0.76773589105969986</v>
      </c>
      <c r="AI40" s="2329">
        <f t="shared" si="31"/>
        <v>-0.76340370202595076</v>
      </c>
      <c r="AJ40" s="2329">
        <f t="shared" si="31"/>
        <v>-0.69805474939791212</v>
      </c>
      <c r="AK40" s="2330">
        <f t="shared" si="31"/>
        <v>-0.72544632275501353</v>
      </c>
      <c r="AL40" s="2329"/>
      <c r="AM40" s="2328">
        <f t="shared" ref="AM40:AQ40" si="32">AM15+AG15</f>
        <v>-0.22402809825440956</v>
      </c>
      <c r="AN40" s="2329">
        <f t="shared" si="32"/>
        <v>-0.21989070621116946</v>
      </c>
      <c r="AO40" s="2329">
        <f t="shared" si="32"/>
        <v>-0.12502055375352888</v>
      </c>
      <c r="AP40" s="2329">
        <f t="shared" si="32"/>
        <v>0.19204971928308262</v>
      </c>
      <c r="AQ40" s="2330">
        <f t="shared" si="32"/>
        <v>-0.11301427430269867</v>
      </c>
      <c r="AR40" s="2329"/>
      <c r="AS40" s="2328">
        <f t="shared" ref="AS40:AW40" si="33">AS15+AM15</f>
        <v>2.9536630020599045E-2</v>
      </c>
      <c r="AT40" s="2329">
        <f t="shared" si="33"/>
        <v>3.5044241653642672E-2</v>
      </c>
      <c r="AU40" s="2329">
        <f t="shared" si="33"/>
        <v>0.12453435673775083</v>
      </c>
      <c r="AV40" s="2329">
        <f t="shared" si="33"/>
        <v>0.15098431389529071</v>
      </c>
      <c r="AW40" s="2330">
        <f t="shared" si="33"/>
        <v>8.5383050842752092E-2</v>
      </c>
      <c r="AX40" s="2329"/>
      <c r="AY40" s="2328">
        <f t="shared" ref="AY40:BC40" si="34">AY15+AS15</f>
        <v>4.4871907728610799E-2</v>
      </c>
      <c r="AZ40" s="2329">
        <f t="shared" si="34"/>
        <v>5.0124407820141471E-2</v>
      </c>
      <c r="BA40" s="2329">
        <f t="shared" si="34"/>
        <v>6.9866574062430797E-2</v>
      </c>
      <c r="BB40" s="2329">
        <f t="shared" si="34"/>
        <v>8.413720268375946E-2</v>
      </c>
      <c r="BC40" s="2330">
        <f t="shared" si="34"/>
        <v>6.1717714736470433E-2</v>
      </c>
      <c r="BD40" s="2329"/>
      <c r="BE40" s="2328">
        <f t="shared" ref="BE40:BI40" si="35">BE15+AY15</f>
        <v>0.14106758152413501</v>
      </c>
      <c r="BF40" s="2329">
        <f t="shared" si="35"/>
        <v>0.16219442788001001</v>
      </c>
      <c r="BG40" s="2329">
        <f t="shared" si="35"/>
        <v>8.8872612641109294E-2</v>
      </c>
      <c r="BH40" s="2329">
        <f t="shared" si="35"/>
        <v>7.9414867721529253E-2</v>
      </c>
      <c r="BI40" s="2330">
        <f t="shared" si="35"/>
        <v>0.11665517771141201</v>
      </c>
      <c r="BJ40" s="2329"/>
      <c r="BK40" s="2328">
        <f t="shared" ref="BK40:BO40" si="36">BK15+BE15</f>
        <v>0.18176219956176409</v>
      </c>
      <c r="BL40" s="2329">
        <f t="shared" si="36"/>
        <v>0.15595024803922392</v>
      </c>
      <c r="BM40" s="2329">
        <f t="shared" si="36"/>
        <v>0.14781629873228291</v>
      </c>
      <c r="BN40" s="2329">
        <f t="shared" si="36"/>
        <v>0.13380040461748721</v>
      </c>
      <c r="BO40" s="2330">
        <f t="shared" si="36"/>
        <v>0.15403830543485969</v>
      </c>
      <c r="BP40" s="2329"/>
      <c r="BQ40" s="2328">
        <f t="shared" ref="BQ40:BU40" si="37">BQ15+BK15</f>
        <v>0.11373887912314236</v>
      </c>
      <c r="BR40" s="2329">
        <f t="shared" si="37"/>
        <v>0.11966179036383545</v>
      </c>
      <c r="BS40" s="2329">
        <f t="shared" si="37"/>
        <v>0.12121242001659671</v>
      </c>
      <c r="BT40" s="2329">
        <f t="shared" si="37"/>
        <v>0.1051640586041179</v>
      </c>
      <c r="BU40" s="2330">
        <f t="shared" si="37"/>
        <v>0.11438042444965663</v>
      </c>
      <c r="BV40" s="2329"/>
      <c r="BW40" s="2328">
        <f t="shared" ref="BW40" si="38">BW15+BQ15</f>
        <v>0.12995502228020839</v>
      </c>
      <c r="BX40" s="2329">
        <f t="shared" ref="BX40" si="39">BX15+BR15</f>
        <v>0.19522701370027928</v>
      </c>
      <c r="BY40" s="2329">
        <f t="shared" ref="BY40" si="40">BY15+BS15</f>
        <v>0.20844708840411197</v>
      </c>
      <c r="BZ40" s="2329">
        <f t="shared" ref="BZ40" si="41">BZ15+BT15</f>
        <v>0.17268010139154044</v>
      </c>
      <c r="CA40" s="2330">
        <f t="shared" ref="CA40" si="42">CA15+BU15</f>
        <v>0.1775076357948866</v>
      </c>
      <c r="CB40" s="2329"/>
      <c r="CC40" s="2328">
        <f t="shared" ref="CC40" si="43">CC15+BW15</f>
        <v>0.23938724366967934</v>
      </c>
      <c r="CD40" s="2329">
        <f t="shared" ref="CD40" si="44">CD15+BX15</f>
        <v>0.24974235414770529</v>
      </c>
      <c r="CE40" s="2329">
        <f t="shared" ref="CE40" si="45">CE15+BY15</f>
        <v>0.25602396852597797</v>
      </c>
      <c r="CF40" s="2329">
        <f t="shared" ref="CF40" si="46">CF15+BZ15</f>
        <v>0.25278553524092318</v>
      </c>
      <c r="CG40" s="2330">
        <f t="shared" ref="CG40" si="47">CG15+CA15</f>
        <v>0.24989384520420632</v>
      </c>
      <c r="CH40" s="2329"/>
      <c r="CI40" s="2328">
        <f t="shared" si="27"/>
        <v>0.23304189936885122</v>
      </c>
      <c r="CJ40" s="2329">
        <f t="shared" si="27"/>
        <v>0.22626379368716698</v>
      </c>
      <c r="CK40" s="2329">
        <f t="shared" si="27"/>
        <v>0.22683529623648302</v>
      </c>
      <c r="CL40" s="2329">
        <f t="shared" si="27"/>
        <v>0.21860115498466537</v>
      </c>
      <c r="CM40" s="2330">
        <f t="shared" si="27"/>
        <v>0.22567585996144768</v>
      </c>
      <c r="CR40" s="228"/>
      <c r="CS40" s="228"/>
      <c r="CT40" s="228"/>
      <c r="CU40" s="228"/>
      <c r="CV40" s="228"/>
      <c r="CW40" s="228"/>
      <c r="CX40" s="228"/>
      <c r="CY40" s="228"/>
      <c r="CZ40" s="228"/>
      <c r="DA40" s="228"/>
      <c r="DB40" s="228"/>
      <c r="DC40" s="228"/>
      <c r="DD40" s="228"/>
      <c r="DE40" s="228"/>
      <c r="DF40" s="228"/>
      <c r="DG40" s="228"/>
      <c r="DH40" s="228"/>
      <c r="DI40" s="228"/>
      <c r="DJ40" s="228"/>
      <c r="DK40" s="228"/>
      <c r="DL40" s="228"/>
      <c r="DM40" s="228"/>
      <c r="DN40" s="228"/>
      <c r="DO40" s="228"/>
      <c r="DP40" s="228"/>
      <c r="DQ40" s="228"/>
      <c r="DR40" s="228"/>
      <c r="DS40" s="228"/>
      <c r="DT40" s="228"/>
      <c r="DU40" s="228"/>
    </row>
    <row r="41" spans="1:150">
      <c r="A41" s="2331" t="s">
        <v>727</v>
      </c>
      <c r="B41" s="2332"/>
      <c r="C41" s="2333"/>
      <c r="D41" s="2332"/>
      <c r="E41" s="2332"/>
      <c r="F41" s="2332"/>
      <c r="G41" s="2334"/>
      <c r="H41" s="2332"/>
      <c r="I41" s="2333"/>
      <c r="J41" s="2332"/>
      <c r="K41" s="2332"/>
      <c r="L41" s="2332"/>
      <c r="M41" s="2334"/>
      <c r="N41" s="2332"/>
      <c r="O41" s="2333"/>
      <c r="P41" s="2332"/>
      <c r="Q41" s="2332"/>
      <c r="R41" s="2332"/>
      <c r="S41" s="2334"/>
      <c r="T41" s="2332"/>
      <c r="U41" s="2333"/>
      <c r="V41" s="2332"/>
      <c r="W41" s="2332"/>
      <c r="X41" s="2332"/>
      <c r="Y41" s="2334"/>
      <c r="Z41" s="2332"/>
      <c r="AA41" s="2333"/>
      <c r="AB41" s="2332"/>
      <c r="AC41" s="2332"/>
      <c r="AD41" s="2332"/>
      <c r="AE41" s="2334"/>
      <c r="AF41" s="2332"/>
      <c r="AG41" s="2335"/>
      <c r="AH41" s="2336"/>
      <c r="AI41" s="2336"/>
      <c r="AJ41" s="2336"/>
      <c r="AK41" s="2337"/>
      <c r="AL41" s="2336"/>
      <c r="AM41" s="2335"/>
      <c r="AN41" s="2336"/>
      <c r="AO41" s="2336"/>
      <c r="AP41" s="2336"/>
      <c r="AQ41" s="2337"/>
      <c r="AR41" s="2336"/>
      <c r="AS41" s="2335"/>
      <c r="AT41" s="2336"/>
      <c r="AU41" s="2336"/>
      <c r="AV41" s="2336"/>
      <c r="AW41" s="2337"/>
      <c r="AX41" s="2336"/>
      <c r="AY41" s="2335"/>
      <c r="AZ41" s="2336"/>
      <c r="BA41" s="2336"/>
      <c r="BB41" s="2336"/>
      <c r="BC41" s="2337"/>
      <c r="BD41" s="2336"/>
      <c r="BE41" s="2335"/>
      <c r="BF41" s="2336"/>
      <c r="BG41" s="2336"/>
      <c r="BH41" s="2336"/>
      <c r="BI41" s="2337"/>
      <c r="BJ41" s="2336"/>
      <c r="BK41" s="2335"/>
      <c r="BL41" s="2336"/>
      <c r="BM41" s="2336"/>
      <c r="BN41" s="2336"/>
      <c r="BO41" s="2337"/>
      <c r="BP41" s="2336"/>
      <c r="BQ41" s="2335"/>
      <c r="BR41" s="2336"/>
      <c r="BS41" s="2336"/>
      <c r="BT41" s="2336"/>
      <c r="BU41" s="2337"/>
      <c r="BV41" s="2336"/>
      <c r="BW41" s="2335"/>
      <c r="BX41" s="2336"/>
      <c r="BY41" s="2336"/>
      <c r="BZ41" s="2336"/>
      <c r="CA41" s="2337"/>
      <c r="CB41" s="2336"/>
      <c r="CC41" s="2335">
        <f t="shared" ref="CC41:CC42" si="48">CC16+BW16</f>
        <v>0.1241290095601616</v>
      </c>
      <c r="CD41" s="2336">
        <f t="shared" ref="CD41:CD42" si="49">CD16+BX16</f>
        <v>0.11816966778486687</v>
      </c>
      <c r="CE41" s="2336">
        <f t="shared" ref="CE41:CE42" si="50">CE16+BY16</f>
        <v>0.12440985921594819</v>
      </c>
      <c r="CF41" s="2336">
        <f t="shared" ref="CF41:CF42" si="51">CF16+BZ16</f>
        <v>0.1267380033885443</v>
      </c>
      <c r="CG41" s="2337">
        <f t="shared" ref="CG41:CG42" si="52">CG16+CA16</f>
        <v>0.12332130964909019</v>
      </c>
      <c r="CH41" s="2336"/>
      <c r="CI41" s="2335">
        <f t="shared" ref="CI41:CM41" si="53">CI16+CC16</f>
        <v>0.13120781266548509</v>
      </c>
      <c r="CJ41" s="2336">
        <f t="shared" si="53"/>
        <v>0.11051778869132212</v>
      </c>
      <c r="CK41" s="2336">
        <f t="shared" si="53"/>
        <v>0.11140420642456585</v>
      </c>
      <c r="CL41" s="2336">
        <f t="shared" si="53"/>
        <v>0.10797932622414134</v>
      </c>
      <c r="CM41" s="2337">
        <f t="shared" si="53"/>
        <v>0.11438514833203017</v>
      </c>
      <c r="CR41" s="228"/>
      <c r="CS41" s="228"/>
      <c r="CT41" s="228"/>
      <c r="CU41" s="228"/>
      <c r="CV41" s="228"/>
      <c r="CW41" s="228"/>
      <c r="CX41" s="228"/>
      <c r="CY41" s="228"/>
      <c r="CZ41" s="228"/>
      <c r="DA41" s="228"/>
      <c r="DB41" s="228"/>
      <c r="DC41" s="228"/>
      <c r="DD41" s="228"/>
      <c r="DE41" s="228"/>
      <c r="DF41" s="228"/>
      <c r="DG41" s="228"/>
      <c r="DH41" s="228"/>
      <c r="DI41" s="228"/>
      <c r="DJ41" s="228"/>
      <c r="DK41" s="228"/>
      <c r="DL41" s="228"/>
      <c r="DM41" s="228"/>
      <c r="DN41" s="228"/>
      <c r="DO41" s="228"/>
      <c r="DP41" s="228"/>
      <c r="DQ41" s="228"/>
      <c r="DR41" s="228"/>
      <c r="DS41" s="228"/>
      <c r="DT41" s="228"/>
      <c r="DU41" s="228"/>
    </row>
    <row r="42" spans="1:150">
      <c r="A42" s="2331" t="s">
        <v>728</v>
      </c>
      <c r="B42" s="2332"/>
      <c r="C42" s="2333"/>
      <c r="D42" s="2332"/>
      <c r="E42" s="2332"/>
      <c r="F42" s="2332"/>
      <c r="G42" s="2334"/>
      <c r="H42" s="2332"/>
      <c r="I42" s="2333"/>
      <c r="J42" s="2332"/>
      <c r="K42" s="2332"/>
      <c r="L42" s="2332"/>
      <c r="M42" s="2334"/>
      <c r="N42" s="2332"/>
      <c r="O42" s="2333"/>
      <c r="P42" s="2332"/>
      <c r="Q42" s="2332"/>
      <c r="R42" s="2332"/>
      <c r="S42" s="2334"/>
      <c r="T42" s="2332"/>
      <c r="U42" s="2333"/>
      <c r="V42" s="2332"/>
      <c r="W42" s="2332"/>
      <c r="X42" s="2332"/>
      <c r="Y42" s="2334"/>
      <c r="Z42" s="2332"/>
      <c r="AA42" s="2333"/>
      <c r="AB42" s="2332"/>
      <c r="AC42" s="2332"/>
      <c r="AD42" s="2332"/>
      <c r="AE42" s="2334"/>
      <c r="AF42" s="2332"/>
      <c r="AG42" s="2335"/>
      <c r="AH42" s="2336"/>
      <c r="AI42" s="2336"/>
      <c r="AJ42" s="2336"/>
      <c r="AK42" s="2337"/>
      <c r="AL42" s="2336"/>
      <c r="AM42" s="2335"/>
      <c r="AN42" s="2336"/>
      <c r="AO42" s="2336"/>
      <c r="AP42" s="2336"/>
      <c r="AQ42" s="2337"/>
      <c r="AR42" s="2336"/>
      <c r="AS42" s="2335"/>
      <c r="AT42" s="2336"/>
      <c r="AU42" s="2336"/>
      <c r="AV42" s="2336"/>
      <c r="AW42" s="2337"/>
      <c r="AX42" s="2336"/>
      <c r="AY42" s="2335"/>
      <c r="AZ42" s="2336"/>
      <c r="BA42" s="2336"/>
      <c r="BB42" s="2336"/>
      <c r="BC42" s="2337"/>
      <c r="BD42" s="2336"/>
      <c r="BE42" s="2335"/>
      <c r="BF42" s="2336"/>
      <c r="BG42" s="2336"/>
      <c r="BH42" s="2336"/>
      <c r="BI42" s="2337"/>
      <c r="BJ42" s="2336"/>
      <c r="BK42" s="2335"/>
      <c r="BL42" s="2336"/>
      <c r="BM42" s="2336"/>
      <c r="BN42" s="2336"/>
      <c r="BO42" s="2337"/>
      <c r="BP42" s="2336"/>
      <c r="BQ42" s="2335"/>
      <c r="BR42" s="2336"/>
      <c r="BS42" s="2336"/>
      <c r="BT42" s="2336"/>
      <c r="BU42" s="2337"/>
      <c r="BV42" s="2336"/>
      <c r="BW42" s="2335"/>
      <c r="BX42" s="2336"/>
      <c r="BY42" s="2336"/>
      <c r="BZ42" s="2336"/>
      <c r="CA42" s="2337"/>
      <c r="CB42" s="2336"/>
      <c r="CC42" s="2335">
        <f t="shared" si="48"/>
        <v>6.913679151064725E-2</v>
      </c>
      <c r="CD42" s="2336">
        <f t="shared" si="49"/>
        <v>7.1725702032213262E-2</v>
      </c>
      <c r="CE42" s="2336">
        <f t="shared" si="50"/>
        <v>8.4674837187192764E-2</v>
      </c>
      <c r="CF42" s="2336">
        <f t="shared" si="51"/>
        <v>9.349797289142725E-2</v>
      </c>
      <c r="CG42" s="2337">
        <f t="shared" si="52"/>
        <v>8.051104654911638E-2</v>
      </c>
      <c r="CH42" s="2336"/>
      <c r="CI42" s="2335">
        <f t="shared" ref="CI42:CM42" si="54">CI17+CC17</f>
        <v>6.6329295840977326E-2</v>
      </c>
      <c r="CJ42" s="2336">
        <f t="shared" si="54"/>
        <v>5.9476091241350573E-2</v>
      </c>
      <c r="CK42" s="2336">
        <f t="shared" si="54"/>
        <v>6.1093792979995246E-2</v>
      </c>
      <c r="CL42" s="2336">
        <f t="shared" si="54"/>
        <v>6.398404557202339E-2</v>
      </c>
      <c r="CM42" s="2337">
        <f t="shared" si="54"/>
        <v>6.2600624298510349E-2</v>
      </c>
      <c r="CR42" s="228"/>
      <c r="CS42" s="228"/>
      <c r="CT42" s="228"/>
      <c r="CU42" s="228"/>
      <c r="CV42" s="228"/>
      <c r="CW42" s="228"/>
      <c r="CX42" s="228"/>
      <c r="CY42" s="228"/>
      <c r="CZ42" s="228"/>
      <c r="DA42" s="228"/>
      <c r="DB42" s="228"/>
      <c r="DC42" s="228"/>
      <c r="DD42" s="228"/>
      <c r="DE42" s="228"/>
      <c r="DF42" s="228"/>
      <c r="DG42" s="228"/>
      <c r="DH42" s="228"/>
      <c r="DI42" s="228"/>
      <c r="DJ42" s="228"/>
      <c r="DK42" s="228"/>
      <c r="DL42" s="228"/>
      <c r="DM42" s="228"/>
      <c r="DN42" s="228"/>
      <c r="DO42" s="228"/>
      <c r="DP42" s="228"/>
      <c r="DQ42" s="228"/>
      <c r="DR42" s="228"/>
      <c r="DS42" s="228"/>
      <c r="DT42" s="228"/>
      <c r="DU42" s="228"/>
    </row>
    <row r="43" spans="1:150">
      <c r="A43" s="1801" t="s">
        <v>530</v>
      </c>
      <c r="B43" s="454"/>
      <c r="C43" s="780"/>
      <c r="D43" s="454"/>
      <c r="E43" s="454"/>
      <c r="F43" s="454"/>
      <c r="G43" s="781"/>
      <c r="H43" s="454"/>
      <c r="I43" s="780"/>
      <c r="J43" s="454"/>
      <c r="K43" s="454"/>
      <c r="L43" s="454"/>
      <c r="M43" s="781"/>
      <c r="N43" s="454"/>
      <c r="O43" s="780"/>
      <c r="P43" s="454"/>
      <c r="Q43" s="454"/>
      <c r="R43" s="454"/>
      <c r="S43" s="781"/>
      <c r="T43" s="454"/>
      <c r="U43" s="780"/>
      <c r="V43" s="454"/>
      <c r="W43" s="454"/>
      <c r="X43" s="454"/>
      <c r="Y43" s="781"/>
      <c r="Z43" s="454"/>
      <c r="AA43" s="780"/>
      <c r="AB43" s="454"/>
      <c r="AC43" s="454"/>
      <c r="AD43" s="454"/>
      <c r="AE43" s="781"/>
      <c r="AF43" s="454"/>
      <c r="AG43" s="780"/>
      <c r="AH43" s="454"/>
      <c r="AI43" s="454"/>
      <c r="AJ43" s="454"/>
      <c r="AK43" s="781"/>
      <c r="AL43" s="454"/>
      <c r="AM43" s="780"/>
      <c r="AN43" s="454"/>
      <c r="AO43" s="454"/>
      <c r="AP43" s="454"/>
      <c r="AQ43" s="781"/>
      <c r="AR43" s="454"/>
      <c r="AS43" s="780"/>
      <c r="AT43" s="454"/>
      <c r="AU43" s="454"/>
      <c r="AV43" s="454"/>
      <c r="AW43" s="781"/>
      <c r="AX43" s="454"/>
      <c r="AY43" s="780"/>
      <c r="AZ43" s="454"/>
      <c r="BA43" s="454"/>
      <c r="BB43" s="454"/>
      <c r="BC43" s="781"/>
      <c r="BD43" s="454"/>
      <c r="BE43" s="780"/>
      <c r="BF43" s="454"/>
      <c r="BG43" s="454"/>
      <c r="BH43" s="454"/>
      <c r="BI43" s="781"/>
      <c r="BJ43" s="454"/>
      <c r="BK43" s="780"/>
      <c r="BL43" s="454"/>
      <c r="BM43" s="454"/>
      <c r="BN43" s="454"/>
      <c r="BO43" s="781"/>
      <c r="BP43" s="454"/>
      <c r="BQ43" s="780"/>
      <c r="BR43" s="454"/>
      <c r="BS43" s="454"/>
      <c r="BT43" s="454"/>
      <c r="BU43" s="781"/>
      <c r="BV43" s="454"/>
      <c r="BW43" s="780"/>
      <c r="BX43" s="454"/>
      <c r="BY43" s="454"/>
      <c r="BZ43" s="454"/>
      <c r="CA43" s="781"/>
      <c r="CB43" s="454"/>
      <c r="CC43" s="780"/>
      <c r="CD43" s="454"/>
      <c r="CE43" s="454"/>
      <c r="CF43" s="454"/>
      <c r="CG43" s="781"/>
      <c r="CH43" s="454"/>
      <c r="CI43" s="780"/>
      <c r="CJ43" s="454"/>
      <c r="CK43" s="454"/>
      <c r="CL43" s="454"/>
      <c r="CM43" s="781"/>
      <c r="CR43" s="228"/>
      <c r="CS43" s="469" t="s">
        <v>671</v>
      </c>
      <c r="DU43" s="228"/>
      <c r="DV43" s="228"/>
      <c r="DW43" s="228"/>
      <c r="DX43" s="228"/>
      <c r="DY43" s="228"/>
      <c r="DZ43" s="228"/>
    </row>
    <row r="44" spans="1:150" hidden="1" outlineLevel="1">
      <c r="A44" s="897" t="s">
        <v>26</v>
      </c>
      <c r="B44" s="454"/>
      <c r="C44" s="780"/>
      <c r="D44" s="454"/>
      <c r="E44" s="454"/>
      <c r="F44" s="454"/>
      <c r="G44" s="781"/>
      <c r="H44" s="454"/>
      <c r="I44" s="780"/>
      <c r="J44" s="454"/>
      <c r="K44" s="454"/>
      <c r="L44" s="454"/>
      <c r="M44" s="781"/>
      <c r="N44" s="454"/>
      <c r="O44" s="780"/>
      <c r="P44" s="454"/>
      <c r="Q44" s="454"/>
      <c r="R44" s="454"/>
      <c r="S44" s="781"/>
      <c r="T44" s="454"/>
      <c r="U44" s="780"/>
      <c r="V44" s="454"/>
      <c r="W44" s="454"/>
      <c r="X44" s="454"/>
      <c r="Y44" s="781"/>
      <c r="Z44" s="454"/>
      <c r="AA44" s="780"/>
      <c r="AB44" s="454"/>
      <c r="AC44" s="454"/>
      <c r="AD44" s="454"/>
      <c r="AE44" s="781"/>
      <c r="AF44" s="454"/>
      <c r="AG44" s="780">
        <f t="shared" ref="AG44:AK49" si="55">AG19+AA19</f>
        <v>0.04</v>
      </c>
      <c r="AH44" s="454">
        <f t="shared" si="55"/>
        <v>7.8E-2</v>
      </c>
      <c r="AI44" s="454">
        <f t="shared" si="55"/>
        <v>0.05</v>
      </c>
      <c r="AJ44" s="454">
        <f t="shared" si="55"/>
        <v>0.1</v>
      </c>
      <c r="AK44" s="781">
        <f t="shared" si="55"/>
        <v>6.7954443445904067E-2</v>
      </c>
      <c r="AL44" s="454"/>
      <c r="AM44" s="780">
        <f t="shared" ref="AM44:AQ49" si="56">AM19+AG19</f>
        <v>7.8E-2</v>
      </c>
      <c r="AN44" s="454">
        <f t="shared" si="56"/>
        <v>0.16</v>
      </c>
      <c r="AO44" s="454">
        <f t="shared" si="56"/>
        <v>0.11</v>
      </c>
      <c r="AP44" s="454">
        <f t="shared" si="56"/>
        <v>0.13</v>
      </c>
      <c r="AQ44" s="781">
        <f t="shared" si="56"/>
        <v>0.12049975616505049</v>
      </c>
      <c r="AR44" s="454"/>
      <c r="AS44" s="780">
        <f t="shared" ref="AS44:AW49" si="57">AS19+AM19</f>
        <v>0.155</v>
      </c>
      <c r="AT44" s="454">
        <f t="shared" si="57"/>
        <v>0.14400000000000002</v>
      </c>
      <c r="AU44" s="454">
        <f t="shared" si="57"/>
        <v>0.152</v>
      </c>
      <c r="AV44" s="454">
        <f t="shared" si="57"/>
        <v>0.151</v>
      </c>
      <c r="AW44" s="781">
        <f t="shared" si="57"/>
        <v>0.1498591374052054</v>
      </c>
      <c r="AX44" s="454"/>
      <c r="AY44" s="780">
        <f t="shared" ref="AY44:BC49" si="58">AY19+AS19</f>
        <v>0.10903711408231491</v>
      </c>
      <c r="AZ44" s="454">
        <f t="shared" si="58"/>
        <v>0.13129558744083086</v>
      </c>
      <c r="BA44" s="454">
        <f t="shared" si="58"/>
        <v>0.17540272502564833</v>
      </c>
      <c r="BB44" s="454">
        <f t="shared" si="58"/>
        <v>1.2296746435499037E-2</v>
      </c>
      <c r="BC44" s="781">
        <f t="shared" si="58"/>
        <v>0.10632186793213226</v>
      </c>
      <c r="BD44" s="454"/>
      <c r="BE44" s="780">
        <f t="shared" ref="BE44:BI49" si="59">BE19+AY19</f>
        <v>-6.7615625600738454E-3</v>
      </c>
      <c r="BF44" s="454">
        <f t="shared" si="59"/>
        <v>0.10429558744083087</v>
      </c>
      <c r="BG44" s="454">
        <f t="shared" si="59"/>
        <v>0.13966570270407089</v>
      </c>
      <c r="BH44" s="454">
        <f t="shared" si="59"/>
        <v>-9.8925036187915691E-2</v>
      </c>
      <c r="BI44" s="781">
        <f t="shared" si="59"/>
        <v>3.4568672849228058E-2</v>
      </c>
      <c r="BJ44" s="454"/>
      <c r="BK44" s="780">
        <f t="shared" ref="BK44:BO49" si="60">BK19+BE19</f>
        <v>6.5004284904137288E-2</v>
      </c>
      <c r="BL44" s="454">
        <f t="shared" si="60"/>
        <v>0.10318805712782117</v>
      </c>
      <c r="BM44" s="454">
        <f t="shared" si="60"/>
        <v>0.11726297767842257</v>
      </c>
      <c r="BN44" s="454">
        <f t="shared" si="60"/>
        <v>8.977821737658527E-2</v>
      </c>
      <c r="BO44" s="781">
        <f t="shared" si="60"/>
        <v>9.3808384271741582E-2</v>
      </c>
      <c r="BP44" s="454"/>
      <c r="BQ44" s="780">
        <f t="shared" ref="BQ44:BU49" si="61">BQ19+BK19</f>
        <v>0.10880296154652604</v>
      </c>
      <c r="BR44" s="454">
        <f t="shared" si="61"/>
        <v>0.11818805712782117</v>
      </c>
      <c r="BS44" s="454">
        <f t="shared" si="61"/>
        <v>0.10600000000000001</v>
      </c>
      <c r="BT44" s="454">
        <f t="shared" si="61"/>
        <v>0.115</v>
      </c>
      <c r="BU44" s="781">
        <f t="shared" si="61"/>
        <v>0.11216942310567125</v>
      </c>
      <c r="BV44" s="454"/>
      <c r="BW44" s="780">
        <f t="shared" ref="BW44:CA49" si="62">BW19+BQ19</f>
        <v>8.4999999999999992E-2</v>
      </c>
      <c r="BX44" s="454">
        <f t="shared" si="62"/>
        <v>0.09</v>
      </c>
      <c r="BY44" s="454">
        <f t="shared" si="62"/>
        <v>8.4999999999999992E-2</v>
      </c>
      <c r="BZ44" s="454">
        <f t="shared" si="62"/>
        <v>7.5000000000000011E-2</v>
      </c>
      <c r="CA44" s="781">
        <f t="shared" si="62"/>
        <v>8.3921668437084485E-2</v>
      </c>
      <c r="CB44" s="454"/>
      <c r="CC44" s="780">
        <f t="shared" ref="CC44:CG49" si="63">CC19+BW19</f>
        <v>7.0000000000000007E-2</v>
      </c>
      <c r="CD44" s="454">
        <f t="shared" si="63"/>
        <v>7.0000000000000007E-2</v>
      </c>
      <c r="CE44" s="454">
        <f t="shared" si="63"/>
        <v>7.0000000000000007E-2</v>
      </c>
      <c r="CF44" s="454">
        <f t="shared" si="63"/>
        <v>7.0000000000000007E-2</v>
      </c>
      <c r="CG44" s="781">
        <f t="shared" si="63"/>
        <v>6.999999999999984E-2</v>
      </c>
      <c r="CH44" s="454"/>
      <c r="CI44" s="780">
        <f t="shared" ref="CI44:CM49" si="64">CI19+CC19</f>
        <v>0.06</v>
      </c>
      <c r="CJ44" s="454">
        <f t="shared" si="64"/>
        <v>0.06</v>
      </c>
      <c r="CK44" s="454">
        <f t="shared" si="64"/>
        <v>0.06</v>
      </c>
      <c r="CL44" s="454">
        <f t="shared" si="64"/>
        <v>0.06</v>
      </c>
      <c r="CM44" s="781">
        <f t="shared" si="64"/>
        <v>5.9999999999999609E-2</v>
      </c>
      <c r="CR44" s="228"/>
      <c r="CS44" s="1387"/>
      <c r="CT44" s="1388" t="s">
        <v>461</v>
      </c>
      <c r="CU44" s="1388" t="s">
        <v>78</v>
      </c>
      <c r="CV44" s="1388" t="s">
        <v>72</v>
      </c>
      <c r="CW44" s="1388" t="s">
        <v>71</v>
      </c>
      <c r="CX44" s="1388" t="s">
        <v>63</v>
      </c>
      <c r="CY44" s="1388" t="s">
        <v>69</v>
      </c>
      <c r="CZ44" s="1388" t="s">
        <v>57</v>
      </c>
      <c r="DA44" s="1388" t="s">
        <v>68</v>
      </c>
      <c r="DB44" s="1388" t="s">
        <v>64</v>
      </c>
      <c r="DC44" s="1388" t="s">
        <v>462</v>
      </c>
      <c r="DD44" s="1388" t="s">
        <v>463</v>
      </c>
      <c r="DE44" s="1388" t="s">
        <v>464</v>
      </c>
      <c r="DF44" s="1388" t="s">
        <v>492</v>
      </c>
      <c r="DG44" s="1388" t="str">
        <f t="shared" ref="DG44:DQ44" si="65">+DG6</f>
        <v>2Q15</v>
      </c>
      <c r="DH44" s="1388" t="str">
        <f t="shared" si="65"/>
        <v>3Q15</v>
      </c>
      <c r="DI44" s="1388" t="str">
        <f t="shared" si="65"/>
        <v>4Q15</v>
      </c>
      <c r="DJ44" s="1388" t="str">
        <f t="shared" si="65"/>
        <v>1Q16</v>
      </c>
      <c r="DK44" s="1388" t="str">
        <f t="shared" si="65"/>
        <v>2Q16</v>
      </c>
      <c r="DL44" s="1388" t="str">
        <f t="shared" si="65"/>
        <v>3Q16</v>
      </c>
      <c r="DM44" s="1388" t="str">
        <f t="shared" si="65"/>
        <v>4Q16</v>
      </c>
      <c r="DN44" s="1388" t="str">
        <f t="shared" si="65"/>
        <v>1Q17</v>
      </c>
      <c r="DO44" s="1388" t="str">
        <f t="shared" si="65"/>
        <v>2Q17</v>
      </c>
      <c r="DP44" s="1388" t="str">
        <f t="shared" si="65"/>
        <v>3Q17</v>
      </c>
      <c r="DQ44" s="1388" t="str">
        <f t="shared" si="65"/>
        <v>4Q17</v>
      </c>
      <c r="DU44" s="228"/>
      <c r="DV44" s="228"/>
      <c r="DW44" s="228"/>
      <c r="DX44" s="228"/>
      <c r="DY44" s="228"/>
      <c r="DZ44" s="228"/>
    </row>
    <row r="45" spans="1:150" hidden="1" outlineLevel="1">
      <c r="A45" s="1802" t="s">
        <v>215</v>
      </c>
      <c r="B45" s="858">
        <v>0.06</v>
      </c>
      <c r="C45" s="857"/>
      <c r="D45" s="858"/>
      <c r="E45" s="858"/>
      <c r="F45" s="858"/>
      <c r="G45" s="859"/>
      <c r="H45" s="858"/>
      <c r="I45" s="857"/>
      <c r="J45" s="858"/>
      <c r="K45" s="858"/>
      <c r="L45" s="858"/>
      <c r="M45" s="859"/>
      <c r="N45" s="858"/>
      <c r="O45" s="857"/>
      <c r="P45" s="858"/>
      <c r="Q45" s="858"/>
      <c r="R45" s="858"/>
      <c r="S45" s="859"/>
      <c r="T45" s="858"/>
      <c r="U45" s="857"/>
      <c r="V45" s="858"/>
      <c r="W45" s="858"/>
      <c r="X45" s="858"/>
      <c r="Y45" s="859"/>
      <c r="Z45" s="858"/>
      <c r="AA45" s="857"/>
      <c r="AB45" s="858"/>
      <c r="AC45" s="858"/>
      <c r="AD45" s="858"/>
      <c r="AE45" s="859"/>
      <c r="AF45" s="858"/>
      <c r="AG45" s="780">
        <f t="shared" si="55"/>
        <v>0.04</v>
      </c>
      <c r="AH45" s="454">
        <f t="shared" si="55"/>
        <v>1.7999999999999999E-2</v>
      </c>
      <c r="AI45" s="454">
        <f t="shared" si="55"/>
        <v>0</v>
      </c>
      <c r="AJ45" s="454">
        <f t="shared" si="55"/>
        <v>-5.0000000000000001E-3</v>
      </c>
      <c r="AK45" s="781">
        <f t="shared" si="55"/>
        <v>1.2661150591449566E-2</v>
      </c>
      <c r="AL45" s="454"/>
      <c r="AM45" s="780">
        <f t="shared" si="56"/>
        <v>8.0000000000000002E-3</v>
      </c>
      <c r="AN45" s="454">
        <f t="shared" si="56"/>
        <v>0</v>
      </c>
      <c r="AO45" s="454">
        <f t="shared" si="56"/>
        <v>0.03</v>
      </c>
      <c r="AP45" s="454">
        <f t="shared" si="56"/>
        <v>-3.3961628789844656E-2</v>
      </c>
      <c r="AQ45" s="781">
        <f t="shared" si="56"/>
        <v>-3.3919207937072038E-4</v>
      </c>
      <c r="AR45" s="454"/>
      <c r="AS45" s="780">
        <f t="shared" si="57"/>
        <v>-0.02</v>
      </c>
      <c r="AT45" s="454">
        <f t="shared" si="57"/>
        <v>-1.6E-2</v>
      </c>
      <c r="AU45" s="454">
        <f t="shared" si="57"/>
        <v>6.2E-2</v>
      </c>
      <c r="AV45" s="454">
        <f t="shared" si="57"/>
        <v>4.7038371210155347E-2</v>
      </c>
      <c r="AW45" s="781">
        <f t="shared" si="57"/>
        <v>1.8294573409641801E-2</v>
      </c>
      <c r="AX45" s="454"/>
      <c r="AY45" s="780">
        <f t="shared" si="58"/>
        <v>3.2000000000000001E-2</v>
      </c>
      <c r="AZ45" s="454">
        <f t="shared" si="58"/>
        <v>3.2000000000000001E-2</v>
      </c>
      <c r="BA45" s="454">
        <f t="shared" si="58"/>
        <v>4.2000000000000003E-2</v>
      </c>
      <c r="BB45" s="454">
        <f t="shared" si="58"/>
        <v>0.121</v>
      </c>
      <c r="BC45" s="781">
        <f t="shared" si="58"/>
        <v>5.754491608046209E-2</v>
      </c>
      <c r="BD45" s="454"/>
      <c r="BE45" s="780">
        <f t="shared" si="59"/>
        <v>7.0000000000000007E-2</v>
      </c>
      <c r="BF45" s="454">
        <f t="shared" si="59"/>
        <v>4.472422794372647E-2</v>
      </c>
      <c r="BG45" s="454">
        <f t="shared" si="59"/>
        <v>-8.7589453085023194E-2</v>
      </c>
      <c r="BH45" s="454">
        <f t="shared" si="59"/>
        <v>-6.9991691461603167E-2</v>
      </c>
      <c r="BI45" s="781">
        <f t="shared" si="59"/>
        <v>-1.0714229150724973E-2</v>
      </c>
      <c r="BJ45" s="454"/>
      <c r="BK45" s="780">
        <f t="shared" si="60"/>
        <v>6.4489601758511164E-2</v>
      </c>
      <c r="BL45" s="454">
        <f t="shared" si="60"/>
        <v>2.0179163653509191E-2</v>
      </c>
      <c r="BM45" s="454">
        <f t="shared" si="60"/>
        <v>-6.1589453085023206E-2</v>
      </c>
      <c r="BN45" s="454">
        <f t="shared" si="60"/>
        <v>3.5008308538396829E-2</v>
      </c>
      <c r="BO45" s="781">
        <f t="shared" si="60"/>
        <v>1.4521905216348496E-2</v>
      </c>
      <c r="BP45" s="454"/>
      <c r="BQ45" s="780">
        <f t="shared" si="61"/>
        <v>0.10448960175851116</v>
      </c>
      <c r="BR45" s="454">
        <f t="shared" si="61"/>
        <v>9.5454935709782723E-2</v>
      </c>
      <c r="BS45" s="454">
        <f t="shared" si="61"/>
        <v>9.6000000000000002E-2</v>
      </c>
      <c r="BT45" s="454">
        <f t="shared" si="61"/>
        <v>0.19</v>
      </c>
      <c r="BU45" s="781">
        <f t="shared" si="61"/>
        <v>0.12058793121798858</v>
      </c>
      <c r="BV45" s="454"/>
      <c r="BW45" s="780">
        <f t="shared" si="62"/>
        <v>0.15</v>
      </c>
      <c r="BX45" s="454">
        <f t="shared" si="62"/>
        <v>0.15</v>
      </c>
      <c r="BY45" s="454">
        <f t="shared" si="62"/>
        <v>0.12</v>
      </c>
      <c r="BZ45" s="454">
        <f t="shared" si="62"/>
        <v>0.1</v>
      </c>
      <c r="CA45" s="781">
        <f t="shared" si="62"/>
        <v>0.12910179685091516</v>
      </c>
      <c r="CB45" s="454"/>
      <c r="CC45" s="780">
        <f t="shared" si="63"/>
        <v>0.09</v>
      </c>
      <c r="CD45" s="454">
        <f t="shared" si="63"/>
        <v>0.09</v>
      </c>
      <c r="CE45" s="454">
        <f t="shared" si="63"/>
        <v>0.09</v>
      </c>
      <c r="CF45" s="454">
        <f t="shared" si="63"/>
        <v>0.09</v>
      </c>
      <c r="CG45" s="781">
        <f t="shared" si="63"/>
        <v>9.000000000000008E-2</v>
      </c>
      <c r="CH45" s="454"/>
      <c r="CI45" s="780">
        <f t="shared" si="64"/>
        <v>0.06</v>
      </c>
      <c r="CJ45" s="454">
        <f t="shared" si="64"/>
        <v>0.06</v>
      </c>
      <c r="CK45" s="454">
        <f t="shared" si="64"/>
        <v>0.06</v>
      </c>
      <c r="CL45" s="454">
        <f t="shared" si="64"/>
        <v>0.06</v>
      </c>
      <c r="CM45" s="781">
        <f t="shared" si="64"/>
        <v>6.0000000000000053E-2</v>
      </c>
      <c r="CN45" s="833"/>
      <c r="CO45" s="833"/>
      <c r="CP45" s="833"/>
      <c r="CQ45" s="833"/>
      <c r="CR45" s="856"/>
      <c r="CS45" s="1389" t="s">
        <v>553</v>
      </c>
      <c r="CT45" s="1390">
        <f>ProFormaRevBuild!AG166</f>
        <v>0.02</v>
      </c>
      <c r="CU45" s="1390">
        <f>ProFormaRevBuild!AH166</f>
        <v>-0.08</v>
      </c>
      <c r="CV45" s="1390">
        <f>ProFormaRevBuild!AI166</f>
        <v>0.08</v>
      </c>
      <c r="CW45" s="1390">
        <f>ProFormaRevBuild!AJ166</f>
        <v>0</v>
      </c>
      <c r="CX45" s="1390">
        <f>ProFormaRevBuild!AM166</f>
        <v>-0.05</v>
      </c>
      <c r="CY45" s="1390">
        <f>ProFormaRevBuild!AN166</f>
        <v>-0.03</v>
      </c>
      <c r="CZ45" s="1390">
        <f>ProFormaRevBuild!AO166</f>
        <v>-0.05</v>
      </c>
      <c r="DA45" s="1390">
        <f>ProFormaRevBuild!AP166</f>
        <v>0.02</v>
      </c>
      <c r="DB45" s="1390">
        <f>ProFormaRevBuild!AS166</f>
        <v>0</v>
      </c>
      <c r="DC45" s="1390">
        <f>ProFormaRevBuild!AT166</f>
        <v>-0.105</v>
      </c>
      <c r="DD45" s="1390">
        <f>ProFormaRevBuild!AU166</f>
        <v>-0.02</v>
      </c>
      <c r="DE45" s="1390">
        <f>ProFormaRevBuild!AV166</f>
        <v>0.02</v>
      </c>
      <c r="DF45" s="1390">
        <f>ProFormaRevBuild!AY166</f>
        <v>2.5000000000000001E-2</v>
      </c>
      <c r="DG45" s="1390">
        <f>ProFormaRevBuild!AZ166</f>
        <v>0.08</v>
      </c>
      <c r="DH45" s="1390">
        <f>ProFormaRevBuild!BA166</f>
        <v>-0.02</v>
      </c>
      <c r="DI45" s="1390">
        <f>ProFormaRevBuild!BB166</f>
        <v>0.02</v>
      </c>
      <c r="DJ45" s="1390">
        <f>ProFormaRevBuild!BE166</f>
        <v>0.02</v>
      </c>
      <c r="DK45" s="1390">
        <f>ProFormaRevBuild!BF166</f>
        <v>-0.04</v>
      </c>
      <c r="DL45" s="1390">
        <f>ProFormaRevBuild!BG166</f>
        <v>4.0000000000000036E-3</v>
      </c>
      <c r="DM45" s="1390">
        <f>ProFormaRevBuild!BH166</f>
        <v>0.05</v>
      </c>
      <c r="DN45" s="1390">
        <f>ProFormaRevBuild!BK166</f>
        <v>-2.6000000000000002E-2</v>
      </c>
      <c r="DO45" s="1390">
        <f>ProFormaRevBuild!BL166</f>
        <v>-4.9999999999999992E-3</v>
      </c>
      <c r="DP45" s="1390">
        <f>ProFormaRevBuild!BM166</f>
        <v>1.0999999999999999E-2</v>
      </c>
      <c r="DQ45" s="1390">
        <f>ProFormaRevBuild!BN166</f>
        <v>-0.02</v>
      </c>
      <c r="DU45" s="228"/>
      <c r="DV45" s="1390"/>
      <c r="DW45" s="1390"/>
      <c r="DX45" s="228"/>
      <c r="DY45" s="1390"/>
      <c r="DZ45" s="1390"/>
      <c r="EA45" s="1390"/>
      <c r="EB45" s="1390"/>
      <c r="EC45" s="1390"/>
      <c r="ED45" s="1390"/>
      <c r="EE45" s="1390"/>
      <c r="EF45" s="1390"/>
      <c r="EG45" s="1390"/>
      <c r="EH45" s="1390"/>
      <c r="EI45" s="1390"/>
      <c r="EJ45" s="1390"/>
      <c r="EK45" s="1390"/>
      <c r="EL45" s="1390"/>
      <c r="EM45" s="1390"/>
      <c r="EN45" s="1390"/>
      <c r="EO45" s="1390"/>
      <c r="EP45" s="1390"/>
      <c r="EQ45" s="1390"/>
      <c r="ER45" s="1390"/>
      <c r="ES45" s="1390"/>
      <c r="ET45" s="1390"/>
    </row>
    <row r="46" spans="1:150" hidden="1" outlineLevel="1">
      <c r="A46" s="1007" t="s">
        <v>216</v>
      </c>
      <c r="B46" s="454"/>
      <c r="C46" s="780"/>
      <c r="D46" s="454"/>
      <c r="E46" s="454"/>
      <c r="F46" s="454"/>
      <c r="G46" s="781"/>
      <c r="H46" s="454"/>
      <c r="I46" s="780"/>
      <c r="J46" s="454"/>
      <c r="K46" s="454"/>
      <c r="L46" s="454"/>
      <c r="M46" s="781"/>
      <c r="N46" s="454"/>
      <c r="O46" s="780"/>
      <c r="P46" s="454"/>
      <c r="Q46" s="454"/>
      <c r="R46" s="454"/>
      <c r="S46" s="781"/>
      <c r="T46" s="454"/>
      <c r="U46" s="780"/>
      <c r="V46" s="454"/>
      <c r="W46" s="454"/>
      <c r="X46" s="454"/>
      <c r="Y46" s="781"/>
      <c r="Z46" s="454"/>
      <c r="AA46" s="780"/>
      <c r="AB46" s="454"/>
      <c r="AC46" s="454"/>
      <c r="AD46" s="454"/>
      <c r="AE46" s="781"/>
      <c r="AF46" s="454"/>
      <c r="AG46" s="780">
        <f t="shared" si="55"/>
        <v>0.04</v>
      </c>
      <c r="AH46" s="454">
        <f t="shared" si="55"/>
        <v>-2.1000000000000001E-2</v>
      </c>
      <c r="AI46" s="454">
        <f t="shared" si="55"/>
        <v>-8.5000000000000006E-2</v>
      </c>
      <c r="AJ46" s="454">
        <f t="shared" si="55"/>
        <v>-0.11</v>
      </c>
      <c r="AK46" s="781">
        <f t="shared" si="55"/>
        <v>-4.5896706847454283E-2</v>
      </c>
      <c r="AL46" s="454"/>
      <c r="AM46" s="780">
        <f t="shared" si="56"/>
        <v>-0.12496128478848054</v>
      </c>
      <c r="AN46" s="454">
        <f t="shared" si="56"/>
        <v>3.0999999999999996E-2</v>
      </c>
      <c r="AO46" s="454">
        <f t="shared" si="56"/>
        <v>-5.5000000000000007E-2</v>
      </c>
      <c r="AP46" s="454">
        <f t="shared" si="56"/>
        <v>-7.0000000000000007E-2</v>
      </c>
      <c r="AQ46" s="781">
        <f t="shared" si="56"/>
        <v>-5.9488625838803211E-2</v>
      </c>
      <c r="AR46" s="454"/>
      <c r="AS46" s="780">
        <f t="shared" si="57"/>
        <v>-0.15296128478848053</v>
      </c>
      <c r="AT46" s="454">
        <f t="shared" si="57"/>
        <v>5.3999999999999999E-2</v>
      </c>
      <c r="AU46" s="454">
        <f t="shared" si="57"/>
        <v>6.2E-2</v>
      </c>
      <c r="AV46" s="454">
        <f t="shared" si="57"/>
        <v>7.1000000000000008E-2</v>
      </c>
      <c r="AW46" s="781">
        <f t="shared" si="57"/>
        <v>5.5617766348063924E-3</v>
      </c>
      <c r="AX46" s="454"/>
      <c r="AY46" s="780">
        <f t="shared" si="58"/>
        <v>9.1999999999999998E-2</v>
      </c>
      <c r="AZ46" s="454">
        <f t="shared" si="58"/>
        <v>5.2000000000000005E-2</v>
      </c>
      <c r="BA46" s="454">
        <f t="shared" si="58"/>
        <v>4.2000000000000003E-2</v>
      </c>
      <c r="BB46" s="454">
        <f t="shared" si="58"/>
        <v>7.1000000000000008E-2</v>
      </c>
      <c r="BC46" s="781">
        <f t="shared" si="58"/>
        <v>6.4153695626155333E-2</v>
      </c>
      <c r="BD46" s="454"/>
      <c r="BE46" s="780">
        <f t="shared" si="59"/>
        <v>0.05</v>
      </c>
      <c r="BF46" s="454">
        <f t="shared" si="59"/>
        <v>-4.2499999999999996E-2</v>
      </c>
      <c r="BG46" s="454">
        <f t="shared" si="59"/>
        <v>5.9000000000000004E-2</v>
      </c>
      <c r="BH46" s="454">
        <f t="shared" si="59"/>
        <v>-1.9999999999999997E-2</v>
      </c>
      <c r="BI46" s="781">
        <f t="shared" si="59"/>
        <v>1.1625000000000003E-2</v>
      </c>
      <c r="BJ46" s="454"/>
      <c r="BK46" s="780">
        <f t="shared" si="60"/>
        <v>-4.0999999999999995E-2</v>
      </c>
      <c r="BL46" s="454">
        <f t="shared" si="60"/>
        <v>-5.2499999999999998E-2</v>
      </c>
      <c r="BM46" s="454">
        <f t="shared" si="60"/>
        <v>8.4999999999999992E-2</v>
      </c>
      <c r="BN46" s="454">
        <f t="shared" si="60"/>
        <v>0.05</v>
      </c>
      <c r="BO46" s="781">
        <f t="shared" si="60"/>
        <v>1.0374999999999995E-2</v>
      </c>
      <c r="BP46" s="454"/>
      <c r="BQ46" s="780">
        <f t="shared" si="61"/>
        <v>8.900000000000001E-2</v>
      </c>
      <c r="BR46" s="454">
        <f t="shared" si="61"/>
        <v>0.12</v>
      </c>
      <c r="BS46" s="454">
        <f t="shared" si="61"/>
        <v>6.6000000000000003E-2</v>
      </c>
      <c r="BT46" s="454">
        <f t="shared" si="61"/>
        <v>0.1</v>
      </c>
      <c r="BU46" s="781">
        <f t="shared" si="61"/>
        <v>8.9888544971705328E-2</v>
      </c>
      <c r="BV46" s="454"/>
      <c r="BW46" s="780">
        <f t="shared" si="62"/>
        <v>0.15000000000000002</v>
      </c>
      <c r="BX46" s="454">
        <f t="shared" si="62"/>
        <v>0.13</v>
      </c>
      <c r="BY46" s="454">
        <f t="shared" si="62"/>
        <v>0.08</v>
      </c>
      <c r="BZ46" s="454">
        <f t="shared" si="62"/>
        <v>0.04</v>
      </c>
      <c r="CA46" s="781">
        <f t="shared" si="62"/>
        <v>9.6138544971705375E-2</v>
      </c>
      <c r="CB46" s="454"/>
      <c r="CC46" s="780">
        <f t="shared" si="63"/>
        <v>0.08</v>
      </c>
      <c r="CD46" s="454">
        <f t="shared" si="63"/>
        <v>0.08</v>
      </c>
      <c r="CE46" s="454">
        <f t="shared" si="63"/>
        <v>0.08</v>
      </c>
      <c r="CF46" s="454">
        <f t="shared" si="63"/>
        <v>0.08</v>
      </c>
      <c r="CG46" s="781">
        <f t="shared" si="63"/>
        <v>8.0000000000000071E-2</v>
      </c>
      <c r="CH46" s="454"/>
      <c r="CI46" s="780">
        <f t="shared" si="64"/>
        <v>0.06</v>
      </c>
      <c r="CJ46" s="454">
        <f t="shared" si="64"/>
        <v>0.06</v>
      </c>
      <c r="CK46" s="454">
        <f t="shared" si="64"/>
        <v>0.06</v>
      </c>
      <c r="CL46" s="454">
        <f t="shared" si="64"/>
        <v>0.06</v>
      </c>
      <c r="CM46" s="781">
        <f t="shared" si="64"/>
        <v>6.0000000000000053E-2</v>
      </c>
      <c r="CN46" s="228"/>
      <c r="CO46" s="228"/>
      <c r="CP46" s="228"/>
      <c r="CQ46" s="228"/>
      <c r="CR46" s="228"/>
      <c r="CS46" s="1393" t="s">
        <v>215</v>
      </c>
      <c r="CT46" s="1394">
        <f>ProFormaRevBuild!AG163</f>
        <v>0.02</v>
      </c>
      <c r="CU46" s="1394">
        <f>ProFormaRevBuild!AH163</f>
        <v>0.02</v>
      </c>
      <c r="CV46" s="1394">
        <f>ProFormaRevBuild!AI163</f>
        <v>0.02</v>
      </c>
      <c r="CW46" s="1394">
        <f>ProFormaRevBuild!AJ163</f>
        <v>0</v>
      </c>
      <c r="CX46" s="1394">
        <f>ProFormaRevBuild!AM163</f>
        <v>-0.02</v>
      </c>
      <c r="CY46" s="1394">
        <f>ProFormaRevBuild!AN163</f>
        <v>-0.02</v>
      </c>
      <c r="CZ46" s="1394">
        <f>ProFormaRevBuild!AO163</f>
        <v>0.02</v>
      </c>
      <c r="DA46" s="1394">
        <f>ProFormaRevBuild!AP163</f>
        <v>-0.02</v>
      </c>
      <c r="DB46" s="1394">
        <f>ProFormaRevBuild!AS163</f>
        <v>0</v>
      </c>
      <c r="DC46" s="1394">
        <f>ProFormaRevBuild!AT163</f>
        <v>-0.01</v>
      </c>
      <c r="DD46" s="1394">
        <f>ProFormaRevBuild!AU163</f>
        <v>0.02</v>
      </c>
      <c r="DE46" s="1394">
        <f>ProFormaRevBuild!AV163</f>
        <v>6.5000000000000002E-2</v>
      </c>
      <c r="DF46" s="1394">
        <f>ProFormaRevBuild!AY163</f>
        <v>0.02</v>
      </c>
      <c r="DG46" s="1394">
        <f>ProFormaRevBuild!AZ163</f>
        <v>0.03</v>
      </c>
      <c r="DH46" s="1394">
        <f>ProFormaRevBuild!BA163</f>
        <v>1.0000000000000002E-2</v>
      </c>
      <c r="DI46" s="1394">
        <f>ProFormaRevBuild!BB163</f>
        <v>4.4999999999999998E-2</v>
      </c>
      <c r="DJ46" s="1394">
        <f>ProFormaRevBuild!BE163</f>
        <v>8.5000000000000006E-2</v>
      </c>
      <c r="DK46" s="1394">
        <f>ProFormaRevBuild!BF163</f>
        <v>0.09</v>
      </c>
      <c r="DL46" s="1394">
        <f>ProFormaRevBuild!BG163</f>
        <v>-5.6000000000000001E-2</v>
      </c>
      <c r="DM46" s="1394">
        <f>ProFormaRevBuild!BH163</f>
        <v>-0.05</v>
      </c>
      <c r="DN46" s="1394">
        <f>ProFormaRevBuild!BK163</f>
        <v>7.3999999999999996E-2</v>
      </c>
      <c r="DO46" s="1394">
        <f>ProFormaRevBuild!BL163</f>
        <v>3.5000000000000003E-2</v>
      </c>
      <c r="DP46" s="1394">
        <f>ProFormaRevBuild!BM163</f>
        <v>1.0999999999999999E-2</v>
      </c>
      <c r="DQ46" s="1394">
        <f>ProFormaRevBuild!BN163</f>
        <v>0.12</v>
      </c>
      <c r="DU46" s="228"/>
      <c r="DV46" s="1390"/>
      <c r="DW46" s="1390"/>
      <c r="DX46" s="228"/>
      <c r="DY46" s="1390"/>
      <c r="DZ46" s="1390"/>
      <c r="EA46" s="1390"/>
      <c r="EB46" s="1390"/>
      <c r="EC46" s="1390"/>
      <c r="ED46" s="1390"/>
      <c r="EE46" s="1390"/>
      <c r="EF46" s="1390"/>
      <c r="EG46" s="1390"/>
      <c r="EH46" s="1390"/>
      <c r="EI46" s="1390"/>
      <c r="EJ46" s="1390"/>
      <c r="EK46" s="1390"/>
      <c r="EL46" s="1390"/>
      <c r="EM46" s="1390"/>
      <c r="EN46" s="1390"/>
      <c r="EO46" s="1390"/>
      <c r="EP46" s="1390"/>
      <c r="EQ46" s="1390"/>
      <c r="ER46" s="1390"/>
      <c r="ES46" s="1390"/>
      <c r="ET46" s="1390"/>
    </row>
    <row r="47" spans="1:150" hidden="1" outlineLevel="1">
      <c r="A47" s="897" t="s">
        <v>213</v>
      </c>
      <c r="B47" s="454"/>
      <c r="C47" s="780"/>
      <c r="D47" s="454"/>
      <c r="E47" s="454"/>
      <c r="F47" s="454"/>
      <c r="G47" s="781"/>
      <c r="H47" s="454"/>
      <c r="I47" s="780"/>
      <c r="J47" s="454"/>
      <c r="K47" s="454"/>
      <c r="L47" s="454"/>
      <c r="M47" s="781"/>
      <c r="N47" s="454"/>
      <c r="O47" s="780"/>
      <c r="P47" s="454"/>
      <c r="Q47" s="454"/>
      <c r="R47" s="454"/>
      <c r="S47" s="781"/>
      <c r="T47" s="454"/>
      <c r="U47" s="780"/>
      <c r="V47" s="454"/>
      <c r="W47" s="454"/>
      <c r="X47" s="454"/>
      <c r="Y47" s="781"/>
      <c r="Z47" s="454"/>
      <c r="AA47" s="780"/>
      <c r="AB47" s="454"/>
      <c r="AC47" s="454"/>
      <c r="AD47" s="454"/>
      <c r="AE47" s="781"/>
      <c r="AF47" s="454"/>
      <c r="AG47" s="780">
        <f t="shared" si="55"/>
        <v>0.04</v>
      </c>
      <c r="AH47" s="454">
        <f t="shared" si="55"/>
        <v>-8.1000000000000003E-2</v>
      </c>
      <c r="AI47" s="454">
        <f t="shared" si="55"/>
        <v>1.4266951377083864E-2</v>
      </c>
      <c r="AJ47" s="454">
        <f t="shared" si="55"/>
        <v>0.05</v>
      </c>
      <c r="AK47" s="781">
        <f t="shared" si="55"/>
        <v>8.6417524667243839E-3</v>
      </c>
      <c r="AL47" s="454"/>
      <c r="AM47" s="780">
        <f t="shared" si="56"/>
        <v>-4.9999999999999996E-2</v>
      </c>
      <c r="AN47" s="454">
        <f t="shared" si="56"/>
        <v>1.0000000000000009E-3</v>
      </c>
      <c r="AO47" s="454">
        <f t="shared" si="56"/>
        <v>0.10426695137708386</v>
      </c>
      <c r="AP47" s="454">
        <f t="shared" si="56"/>
        <v>6.0000000000000005E-2</v>
      </c>
      <c r="AQ47" s="781">
        <f t="shared" si="56"/>
        <v>2.2896856174998259E-2</v>
      </c>
      <c r="AR47" s="454"/>
      <c r="AS47" s="780">
        <f t="shared" si="57"/>
        <v>-2.7999999999999997E-2</v>
      </c>
      <c r="AT47" s="454">
        <f t="shared" si="57"/>
        <v>9.4E-2</v>
      </c>
      <c r="AU47" s="454">
        <f t="shared" si="57"/>
        <v>0.122</v>
      </c>
      <c r="AV47" s="454">
        <f t="shared" si="57"/>
        <v>7.0999999999999994E-2</v>
      </c>
      <c r="AW47" s="781">
        <f t="shared" si="57"/>
        <v>5.785330330482652E-2</v>
      </c>
      <c r="AX47" s="454"/>
      <c r="AY47" s="780">
        <f t="shared" si="58"/>
        <v>0.122</v>
      </c>
      <c r="AZ47" s="454">
        <f t="shared" si="58"/>
        <v>0.112</v>
      </c>
      <c r="BA47" s="454">
        <f t="shared" si="58"/>
        <v>9.1999999999999998E-2</v>
      </c>
      <c r="BB47" s="454">
        <f t="shared" si="58"/>
        <v>0.14100000000000001</v>
      </c>
      <c r="BC47" s="781">
        <f t="shared" si="58"/>
        <v>0.11859819959655264</v>
      </c>
      <c r="BD47" s="454"/>
      <c r="BE47" s="780">
        <f t="shared" si="59"/>
        <v>0.13</v>
      </c>
      <c r="BF47" s="454">
        <f t="shared" si="59"/>
        <v>0.13</v>
      </c>
      <c r="BG47" s="454">
        <f t="shared" si="59"/>
        <v>9.4E-2</v>
      </c>
      <c r="BH47" s="454">
        <f t="shared" si="59"/>
        <v>0.1</v>
      </c>
      <c r="BI47" s="781">
        <f t="shared" si="59"/>
        <v>0.11349999999999999</v>
      </c>
      <c r="BJ47" s="454"/>
      <c r="BK47" s="780">
        <f t="shared" si="60"/>
        <v>0.10400000000000001</v>
      </c>
      <c r="BL47" s="454">
        <f t="shared" si="60"/>
        <v>6.5000000000000002E-2</v>
      </c>
      <c r="BM47" s="454">
        <f t="shared" si="60"/>
        <v>9.5000000000000001E-2</v>
      </c>
      <c r="BN47" s="454">
        <f t="shared" si="60"/>
        <v>0.16999999999999998</v>
      </c>
      <c r="BO47" s="781">
        <f t="shared" si="60"/>
        <v>0.10850000000000001</v>
      </c>
      <c r="BP47" s="454"/>
      <c r="BQ47" s="780">
        <f t="shared" si="61"/>
        <v>0.129</v>
      </c>
      <c r="BR47" s="454">
        <f t="shared" si="61"/>
        <v>0.13</v>
      </c>
      <c r="BS47" s="454">
        <f t="shared" si="61"/>
        <v>0.126</v>
      </c>
      <c r="BT47" s="454">
        <f t="shared" si="61"/>
        <v>0.19500000000000001</v>
      </c>
      <c r="BU47" s="781">
        <f t="shared" si="61"/>
        <v>0.14233156549770037</v>
      </c>
      <c r="BV47" s="454"/>
      <c r="BW47" s="780">
        <f t="shared" si="62"/>
        <v>0.13500000000000001</v>
      </c>
      <c r="BX47" s="454">
        <f t="shared" si="62"/>
        <v>0.13500000000000001</v>
      </c>
      <c r="BY47" s="454">
        <f t="shared" si="62"/>
        <v>0.10500000000000001</v>
      </c>
      <c r="BZ47" s="454">
        <f t="shared" si="62"/>
        <v>8.4999999999999992E-2</v>
      </c>
      <c r="CA47" s="781">
        <f t="shared" si="62"/>
        <v>0.1123315654977004</v>
      </c>
      <c r="CB47" s="454"/>
      <c r="CC47" s="780">
        <f t="shared" si="63"/>
        <v>7.7499999999999999E-2</v>
      </c>
      <c r="CD47" s="454">
        <f t="shared" si="63"/>
        <v>7.7499999999999999E-2</v>
      </c>
      <c r="CE47" s="454">
        <f t="shared" si="63"/>
        <v>7.7499999999999999E-2</v>
      </c>
      <c r="CF47" s="454">
        <f t="shared" si="63"/>
        <v>7.7499999999999999E-2</v>
      </c>
      <c r="CG47" s="781">
        <f t="shared" si="63"/>
        <v>7.7500000000000124E-2</v>
      </c>
      <c r="CH47" s="454"/>
      <c r="CI47" s="780">
        <f t="shared" si="64"/>
        <v>7.4999999999999997E-2</v>
      </c>
      <c r="CJ47" s="454">
        <f t="shared" si="64"/>
        <v>7.4999999999999997E-2</v>
      </c>
      <c r="CK47" s="454">
        <f t="shared" si="64"/>
        <v>7.4999999999999997E-2</v>
      </c>
      <c r="CL47" s="454">
        <f t="shared" si="64"/>
        <v>7.4999999999999997E-2</v>
      </c>
      <c r="CM47" s="781">
        <f t="shared" si="64"/>
        <v>7.5000000000000178E-2</v>
      </c>
      <c r="CR47" s="228"/>
      <c r="CS47" s="1389" t="s">
        <v>556</v>
      </c>
      <c r="CT47" s="1390" t="str">
        <f>ProFormaRevBuild!AG162</f>
        <v>--</v>
      </c>
      <c r="CU47" s="1390" t="str">
        <f>ProFormaRevBuild!AH162</f>
        <v>--</v>
      </c>
      <c r="CV47" s="1390" t="str">
        <f>ProFormaRevBuild!AI162</f>
        <v>--</v>
      </c>
      <c r="CW47" s="1390" t="str">
        <f>ProFormaRevBuild!AJ162</f>
        <v>--</v>
      </c>
      <c r="CX47" s="1390" t="str">
        <f>ProFormaRevBuild!AM162</f>
        <v>--</v>
      </c>
      <c r="CY47" s="1390" t="str">
        <f>ProFormaRevBuild!AN162</f>
        <v>--</v>
      </c>
      <c r="CZ47" s="1390" t="str">
        <f>ProFormaRevBuild!AO162</f>
        <v>--</v>
      </c>
      <c r="DA47" s="1390" t="str">
        <f>ProFormaRevBuild!AP162</f>
        <v>--</v>
      </c>
      <c r="DB47" s="1390" t="str">
        <f>ProFormaRevBuild!AS162</f>
        <v>--</v>
      </c>
      <c r="DC47" s="1390" t="str">
        <f>ProFormaRevBuild!AT162</f>
        <v>--</v>
      </c>
      <c r="DD47" s="1390" t="str">
        <f>ProFormaRevBuild!AU162</f>
        <v>--</v>
      </c>
      <c r="DE47" s="1390">
        <f>ProFormaRevBuild!AV162</f>
        <v>6.5000000000000002E-2</v>
      </c>
      <c r="DF47" s="1390">
        <f>ProFormaRevBuild!AY162</f>
        <v>0.04</v>
      </c>
      <c r="DG47" s="1390">
        <f>ProFormaRevBuild!AZ162</f>
        <v>0.06</v>
      </c>
      <c r="DH47" s="1390">
        <f>ProFormaRevBuild!BA162</f>
        <v>0.04</v>
      </c>
      <c r="DI47" s="1390">
        <f>ProFormaRevBuild!BB162</f>
        <v>8.5000000000000006E-2</v>
      </c>
      <c r="DJ47" s="1390">
        <f>ProFormaRevBuild!BE162</f>
        <v>8.5000000000000006E-2</v>
      </c>
      <c r="DK47" s="1390">
        <f>ProFormaRevBuild!BF162</f>
        <v>0.17</v>
      </c>
      <c r="DL47" s="1390">
        <f>ProFormaRevBuild!BG162</f>
        <v>0.20400000000000001</v>
      </c>
      <c r="DM47" s="1390">
        <f>ProFormaRevBuild!BH162</f>
        <v>0.13500000000000001</v>
      </c>
      <c r="DN47" s="1390">
        <f>ProFormaRevBuild!BK162</f>
        <v>4.4000000000000004E-2</v>
      </c>
      <c r="DO47" s="1390">
        <f>ProFormaRevBuild!BL162</f>
        <v>-4.9999999999999992E-3</v>
      </c>
      <c r="DP47" s="1390">
        <f>ProFormaRevBuild!BM162</f>
        <v>0.21099999999999999</v>
      </c>
      <c r="DQ47" s="1390">
        <f>ProFormaRevBuild!BN162</f>
        <v>0.08</v>
      </c>
      <c r="DU47" s="228"/>
      <c r="DV47" s="1390"/>
      <c r="DW47" s="1390"/>
      <c r="DX47" s="228"/>
      <c r="DY47" s="1390"/>
      <c r="DZ47" s="1390"/>
      <c r="EA47" s="1390"/>
      <c r="EB47" s="1390"/>
      <c r="EC47" s="1390"/>
      <c r="ED47" s="1390"/>
      <c r="EE47" s="1390"/>
      <c r="EF47" s="1390"/>
      <c r="EG47" s="1390"/>
      <c r="EH47" s="1390"/>
      <c r="EI47" s="1390"/>
      <c r="EJ47" s="1390"/>
      <c r="EK47" s="1390"/>
      <c r="EL47" s="1390"/>
      <c r="EM47" s="1390"/>
      <c r="EN47" s="1390"/>
      <c r="EO47" s="1390"/>
      <c r="EP47" s="1390"/>
      <c r="EQ47" s="1390"/>
      <c r="ER47" s="1390"/>
      <c r="ES47" s="1390"/>
      <c r="ET47" s="1390"/>
    </row>
    <row r="48" spans="1:150" hidden="1" outlineLevel="1">
      <c r="A48" s="897" t="s">
        <v>214</v>
      </c>
      <c r="B48" s="454"/>
      <c r="C48" s="780"/>
      <c r="D48" s="454"/>
      <c r="E48" s="454"/>
      <c r="F48" s="454"/>
      <c r="G48" s="781"/>
      <c r="H48" s="454"/>
      <c r="I48" s="780"/>
      <c r="J48" s="454"/>
      <c r="K48" s="454"/>
      <c r="L48" s="454"/>
      <c r="M48" s="781"/>
      <c r="N48" s="454"/>
      <c r="O48" s="780"/>
      <c r="P48" s="454"/>
      <c r="Q48" s="454"/>
      <c r="R48" s="454"/>
      <c r="S48" s="781"/>
      <c r="T48" s="454"/>
      <c r="U48" s="780"/>
      <c r="V48" s="454"/>
      <c r="W48" s="454"/>
      <c r="X48" s="454"/>
      <c r="Y48" s="781"/>
      <c r="Z48" s="454"/>
      <c r="AA48" s="780"/>
      <c r="AB48" s="454"/>
      <c r="AC48" s="454"/>
      <c r="AD48" s="454"/>
      <c r="AE48" s="781"/>
      <c r="AF48" s="454"/>
      <c r="AG48" s="780">
        <f t="shared" si="55"/>
        <v>3.9329234109348583E-2</v>
      </c>
      <c r="AH48" s="454">
        <f t="shared" si="55"/>
        <v>-8.1531988112971715E-2</v>
      </c>
      <c r="AI48" s="454">
        <f t="shared" si="55"/>
        <v>0</v>
      </c>
      <c r="AJ48" s="454">
        <f t="shared" si="55"/>
        <v>1.0873389574083819E-3</v>
      </c>
      <c r="AK48" s="781">
        <f t="shared" si="55"/>
        <v>-1.2109868933787515E-2</v>
      </c>
      <c r="AL48" s="454"/>
      <c r="AM48" s="780">
        <f t="shared" si="56"/>
        <v>-2.0670765890651414E-2</v>
      </c>
      <c r="AN48" s="454">
        <f t="shared" si="56"/>
        <v>-0.11023177998964065</v>
      </c>
      <c r="AO48" s="454">
        <f t="shared" si="56"/>
        <v>-4.513926513265229E-2</v>
      </c>
      <c r="AP48" s="454">
        <f t="shared" si="56"/>
        <v>1.1087338957408382E-2</v>
      </c>
      <c r="AQ48" s="781">
        <f t="shared" si="56"/>
        <v>-4.1119116753428386E-2</v>
      </c>
      <c r="AR48" s="454"/>
      <c r="AS48" s="780">
        <f t="shared" si="57"/>
        <v>-4.8000000000000001E-2</v>
      </c>
      <c r="AT48" s="454">
        <f t="shared" si="57"/>
        <v>-0.12169979187666893</v>
      </c>
      <c r="AU48" s="454">
        <f t="shared" si="57"/>
        <v>-5.313926513265229E-2</v>
      </c>
      <c r="AV48" s="454">
        <f t="shared" si="57"/>
        <v>4.1000000000000002E-2</v>
      </c>
      <c r="AW48" s="781">
        <f t="shared" si="57"/>
        <v>-4.1243567503210676E-2</v>
      </c>
      <c r="AX48" s="454"/>
      <c r="AY48" s="780">
        <f t="shared" si="58"/>
        <v>3.7000000000000005E-2</v>
      </c>
      <c r="AZ48" s="454">
        <f t="shared" si="58"/>
        <v>-1.2999999999999998E-2</v>
      </c>
      <c r="BA48" s="454">
        <f t="shared" si="58"/>
        <v>-2.8000000000000001E-2</v>
      </c>
      <c r="BB48" s="454">
        <f t="shared" si="58"/>
        <v>5.1000000000000004E-2</v>
      </c>
      <c r="BC48" s="781">
        <f t="shared" si="58"/>
        <v>1.4015680316430197E-2</v>
      </c>
      <c r="BD48" s="454"/>
      <c r="BE48" s="780">
        <f t="shared" si="59"/>
        <v>4.3565366323186375E-2</v>
      </c>
      <c r="BF48" s="454">
        <f t="shared" si="59"/>
        <v>0.04</v>
      </c>
      <c r="BG48" s="454">
        <f t="shared" si="59"/>
        <v>-1.5999999999999997E-2</v>
      </c>
      <c r="BH48" s="454">
        <f t="shared" si="59"/>
        <v>7.0000000000000007E-2</v>
      </c>
      <c r="BI48" s="781">
        <f t="shared" si="59"/>
        <v>3.4391341580796597E-2</v>
      </c>
      <c r="BJ48" s="454"/>
      <c r="BK48" s="780">
        <f t="shared" si="60"/>
        <v>-2.7434633676813626E-2</v>
      </c>
      <c r="BL48" s="454">
        <f t="shared" si="60"/>
        <v>-4.4999999999999998E-2</v>
      </c>
      <c r="BM48" s="454">
        <f t="shared" si="60"/>
        <v>3.9941770334360881E-2</v>
      </c>
      <c r="BN48" s="454">
        <f t="shared" si="60"/>
        <v>5.1238611135329931E-2</v>
      </c>
      <c r="BO48" s="781">
        <f t="shared" si="60"/>
        <v>4.6864369482192969E-3</v>
      </c>
      <c r="BP48" s="454"/>
      <c r="BQ48" s="780">
        <f t="shared" si="61"/>
        <v>3.9000000000000007E-2</v>
      </c>
      <c r="BR48" s="454">
        <f t="shared" si="61"/>
        <v>6.9999999999999993E-2</v>
      </c>
      <c r="BS48" s="454">
        <f t="shared" si="61"/>
        <v>7.0941770334360887E-2</v>
      </c>
      <c r="BT48" s="454">
        <f t="shared" si="61"/>
        <v>5.6638611135329926E-2</v>
      </c>
      <c r="BU48" s="781">
        <f t="shared" si="61"/>
        <v>5.6604977961546128E-2</v>
      </c>
      <c r="BV48" s="454"/>
      <c r="BW48" s="780">
        <f t="shared" si="62"/>
        <v>0.10500000000000001</v>
      </c>
      <c r="BX48" s="454">
        <f t="shared" si="62"/>
        <v>9.5000000000000001E-2</v>
      </c>
      <c r="BY48" s="454">
        <f t="shared" si="62"/>
        <v>5.5000000000000007E-2</v>
      </c>
      <c r="BZ48" s="454">
        <f t="shared" si="62"/>
        <v>7.5399999999999995E-2</v>
      </c>
      <c r="CA48" s="781">
        <f t="shared" si="62"/>
        <v>8.0059882594123444E-2</v>
      </c>
      <c r="CB48" s="454"/>
      <c r="CC48" s="780">
        <f t="shared" si="63"/>
        <v>0.03</v>
      </c>
      <c r="CD48" s="454">
        <f t="shared" si="63"/>
        <v>0.03</v>
      </c>
      <c r="CE48" s="454">
        <f t="shared" si="63"/>
        <v>0.03</v>
      </c>
      <c r="CF48" s="454">
        <f t="shared" si="63"/>
        <v>0.03</v>
      </c>
      <c r="CG48" s="781">
        <f t="shared" si="63"/>
        <v>3.0000000000000027E-2</v>
      </c>
      <c r="CH48" s="454"/>
      <c r="CI48" s="780">
        <f t="shared" si="64"/>
        <v>0.02</v>
      </c>
      <c r="CJ48" s="454">
        <f t="shared" si="64"/>
        <v>0.02</v>
      </c>
      <c r="CK48" s="454">
        <f t="shared" si="64"/>
        <v>0.02</v>
      </c>
      <c r="CL48" s="454">
        <f t="shared" si="64"/>
        <v>0.02</v>
      </c>
      <c r="CM48" s="781">
        <f t="shared" si="64"/>
        <v>2.0000000000000018E-2</v>
      </c>
      <c r="CR48" s="228"/>
      <c r="CS48" s="1393" t="s">
        <v>216</v>
      </c>
      <c r="CT48" s="1394">
        <f>ProFormaRevBuild!AG164</f>
        <v>0.02</v>
      </c>
      <c r="CU48" s="1394">
        <f>ProFormaRevBuild!AH164</f>
        <v>-0.02</v>
      </c>
      <c r="CV48" s="1394">
        <f>ProFormaRevBuild!AI164</f>
        <v>-0.02</v>
      </c>
      <c r="CW48" s="1394">
        <f>ProFormaRevBuild!AJ164</f>
        <v>-0.105</v>
      </c>
      <c r="CX48" s="1394">
        <f>ProFormaRevBuild!AM164</f>
        <v>-0.15</v>
      </c>
      <c r="CY48" s="1394">
        <f>ProFormaRevBuild!AN164</f>
        <v>0.05</v>
      </c>
      <c r="CZ48" s="1394">
        <f>ProFormaRevBuild!AO164</f>
        <v>0.02</v>
      </c>
      <c r="DA48" s="1394">
        <f>ProFormaRevBuild!AP164</f>
        <v>0.05</v>
      </c>
      <c r="DB48" s="1394">
        <f>ProFormaRevBuild!AS164</f>
        <v>0</v>
      </c>
      <c r="DC48" s="1394">
        <f>ProFormaRevBuild!AT164</f>
        <v>-0.01</v>
      </c>
      <c r="DD48" s="1394">
        <f>ProFormaRevBuild!AU164</f>
        <v>0.02</v>
      </c>
      <c r="DE48" s="1394">
        <f>ProFormaRevBuild!AV164</f>
        <v>0.02</v>
      </c>
      <c r="DF48" s="1394">
        <f>ProFormaRevBuild!AY164</f>
        <v>0.08</v>
      </c>
      <c r="DG48" s="1394">
        <f>ProFormaRevBuild!AZ164</f>
        <v>0.05</v>
      </c>
      <c r="DH48" s="1394">
        <f>ProFormaRevBuild!BA164</f>
        <v>1.0000000000000002E-2</v>
      </c>
      <c r="DI48" s="1394">
        <f>ProFormaRevBuild!BB164</f>
        <v>0.04</v>
      </c>
      <c r="DJ48" s="1394">
        <f>ProFormaRevBuild!BE164</f>
        <v>-0.02</v>
      </c>
      <c r="DK48" s="1394">
        <f>ProFormaRevBuild!BF164</f>
        <v>-9.2499999999999999E-2</v>
      </c>
      <c r="DL48" s="1394">
        <f>ProFormaRevBuild!BG164</f>
        <v>4.9000000000000002E-2</v>
      </c>
      <c r="DM48" s="1394">
        <f>ProFormaRevBuild!BH164</f>
        <v>-0.05</v>
      </c>
      <c r="DN48" s="1394">
        <f>ProFormaRevBuild!BK164</f>
        <v>-6.0000000000000001E-3</v>
      </c>
      <c r="DO48" s="1394">
        <f>ProFormaRevBuild!BL164</f>
        <v>0.04</v>
      </c>
      <c r="DP48" s="1394">
        <f>ProFormaRevBuild!BM164</f>
        <v>1.0999999999999999E-2</v>
      </c>
      <c r="DQ48" s="1394">
        <f>ProFormaRevBuild!BN164</f>
        <v>0.08</v>
      </c>
      <c r="DU48" s="228"/>
      <c r="DV48" s="1390"/>
      <c r="DW48" s="1390"/>
      <c r="DX48" s="228"/>
      <c r="DY48" s="1390"/>
      <c r="DZ48" s="1390"/>
      <c r="EA48" s="1390"/>
      <c r="EB48" s="1390"/>
      <c r="EC48" s="1390"/>
      <c r="ED48" s="1390"/>
      <c r="EE48" s="1390"/>
      <c r="EF48" s="1390"/>
      <c r="EG48" s="1390"/>
      <c r="EH48" s="1390"/>
      <c r="EI48" s="1390"/>
      <c r="EJ48" s="1390"/>
      <c r="EK48" s="1390"/>
      <c r="EL48" s="1390"/>
      <c r="EM48" s="1390"/>
      <c r="EN48" s="1390"/>
      <c r="EO48" s="1390"/>
      <c r="EP48" s="1390"/>
      <c r="EQ48" s="1390"/>
      <c r="ER48" s="1390"/>
      <c r="ES48" s="1390"/>
      <c r="ET48" s="1390"/>
    </row>
    <row r="49" spans="1:150" collapsed="1">
      <c r="A49" s="2324" t="s">
        <v>531</v>
      </c>
      <c r="B49" s="2325"/>
      <c r="C49" s="2326"/>
      <c r="D49" s="2325"/>
      <c r="E49" s="2325"/>
      <c r="F49" s="2325"/>
      <c r="G49" s="2327"/>
      <c r="H49" s="2325"/>
      <c r="I49" s="2326"/>
      <c r="J49" s="2325"/>
      <c r="K49" s="2325"/>
      <c r="L49" s="2325"/>
      <c r="M49" s="2327"/>
      <c r="N49" s="2325"/>
      <c r="O49" s="2326"/>
      <c r="P49" s="2325"/>
      <c r="Q49" s="2325"/>
      <c r="R49" s="2325"/>
      <c r="S49" s="2327"/>
      <c r="T49" s="2325"/>
      <c r="U49" s="2326"/>
      <c r="V49" s="2325"/>
      <c r="W49" s="2325"/>
      <c r="X49" s="2325"/>
      <c r="Y49" s="2327"/>
      <c r="Z49" s="2325"/>
      <c r="AA49" s="2326"/>
      <c r="AB49" s="2325"/>
      <c r="AC49" s="2325"/>
      <c r="AD49" s="2325"/>
      <c r="AE49" s="2327"/>
      <c r="AF49" s="2325"/>
      <c r="AG49" s="2328">
        <f t="shared" si="55"/>
        <v>0.67750740262497011</v>
      </c>
      <c r="AH49" s="2329">
        <f t="shared" si="55"/>
        <v>0.6803073280571309</v>
      </c>
      <c r="AI49" s="2329">
        <f t="shared" si="55"/>
        <v>0.63501999434459566</v>
      </c>
      <c r="AJ49" s="2329">
        <f t="shared" si="55"/>
        <v>0.67218835621152184</v>
      </c>
      <c r="AK49" s="2330">
        <f t="shared" si="55"/>
        <v>0.66346414159589406</v>
      </c>
      <c r="AL49" s="2329"/>
      <c r="AM49" s="2328">
        <f t="shared" si="56"/>
        <v>-1.3804838809094541E-2</v>
      </c>
      <c r="AN49" s="2329">
        <f t="shared" si="56"/>
        <v>5.8343006284678672E-2</v>
      </c>
      <c r="AO49" s="2329">
        <f t="shared" si="56"/>
        <v>5.8600182863379063E-2</v>
      </c>
      <c r="AP49" s="2329">
        <f t="shared" si="56"/>
        <v>2.2745133417218844E-2</v>
      </c>
      <c r="AQ49" s="2330">
        <f t="shared" si="56"/>
        <v>2.8811736596921194E-2</v>
      </c>
      <c r="AR49" s="2329"/>
      <c r="AS49" s="2328">
        <f t="shared" si="57"/>
        <v>1.9854031070806966E-2</v>
      </c>
      <c r="AT49" s="2329">
        <f t="shared" si="57"/>
        <v>2.4601190682678971E-2</v>
      </c>
      <c r="AU49" s="2329">
        <f t="shared" si="57"/>
        <v>6.6788794120254957E-2</v>
      </c>
      <c r="AV49" s="2329">
        <f t="shared" si="57"/>
        <v>9.7986123182605689E-2</v>
      </c>
      <c r="AW49" s="2330">
        <f t="shared" si="57"/>
        <v>5.3314010110268678E-2</v>
      </c>
      <c r="AX49" s="2329"/>
      <c r="AY49" s="2328">
        <f t="shared" si="58"/>
        <v>0.10911613687465128</v>
      </c>
      <c r="AZ49" s="2329">
        <f t="shared" si="58"/>
        <v>7.0787319694784218E-2</v>
      </c>
      <c r="BA49" s="2329">
        <f t="shared" si="58"/>
        <v>0.11018974263450283</v>
      </c>
      <c r="BB49" s="2329">
        <f t="shared" si="58"/>
        <v>0.12003671844875953</v>
      </c>
      <c r="BC49" s="2330">
        <f t="shared" si="58"/>
        <v>0.10237267492548197</v>
      </c>
      <c r="BD49" s="2329"/>
      <c r="BE49" s="2328">
        <f t="shared" si="59"/>
        <v>9.8176004900901503E-2</v>
      </c>
      <c r="BF49" s="2329">
        <f t="shared" si="59"/>
        <v>7.0413615024977533E-2</v>
      </c>
      <c r="BG49" s="2329">
        <f t="shared" si="59"/>
        <v>6.833708136463322E-2</v>
      </c>
      <c r="BH49" s="2329">
        <f t="shared" si="59"/>
        <v>1.6381731161290214E-2</v>
      </c>
      <c r="BI49" s="2330">
        <f t="shared" si="59"/>
        <v>6.1021953216599228E-2</v>
      </c>
      <c r="BJ49" s="2329"/>
      <c r="BK49" s="2328">
        <f t="shared" si="60"/>
        <v>5.9940455094618234E-2</v>
      </c>
      <c r="BL49" s="2329">
        <f t="shared" si="60"/>
        <v>2.6653094144399495E-2</v>
      </c>
      <c r="BM49" s="2329">
        <f t="shared" si="60"/>
        <v>3.8546729876927151E-2</v>
      </c>
      <c r="BN49" s="2329">
        <f t="shared" si="60"/>
        <v>5.1408892853277058E-2</v>
      </c>
      <c r="BO49" s="2330">
        <f t="shared" si="60"/>
        <v>4.3704976070333065E-2</v>
      </c>
      <c r="BP49" s="2329"/>
      <c r="BQ49" s="2328">
        <f t="shared" si="61"/>
        <v>6.4449200244329527E-2</v>
      </c>
      <c r="BR49" s="2329">
        <f t="shared" si="61"/>
        <v>7.6077368176207541E-2</v>
      </c>
      <c r="BS49" s="2329">
        <f t="shared" si="61"/>
        <v>8.3389458867397931E-2</v>
      </c>
      <c r="BT49" s="2329">
        <f t="shared" si="61"/>
        <v>0.100069719453525</v>
      </c>
      <c r="BU49" s="2330">
        <f t="shared" si="61"/>
        <v>8.1380836808301854E-2</v>
      </c>
      <c r="BV49" s="2329"/>
      <c r="BW49" s="2328">
        <f t="shared" si="62"/>
        <v>9.09019020319764E-2</v>
      </c>
      <c r="BX49" s="2329">
        <f t="shared" si="62"/>
        <v>9.6434106348082471E-2</v>
      </c>
      <c r="BY49" s="2329">
        <f t="shared" si="62"/>
        <v>8.6825325466888481E-2</v>
      </c>
      <c r="BZ49" s="2329">
        <f t="shared" si="62"/>
        <v>7.7137748910399068E-2</v>
      </c>
      <c r="CA49" s="2330">
        <f t="shared" si="62"/>
        <v>8.7352045150290311E-2</v>
      </c>
      <c r="CB49" s="2329"/>
      <c r="CC49" s="2328">
        <f t="shared" si="63"/>
        <v>7.154921276925541E-2</v>
      </c>
      <c r="CD49" s="2329">
        <f t="shared" si="63"/>
        <v>7.1206428272767353E-2</v>
      </c>
      <c r="CE49" s="2329">
        <f t="shared" si="63"/>
        <v>6.8993726453518978E-2</v>
      </c>
      <c r="CF49" s="2329">
        <f t="shared" si="63"/>
        <v>6.9334189922186429E-2</v>
      </c>
      <c r="CG49" s="2330">
        <f t="shared" si="63"/>
        <v>7.023077523879051E-2</v>
      </c>
      <c r="CH49" s="2329"/>
      <c r="CI49" s="2328">
        <f t="shared" si="64"/>
        <v>5.5567806066989078E-2</v>
      </c>
      <c r="CJ49" s="2329">
        <f t="shared" si="64"/>
        <v>5.5498906337071663E-2</v>
      </c>
      <c r="CK49" s="2329">
        <f t="shared" si="64"/>
        <v>5.3716348633003674E-2</v>
      </c>
      <c r="CL49" s="2329">
        <f t="shared" si="64"/>
        <v>5.4024800401196282E-2</v>
      </c>
      <c r="CM49" s="2330">
        <f t="shared" si="64"/>
        <v>5.4674520157315998E-2</v>
      </c>
      <c r="CR49" s="228"/>
      <c r="CS49" s="1389" t="s">
        <v>213</v>
      </c>
      <c r="CT49" s="1390">
        <f>ProFormaRevBuild!AG165</f>
        <v>0.02</v>
      </c>
      <c r="CU49" s="1390">
        <f>ProFormaRevBuild!AH165</f>
        <v>-0.08</v>
      </c>
      <c r="CV49" s="1390">
        <f>ProFormaRevBuild!AI165</f>
        <v>0.08</v>
      </c>
      <c r="CW49" s="1390">
        <f>ProFormaRevBuild!AJ165</f>
        <v>0.05</v>
      </c>
      <c r="CX49" s="1390" t="str">
        <f>ProFormaRevBuild!AM165</f>
        <v>--</v>
      </c>
      <c r="CY49" s="1390">
        <f>ProFormaRevBuild!AN165</f>
        <v>0.08</v>
      </c>
      <c r="CZ49" s="1390">
        <f>ProFormaRevBuild!AO165</f>
        <v>0.08</v>
      </c>
      <c r="DA49" s="1390">
        <f>ProFormaRevBuild!AP165</f>
        <v>0.02</v>
      </c>
      <c r="DB49" s="1390">
        <f>ProFormaRevBuild!AS165</f>
        <v>0.05</v>
      </c>
      <c r="DC49" s="1390">
        <f>ProFormaRevBuild!AT165</f>
        <v>0</v>
      </c>
      <c r="DD49" s="1390">
        <f>ProFormaRevBuild!AU165</f>
        <v>0.02</v>
      </c>
      <c r="DE49" s="1390">
        <f>ProFormaRevBuild!AV165</f>
        <v>0.05</v>
      </c>
      <c r="DF49" s="1390">
        <f>ProFormaRevBuild!AY165</f>
        <v>0.06</v>
      </c>
      <c r="DG49" s="1390">
        <f>ProFormaRevBuild!AZ165</f>
        <v>0.1</v>
      </c>
      <c r="DH49" s="1390">
        <f>ProFormaRevBuild!BA165</f>
        <v>6.0000000000000005E-2</v>
      </c>
      <c r="DI49" s="1390">
        <f>ProFormaRevBuild!BB165</f>
        <v>0.08</v>
      </c>
      <c r="DJ49" s="1390">
        <f>ProFormaRevBuild!BE165</f>
        <v>0.08</v>
      </c>
      <c r="DK49" s="1390">
        <f>ProFormaRevBuild!BF165</f>
        <v>0.03</v>
      </c>
      <c r="DL49" s="1390">
        <f>ProFormaRevBuild!BG165</f>
        <v>3.4000000000000002E-2</v>
      </c>
      <c r="DM49" s="1390">
        <f>ProFormaRevBuild!BH165</f>
        <v>0.02</v>
      </c>
      <c r="DN49" s="1390">
        <f>ProFormaRevBuild!BK165</f>
        <v>4.4000000000000004E-2</v>
      </c>
      <c r="DO49" s="1390">
        <f>ProFormaRevBuild!BL165</f>
        <v>3.5000000000000003E-2</v>
      </c>
      <c r="DP49" s="1390">
        <f>ProFormaRevBuild!BM165</f>
        <v>4.1000000000000002E-2</v>
      </c>
      <c r="DQ49" s="1390">
        <f>ProFormaRevBuild!BN165</f>
        <v>0.12</v>
      </c>
      <c r="DU49" s="228"/>
      <c r="DV49" s="1390"/>
      <c r="DW49" s="1390"/>
      <c r="DX49" s="228"/>
      <c r="DY49" s="1390"/>
      <c r="DZ49" s="1390"/>
      <c r="EA49" s="1390"/>
      <c r="EB49" s="1390"/>
      <c r="EC49" s="1390"/>
      <c r="ED49" s="1390"/>
      <c r="EE49" s="1390"/>
      <c r="EF49" s="1390"/>
      <c r="EG49" s="1390"/>
      <c r="EH49" s="1390"/>
      <c r="EI49" s="1390"/>
      <c r="EJ49" s="1390"/>
      <c r="EK49" s="1390"/>
      <c r="EL49" s="1390"/>
      <c r="EM49" s="1390"/>
      <c r="EN49" s="1390"/>
      <c r="EO49" s="1390"/>
      <c r="EP49" s="1390"/>
      <c r="EQ49" s="1390"/>
      <c r="ER49" s="1390"/>
      <c r="ES49" s="1390"/>
      <c r="ET49" s="1390"/>
    </row>
    <row r="50" spans="1:150">
      <c r="A50" s="2338" t="s">
        <v>515</v>
      </c>
      <c r="B50" s="2339"/>
      <c r="C50" s="2340"/>
      <c r="D50" s="2339"/>
      <c r="E50" s="2339"/>
      <c r="F50" s="2339"/>
      <c r="G50" s="2341"/>
      <c r="H50" s="2339"/>
      <c r="I50" s="2340"/>
      <c r="J50" s="2339"/>
      <c r="K50" s="2339"/>
      <c r="L50" s="2339"/>
      <c r="M50" s="2341"/>
      <c r="N50" s="2339"/>
      <c r="O50" s="2340"/>
      <c r="P50" s="2339"/>
      <c r="Q50" s="2339"/>
      <c r="R50" s="2339"/>
      <c r="S50" s="2341"/>
      <c r="T50" s="2339"/>
      <c r="U50" s="2340"/>
      <c r="V50" s="2339"/>
      <c r="W50" s="2339"/>
      <c r="X50" s="2339"/>
      <c r="Y50" s="2341"/>
      <c r="Z50" s="2339"/>
      <c r="AA50" s="2340"/>
      <c r="AB50" s="2339"/>
      <c r="AC50" s="2339"/>
      <c r="AD50" s="2339"/>
      <c r="AE50" s="2341"/>
      <c r="AF50" s="2339"/>
      <c r="AG50" s="2342">
        <f>AG26+AA26</f>
        <v>6.6947391275125487E-2</v>
      </c>
      <c r="AH50" s="2343">
        <f>AH26+AB26</f>
        <v>1.4064884533469914E-2</v>
      </c>
      <c r="AI50" s="2343">
        <f>AI26+AC26</f>
        <v>-7.9297109368793445E-3</v>
      </c>
      <c r="AJ50" s="2343">
        <f>AJ26+AD26</f>
        <v>-1.1054833386662771E-2</v>
      </c>
      <c r="AK50" s="2344">
        <f>AK26+AE26</f>
        <v>9.0795819338075137E-3</v>
      </c>
      <c r="AL50" s="2343"/>
      <c r="AM50" s="2342">
        <f>AM26+AG26</f>
        <v>-4.713187910892843E-2</v>
      </c>
      <c r="AN50" s="2343">
        <f>AN26+AH26</f>
        <v>-1.5508250044289851E-2</v>
      </c>
      <c r="AO50" s="2343">
        <f>AO26+AI26</f>
        <v>-7.3684883419088652E-3</v>
      </c>
      <c r="AP50" s="2343">
        <f>AP26+AJ26</f>
        <v>4.2536534255729855E-2</v>
      </c>
      <c r="AQ50" s="2344">
        <f>AQ26+AK26</f>
        <v>-1.015201154834257E-2</v>
      </c>
      <c r="AR50" s="2343"/>
      <c r="AS50" s="2342">
        <f>AS26+AM26</f>
        <v>1.8721055501782942E-2</v>
      </c>
      <c r="AT50" s="2343">
        <f>AT26+AN26</f>
        <v>2.5612199954306043E-2</v>
      </c>
      <c r="AU50" s="2343">
        <f>AU26+AO26</f>
        <v>8.2619566052508212E-2</v>
      </c>
      <c r="AV50" s="2343">
        <f>AV26+AP26</f>
        <v>0.11229429053934369</v>
      </c>
      <c r="AW50" s="2344">
        <f>AW26+AQ26</f>
        <v>6.0980488465692789E-2</v>
      </c>
      <c r="AX50" s="2343"/>
      <c r="AY50" s="2342">
        <f>AY26+AS26</f>
        <v>9.8382404263778533E-2</v>
      </c>
      <c r="AZ50" s="2343">
        <f>AZ26+AT26</f>
        <v>9.0934865113349417E-2</v>
      </c>
      <c r="BA50" s="2343">
        <f>BA26+AU26</f>
        <v>0.10209593012392357</v>
      </c>
      <c r="BB50" s="2343">
        <f>BB26+AV26</f>
        <v>0.12119180419512238</v>
      </c>
      <c r="BC50" s="2344">
        <f>BC26+AW26</f>
        <v>0.10308046108341312</v>
      </c>
      <c r="BD50" s="2343"/>
      <c r="BE50" s="2342">
        <f>BE26+AY26</f>
        <v>0.11238530340589109</v>
      </c>
      <c r="BF50" s="2343">
        <f>BF26+AZ26</f>
        <v>0.12937845929248526</v>
      </c>
      <c r="BG50" s="2343">
        <f>BG26+BA26</f>
        <v>5.975856969889818E-2</v>
      </c>
      <c r="BH50" s="2343">
        <f>BH26+BB26</f>
        <v>3.1684974920720796E-2</v>
      </c>
      <c r="BI50" s="2344">
        <f>BI26+BC26</f>
        <v>8.1288638535430391E-2</v>
      </c>
      <c r="BJ50" s="2343"/>
      <c r="BK50" s="2342">
        <f>BK26+BE26</f>
        <v>8.4013707841307142E-2</v>
      </c>
      <c r="BL50" s="2343">
        <f>BL26+BF26</f>
        <v>6.4010013340098426E-2</v>
      </c>
      <c r="BM50" s="2343">
        <f>BM26+BG26</f>
        <v>5.1704165626545784E-2</v>
      </c>
      <c r="BN50" s="2343">
        <f>BN26+BH26</f>
        <v>6.5759035403344962E-2</v>
      </c>
      <c r="BO50" s="2344">
        <f>BO26+BI26</f>
        <v>6.587637343041515E-2</v>
      </c>
      <c r="BP50" s="2343"/>
      <c r="BQ50" s="2342">
        <f>BQ26+BK26</f>
        <v>7.8171833923515038E-2</v>
      </c>
      <c r="BR50" s="2343">
        <f>BR26+BL26</f>
        <v>8.8859571989615221E-2</v>
      </c>
      <c r="BS50" s="2343">
        <f>BS26+BM26</f>
        <v>9.4790436993850771E-2</v>
      </c>
      <c r="BT50" s="2343">
        <f>BT26+BN26</f>
        <v>0.10154367286975127</v>
      </c>
      <c r="BU50" s="2344">
        <f>BU26+BO26</f>
        <v>9.0906064288218721E-2</v>
      </c>
      <c r="BV50" s="2343"/>
      <c r="BW50" s="2342">
        <f>BW26+BQ26</f>
        <v>0.10652971443458203</v>
      </c>
      <c r="BX50" s="2343">
        <f>BX26+BR26</f>
        <v>0.13262555294888662</v>
      </c>
      <c r="BY50" s="2343">
        <f>BY26+BS26</f>
        <v>0.13231097456143115</v>
      </c>
      <c r="BZ50" s="2343">
        <f>BZ26+BT26</f>
        <v>0.11387226094642369</v>
      </c>
      <c r="CA50" s="2344">
        <f>CA26+BU26</f>
        <v>0.12125167331425396</v>
      </c>
      <c r="CB50" s="2343"/>
      <c r="CC50" s="2342">
        <f>CC26+BW26</f>
        <v>0.13581495510540531</v>
      </c>
      <c r="CD50" s="2343">
        <f>CD26+BX26</f>
        <v>0.14436852894921337</v>
      </c>
      <c r="CE50" s="2343">
        <f>CE26+BY26</f>
        <v>0.14744595704160313</v>
      </c>
      <c r="CF50" s="2343">
        <f>CF26+BZ26</f>
        <v>0.14338319482902584</v>
      </c>
      <c r="CG50" s="2344">
        <f>CG26+CA26</f>
        <v>0.14291493757796081</v>
      </c>
      <c r="CH50" s="2343"/>
      <c r="CI50" s="2342">
        <f>CI26+CC26</f>
        <v>0.12577340058794917</v>
      </c>
      <c r="CJ50" s="2343">
        <f>CJ26+CD26</f>
        <v>0.12792382629056243</v>
      </c>
      <c r="CK50" s="2343">
        <f>CK26+CE26</f>
        <v>0.12936376549422635</v>
      </c>
      <c r="CL50" s="2343">
        <f>CL26+CF26</f>
        <v>0.12346677474545098</v>
      </c>
      <c r="CM50" s="2344">
        <f>CM26+CG26</f>
        <v>0.12655301875743197</v>
      </c>
      <c r="CR50" s="228"/>
      <c r="CS50" s="228"/>
      <c r="CT50" s="228"/>
      <c r="CU50" s="228"/>
      <c r="CV50" s="228"/>
      <c r="CW50" s="228"/>
      <c r="CX50" s="228"/>
      <c r="CY50" s="228"/>
      <c r="CZ50" s="228"/>
      <c r="DA50" s="228"/>
      <c r="DB50" s="228"/>
      <c r="DC50" s="228"/>
      <c r="DD50" s="228"/>
      <c r="DE50" s="228"/>
    </row>
    <row r="51" spans="1:150">
      <c r="A51" s="2302" t="s">
        <v>729</v>
      </c>
      <c r="B51" s="2303"/>
      <c r="C51" s="2345"/>
      <c r="D51" s="2346"/>
      <c r="E51" s="2346"/>
      <c r="F51" s="2346"/>
      <c r="G51" s="2347"/>
      <c r="H51" s="2348"/>
      <c r="I51" s="2345"/>
      <c r="J51" s="2346"/>
      <c r="K51" s="2346"/>
      <c r="L51" s="2346"/>
      <c r="M51" s="2347"/>
      <c r="N51" s="2349"/>
      <c r="O51" s="2350"/>
      <c r="P51" s="2351"/>
      <c r="Q51" s="2351"/>
      <c r="R51" s="2351"/>
      <c r="S51" s="2352"/>
      <c r="T51" s="2349"/>
      <c r="U51" s="2350"/>
      <c r="V51" s="2351"/>
      <c r="W51" s="2351"/>
      <c r="X51" s="2351"/>
      <c r="Y51" s="2352"/>
      <c r="Z51" s="2349"/>
      <c r="AA51" s="2350"/>
      <c r="AB51" s="2351"/>
      <c r="AC51" s="2351"/>
      <c r="AD51" s="2351"/>
      <c r="AE51" s="2352"/>
      <c r="AF51" s="2349"/>
      <c r="AG51" s="2353"/>
      <c r="AH51" s="2351"/>
      <c r="AI51" s="2351"/>
      <c r="AJ51" s="2351"/>
      <c r="AK51" s="2352"/>
      <c r="AL51" s="2349"/>
      <c r="AM51" s="2353"/>
      <c r="AN51" s="2351"/>
      <c r="AO51" s="2351"/>
      <c r="AP51" s="2351"/>
      <c r="AQ51" s="2352"/>
      <c r="AR51" s="2349"/>
      <c r="AS51" s="2353"/>
      <c r="AT51" s="2351"/>
      <c r="AU51" s="2351"/>
      <c r="AV51" s="2351"/>
      <c r="AW51" s="2352"/>
      <c r="AX51" s="2349"/>
      <c r="AY51" s="2353"/>
      <c r="AZ51" s="2351"/>
      <c r="BA51" s="2351"/>
      <c r="BB51" s="2351"/>
      <c r="BC51" s="2352"/>
      <c r="BD51" s="2349"/>
      <c r="BE51" s="2353"/>
      <c r="BF51" s="2351"/>
      <c r="BG51" s="2351"/>
      <c r="BH51" s="2351"/>
      <c r="BI51" s="2352"/>
      <c r="BJ51" s="2349"/>
      <c r="BK51" s="2353"/>
      <c r="BL51" s="2351"/>
      <c r="BM51" s="2351"/>
      <c r="BN51" s="2351"/>
      <c r="BO51" s="2352"/>
      <c r="BP51" s="2349"/>
      <c r="BQ51" s="2353"/>
      <c r="BR51" s="2351"/>
      <c r="BS51" s="2351"/>
      <c r="BT51" s="2351"/>
      <c r="BU51" s="2352"/>
      <c r="BV51" s="2351"/>
      <c r="BW51" s="2353"/>
      <c r="BX51" s="2351"/>
      <c r="BY51" s="2351"/>
      <c r="BZ51" s="2351"/>
      <c r="CA51" s="2352"/>
      <c r="CB51" s="2351"/>
      <c r="CC51" s="2353">
        <f>CC28+BW28</f>
        <v>9.1841943233193279E-2</v>
      </c>
      <c r="CD51" s="2351">
        <f t="shared" ref="CD51:CG51" si="66">CD28+BX28</f>
        <v>9.057750320731775E-2</v>
      </c>
      <c r="CE51" s="2351">
        <f t="shared" si="66"/>
        <v>9.2245367174602522E-2</v>
      </c>
      <c r="CF51" s="2351">
        <f t="shared" si="66"/>
        <v>9.2422395497797377E-2</v>
      </c>
      <c r="CG51" s="2352">
        <f t="shared" si="66"/>
        <v>9.1772590352369704E-2</v>
      </c>
      <c r="CH51" s="2351"/>
      <c r="CI51" s="2353">
        <f>CI28+CC28</f>
        <v>8.5472033349668505E-2</v>
      </c>
      <c r="CJ51" s="2351">
        <f t="shared" ref="CJ51:CJ52" si="67">CJ28+CD28</f>
        <v>7.8787947288475796E-2</v>
      </c>
      <c r="CK51" s="2351">
        <f t="shared" ref="CK51:CK52" si="68">CK28+CE28</f>
        <v>7.9008541610088856E-2</v>
      </c>
      <c r="CL51" s="2351">
        <f t="shared" ref="CL51:CL52" si="69">CL28+CF28</f>
        <v>7.6915022257278892E-2</v>
      </c>
      <c r="CM51" s="2352">
        <f t="shared" ref="CM51:CM52" si="70">CM28+CG28</f>
        <v>7.9816862360949842E-2</v>
      </c>
      <c r="CS51" s="469" t="s">
        <v>672</v>
      </c>
      <c r="CT51" s="228"/>
      <c r="CU51" s="228"/>
      <c r="CV51" s="228"/>
      <c r="CW51" s="228"/>
      <c r="CX51" s="228"/>
      <c r="CY51" s="228"/>
      <c r="CZ51" s="228"/>
      <c r="DA51" s="228"/>
      <c r="DB51" s="228"/>
      <c r="DC51" s="228"/>
      <c r="DD51" s="228"/>
      <c r="DE51" s="228"/>
    </row>
    <row r="52" spans="1:150">
      <c r="A52" s="2313" t="s">
        <v>730</v>
      </c>
      <c r="B52" s="2314"/>
      <c r="C52" s="2354"/>
      <c r="D52" s="2355"/>
      <c r="E52" s="2355"/>
      <c r="F52" s="2355"/>
      <c r="G52" s="2356"/>
      <c r="H52" s="2357"/>
      <c r="I52" s="2354"/>
      <c r="J52" s="2355"/>
      <c r="K52" s="2355"/>
      <c r="L52" s="2355"/>
      <c r="M52" s="2356"/>
      <c r="N52" s="2358"/>
      <c r="O52" s="2359"/>
      <c r="P52" s="2360"/>
      <c r="Q52" s="2360"/>
      <c r="R52" s="2360"/>
      <c r="S52" s="2361"/>
      <c r="T52" s="2358"/>
      <c r="U52" s="2359"/>
      <c r="V52" s="2360"/>
      <c r="W52" s="2360"/>
      <c r="X52" s="2360"/>
      <c r="Y52" s="2361"/>
      <c r="Z52" s="2358"/>
      <c r="AA52" s="2359"/>
      <c r="AB52" s="2360"/>
      <c r="AC52" s="2360"/>
      <c r="AD52" s="2360"/>
      <c r="AE52" s="2361"/>
      <c r="AF52" s="2358"/>
      <c r="AG52" s="2362"/>
      <c r="AH52" s="2360"/>
      <c r="AI52" s="2360"/>
      <c r="AJ52" s="2360"/>
      <c r="AK52" s="2361"/>
      <c r="AL52" s="2358"/>
      <c r="AM52" s="2362"/>
      <c r="AN52" s="2360"/>
      <c r="AO52" s="2360"/>
      <c r="AP52" s="2360"/>
      <c r="AQ52" s="2361"/>
      <c r="AR52" s="2358"/>
      <c r="AS52" s="2362"/>
      <c r="AT52" s="2360"/>
      <c r="AU52" s="2360"/>
      <c r="AV52" s="2360"/>
      <c r="AW52" s="2361"/>
      <c r="AX52" s="2358"/>
      <c r="AY52" s="2362"/>
      <c r="AZ52" s="2360"/>
      <c r="BA52" s="2360"/>
      <c r="BB52" s="2360"/>
      <c r="BC52" s="2361"/>
      <c r="BD52" s="2358"/>
      <c r="BE52" s="2362"/>
      <c r="BF52" s="2360"/>
      <c r="BG52" s="2360"/>
      <c r="BH52" s="2360"/>
      <c r="BI52" s="2361"/>
      <c r="BJ52" s="2358"/>
      <c r="BK52" s="2362"/>
      <c r="BL52" s="2360"/>
      <c r="BM52" s="2360"/>
      <c r="BN52" s="2360"/>
      <c r="BO52" s="2361"/>
      <c r="BP52" s="2358"/>
      <c r="BQ52" s="2362"/>
      <c r="BR52" s="2360"/>
      <c r="BS52" s="2360"/>
      <c r="BT52" s="2360"/>
      <c r="BU52" s="2361"/>
      <c r="BV52" s="2360"/>
      <c r="BW52" s="2362"/>
      <c r="BX52" s="2360"/>
      <c r="BY52" s="2360"/>
      <c r="BZ52" s="2360"/>
      <c r="CA52" s="2361"/>
      <c r="CB52" s="2360"/>
      <c r="CC52" s="2362">
        <f>CC29+BW29</f>
        <v>7.0721646706126809E-2</v>
      </c>
      <c r="CD52" s="2360">
        <f t="shared" ref="CD52:CG52" si="71">CD29+BX29</f>
        <v>7.1459633925662125E-2</v>
      </c>
      <c r="CE52" s="2360">
        <f t="shared" si="71"/>
        <v>7.5494589266468737E-2</v>
      </c>
      <c r="CF52" s="2360">
        <f t="shared" si="71"/>
        <v>7.8955852232989066E-2</v>
      </c>
      <c r="CG52" s="2361">
        <f t="shared" si="71"/>
        <v>7.4371445200416345E-2</v>
      </c>
      <c r="CH52" s="2360"/>
      <c r="CI52" s="2362">
        <f>CI29+CC29</f>
        <v>5.9834739557114713E-2</v>
      </c>
      <c r="CJ52" s="2360">
        <f t="shared" si="67"/>
        <v>5.7175097858368065E-2</v>
      </c>
      <c r="CK52" s="2360">
        <f t="shared" si="68"/>
        <v>5.6936137143651019E-2</v>
      </c>
      <c r="CL52" s="2360">
        <f t="shared" si="69"/>
        <v>5.8226386427729544E-2</v>
      </c>
      <c r="CM52" s="2361">
        <f t="shared" si="70"/>
        <v>5.8005288614854343E-2</v>
      </c>
      <c r="CR52" s="228"/>
      <c r="CS52" s="1387"/>
      <c r="CT52" s="1388" t="s">
        <v>461</v>
      </c>
      <c r="CU52" s="1388" t="s">
        <v>78</v>
      </c>
      <c r="CV52" s="1388" t="s">
        <v>72</v>
      </c>
      <c r="CW52" s="1388" t="s">
        <v>71</v>
      </c>
      <c r="CX52" s="1388" t="s">
        <v>63</v>
      </c>
      <c r="CY52" s="1388" t="s">
        <v>69</v>
      </c>
      <c r="CZ52" s="1388" t="s">
        <v>57</v>
      </c>
      <c r="DA52" s="1388" t="s">
        <v>68</v>
      </c>
      <c r="DB52" s="1388" t="s">
        <v>64</v>
      </c>
      <c r="DC52" s="1388" t="s">
        <v>462</v>
      </c>
      <c r="DD52" s="1388" t="s">
        <v>463</v>
      </c>
      <c r="DE52" s="1388" t="s">
        <v>464</v>
      </c>
      <c r="DF52" s="1388" t="s">
        <v>492</v>
      </c>
      <c r="DG52" s="1388" t="str">
        <f t="shared" ref="DG52:DQ52" si="72">+DG6</f>
        <v>2Q15</v>
      </c>
      <c r="DH52" s="1388" t="str">
        <f t="shared" si="72"/>
        <v>3Q15</v>
      </c>
      <c r="DI52" s="1388" t="str">
        <f t="shared" si="72"/>
        <v>4Q15</v>
      </c>
      <c r="DJ52" s="1388" t="str">
        <f t="shared" si="72"/>
        <v>1Q16</v>
      </c>
      <c r="DK52" s="1388" t="str">
        <f t="shared" si="72"/>
        <v>2Q16</v>
      </c>
      <c r="DL52" s="1388" t="str">
        <f t="shared" si="72"/>
        <v>3Q16</v>
      </c>
      <c r="DM52" s="1388" t="str">
        <f t="shared" si="72"/>
        <v>4Q16</v>
      </c>
      <c r="DN52" s="1388" t="str">
        <f t="shared" si="72"/>
        <v>1Q17</v>
      </c>
      <c r="DO52" s="1388" t="str">
        <f t="shared" si="72"/>
        <v>2Q17</v>
      </c>
      <c r="DP52" s="1388" t="str">
        <f t="shared" si="72"/>
        <v>3Q17</v>
      </c>
      <c r="DQ52" s="1388" t="str">
        <f t="shared" si="72"/>
        <v>4Q17</v>
      </c>
    </row>
    <row r="53" spans="1:150">
      <c r="A53" s="454"/>
      <c r="B53" s="454"/>
      <c r="C53" s="454"/>
      <c r="D53" s="454"/>
      <c r="E53" s="454"/>
      <c r="F53" s="454"/>
      <c r="G53" s="454"/>
      <c r="H53" s="454"/>
      <c r="I53" s="454"/>
      <c r="J53" s="454"/>
      <c r="K53" s="454"/>
      <c r="L53" s="454"/>
      <c r="M53" s="454"/>
      <c r="N53" s="454"/>
      <c r="O53" s="454"/>
      <c r="P53" s="454"/>
      <c r="Q53" s="454"/>
      <c r="R53" s="454"/>
      <c r="S53" s="454"/>
      <c r="T53" s="454"/>
      <c r="U53" s="454"/>
      <c r="V53" s="454"/>
      <c r="W53" s="454"/>
      <c r="X53" s="454"/>
      <c r="Y53" s="454"/>
      <c r="Z53" s="454"/>
      <c r="AA53" s="454"/>
      <c r="AB53" s="454"/>
      <c r="AC53" s="454"/>
      <c r="AD53" s="454"/>
      <c r="AE53" s="454"/>
      <c r="AF53" s="454"/>
      <c r="AG53" s="454"/>
      <c r="AH53" s="454"/>
      <c r="AI53" s="454"/>
      <c r="AJ53" s="454"/>
      <c r="AK53" s="454"/>
      <c r="AL53" s="454"/>
      <c r="AM53" s="454"/>
      <c r="AN53" s="454"/>
      <c r="AO53" s="454"/>
      <c r="AP53" s="454"/>
      <c r="AQ53" s="454"/>
      <c r="AR53" s="454"/>
      <c r="AS53" s="454"/>
      <c r="AT53" s="454"/>
      <c r="AU53" s="454"/>
      <c r="AV53" s="454"/>
      <c r="AW53" s="454"/>
      <c r="AX53" s="454"/>
      <c r="AY53" s="454"/>
      <c r="AZ53" s="454"/>
      <c r="BA53" s="454"/>
      <c r="BB53" s="454"/>
      <c r="BC53" s="454"/>
      <c r="BD53" s="454"/>
      <c r="BE53" s="454"/>
      <c r="BF53" s="454"/>
      <c r="BG53" s="454"/>
      <c r="BH53" s="454"/>
      <c r="BI53" s="454"/>
      <c r="BJ53" s="454"/>
      <c r="BK53" s="454"/>
      <c r="BL53" s="454"/>
      <c r="BM53" s="454"/>
      <c r="BN53" s="454"/>
      <c r="BO53" s="454"/>
      <c r="BP53" s="454"/>
      <c r="BQ53" s="454"/>
      <c r="BR53" s="454"/>
      <c r="BS53" s="454"/>
      <c r="BT53" s="454"/>
      <c r="BU53" s="454"/>
      <c r="BV53" s="454"/>
      <c r="BW53" s="454"/>
      <c r="BX53" s="454"/>
      <c r="BY53" s="454"/>
      <c r="BZ53" s="454"/>
      <c r="CA53" s="454"/>
      <c r="CB53" s="454"/>
      <c r="CC53" s="454"/>
      <c r="CD53" s="454"/>
      <c r="CE53" s="454"/>
      <c r="CF53" s="454"/>
      <c r="CG53" s="454"/>
      <c r="CH53" s="454"/>
      <c r="CI53" s="454"/>
      <c r="CJ53" s="454"/>
      <c r="CK53" s="454"/>
      <c r="CL53" s="454"/>
      <c r="CM53" s="454"/>
      <c r="CR53" s="228"/>
      <c r="CS53" s="1389" t="s">
        <v>553</v>
      </c>
      <c r="CT53" s="1390"/>
      <c r="CU53" s="1390"/>
      <c r="CV53" s="1390"/>
      <c r="CW53" s="1390"/>
      <c r="CX53" s="1390">
        <f>+CX45+CT45</f>
        <v>-3.0000000000000002E-2</v>
      </c>
      <c r="CY53" s="1390">
        <f t="shared" ref="CY53:DE57" si="73">+CY45+CU45</f>
        <v>-0.11</v>
      </c>
      <c r="CZ53" s="1390">
        <f t="shared" si="73"/>
        <v>0.03</v>
      </c>
      <c r="DA53" s="1390">
        <f t="shared" si="73"/>
        <v>0.02</v>
      </c>
      <c r="DB53" s="1390">
        <f t="shared" si="73"/>
        <v>-0.05</v>
      </c>
      <c r="DC53" s="1390">
        <f t="shared" si="73"/>
        <v>-0.13500000000000001</v>
      </c>
      <c r="DD53" s="1390">
        <f t="shared" si="73"/>
        <v>-7.0000000000000007E-2</v>
      </c>
      <c r="DE53" s="1390">
        <f t="shared" si="73"/>
        <v>0.04</v>
      </c>
      <c r="DF53" s="1390">
        <f t="shared" ref="DF53:DF54" si="74">+DF45+DB45</f>
        <v>2.5000000000000001E-2</v>
      </c>
      <c r="DG53" s="1390">
        <f t="shared" ref="DG53:DG54" si="75">+DG45+DC45</f>
        <v>-2.4999999999999994E-2</v>
      </c>
      <c r="DH53" s="1390">
        <f t="shared" ref="DH53:DH54" si="76">+DH45+DD45</f>
        <v>-0.04</v>
      </c>
      <c r="DI53" s="1390">
        <f t="shared" ref="DI53:DI54" si="77">+DI45+DE45</f>
        <v>0.04</v>
      </c>
      <c r="DJ53" s="1390">
        <f t="shared" ref="DJ53:DJ57" si="78">+DJ45+DF45</f>
        <v>4.4999999999999998E-2</v>
      </c>
      <c r="DK53" s="1390">
        <f t="shared" ref="DK53:DK57" si="79">+DK45+DG45</f>
        <v>0.04</v>
      </c>
      <c r="DL53" s="1390">
        <f t="shared" ref="DL53:DL57" si="80">+DL45+DH45</f>
        <v>-1.5999999999999997E-2</v>
      </c>
      <c r="DM53" s="1390">
        <f t="shared" ref="DM53:DM57" si="81">+DM45+DI45</f>
        <v>7.0000000000000007E-2</v>
      </c>
      <c r="DN53" s="1390">
        <f t="shared" ref="DN53:DQ57" si="82">+DN45+DJ45</f>
        <v>-6.0000000000000019E-3</v>
      </c>
      <c r="DO53" s="1390">
        <f t="shared" si="82"/>
        <v>-4.4999999999999998E-2</v>
      </c>
      <c r="DP53" s="1390">
        <f t="shared" si="82"/>
        <v>1.5000000000000003E-2</v>
      </c>
      <c r="DQ53" s="1390">
        <f t="shared" si="82"/>
        <v>3.0000000000000002E-2</v>
      </c>
    </row>
    <row r="54" spans="1:150">
      <c r="A54" s="1003" t="s">
        <v>169</v>
      </c>
      <c r="B54" s="1004"/>
      <c r="C54" s="1004"/>
      <c r="D54" s="1004"/>
      <c r="E54" s="1004"/>
      <c r="F54" s="1004"/>
      <c r="G54" s="1004"/>
      <c r="H54" s="1004"/>
      <c r="I54" s="1004"/>
      <c r="J54" s="1004"/>
      <c r="K54" s="1004"/>
      <c r="L54" s="1004"/>
      <c r="M54" s="1004"/>
      <c r="N54" s="1004"/>
      <c r="O54" s="1004"/>
      <c r="P54" s="1004"/>
      <c r="Q54" s="1004"/>
      <c r="R54" s="1004"/>
      <c r="S54" s="1004"/>
      <c r="T54" s="1004"/>
      <c r="U54" s="1004"/>
      <c r="V54" s="1004"/>
      <c r="W54" s="1004"/>
      <c r="X54" s="1004"/>
      <c r="Y54" s="1004"/>
      <c r="Z54" s="1004"/>
      <c r="AA54" s="1004"/>
      <c r="AB54" s="1004"/>
      <c r="AC54" s="1004"/>
      <c r="AD54" s="1004"/>
      <c r="AE54" s="1004"/>
      <c r="AF54" s="1004"/>
      <c r="AG54" s="1004"/>
      <c r="AH54" s="1004"/>
      <c r="AI54" s="1004"/>
      <c r="AJ54" s="1004"/>
      <c r="AK54" s="1004"/>
      <c r="AL54" s="1004"/>
      <c r="AM54" s="1004"/>
      <c r="AN54" s="1004"/>
      <c r="AO54" s="1004"/>
      <c r="AP54" s="1004"/>
      <c r="AQ54" s="1004"/>
      <c r="AR54" s="1004"/>
      <c r="AS54" s="1004"/>
      <c r="AT54" s="1004"/>
      <c r="AU54" s="1004"/>
      <c r="AV54" s="1004"/>
      <c r="AW54" s="1004"/>
      <c r="AX54" s="1004"/>
      <c r="AY54" s="1004"/>
      <c r="AZ54" s="1004"/>
      <c r="BA54" s="1004"/>
      <c r="BB54" s="1004"/>
      <c r="BC54" s="1004"/>
      <c r="BD54" s="1004"/>
      <c r="BE54" s="1004"/>
      <c r="BF54" s="1004"/>
      <c r="BG54" s="1004"/>
      <c r="BH54" s="1004"/>
      <c r="BI54" s="1004"/>
      <c r="BJ54" s="1004"/>
      <c r="BK54" s="1004"/>
      <c r="BL54" s="1004"/>
      <c r="BM54" s="1004"/>
      <c r="BN54" s="1004"/>
      <c r="BO54" s="1005"/>
      <c r="BP54" s="1004"/>
      <c r="BQ54" s="1004"/>
      <c r="BR54" s="1004"/>
      <c r="BS54" s="1004"/>
      <c r="BT54" s="1004"/>
      <c r="BU54" s="1005"/>
      <c r="BV54" s="1004"/>
      <c r="BW54" s="1004"/>
      <c r="BX54" s="1004"/>
      <c r="BY54" s="1004"/>
      <c r="BZ54" s="1004"/>
      <c r="CA54" s="1005"/>
      <c r="CB54" s="1004"/>
      <c r="CC54" s="1004"/>
      <c r="CD54" s="1004"/>
      <c r="CE54" s="1004"/>
      <c r="CF54" s="1004"/>
      <c r="CG54" s="1005"/>
      <c r="CH54" s="1004"/>
      <c r="CI54" s="1004"/>
      <c r="CJ54" s="1004"/>
      <c r="CK54" s="1004"/>
      <c r="CL54" s="1004"/>
      <c r="CM54" s="1005"/>
      <c r="CS54" s="1393" t="s">
        <v>215</v>
      </c>
      <c r="CT54" s="1394"/>
      <c r="CU54" s="1394"/>
      <c r="CV54" s="1394"/>
      <c r="CW54" s="1394"/>
      <c r="CX54" s="1394">
        <f t="shared" ref="CX54:CX56" si="83">+CX46+CT46</f>
        <v>0</v>
      </c>
      <c r="CY54" s="1394">
        <f t="shared" si="73"/>
        <v>0</v>
      </c>
      <c r="CZ54" s="1394">
        <f t="shared" si="73"/>
        <v>0.04</v>
      </c>
      <c r="DA54" s="1394">
        <f t="shared" si="73"/>
        <v>-0.02</v>
      </c>
      <c r="DB54" s="1394">
        <f t="shared" si="73"/>
        <v>-0.02</v>
      </c>
      <c r="DC54" s="1394">
        <f t="shared" si="73"/>
        <v>-0.03</v>
      </c>
      <c r="DD54" s="1394">
        <f t="shared" si="73"/>
        <v>0.04</v>
      </c>
      <c r="DE54" s="1394">
        <f t="shared" si="73"/>
        <v>4.4999999999999998E-2</v>
      </c>
      <c r="DF54" s="1394">
        <f t="shared" si="74"/>
        <v>0.02</v>
      </c>
      <c r="DG54" s="1394">
        <f t="shared" si="75"/>
        <v>1.9999999999999997E-2</v>
      </c>
      <c r="DH54" s="1394">
        <f t="shared" si="76"/>
        <v>3.0000000000000002E-2</v>
      </c>
      <c r="DI54" s="1394">
        <f t="shared" si="77"/>
        <v>0.11</v>
      </c>
      <c r="DJ54" s="1394">
        <f t="shared" si="78"/>
        <v>0.10500000000000001</v>
      </c>
      <c r="DK54" s="1394">
        <f t="shared" si="79"/>
        <v>0.12</v>
      </c>
      <c r="DL54" s="1394">
        <f t="shared" si="80"/>
        <v>-4.5999999999999999E-2</v>
      </c>
      <c r="DM54" s="1394">
        <f t="shared" si="81"/>
        <v>-5.0000000000000044E-3</v>
      </c>
      <c r="DN54" s="1394">
        <f t="shared" si="82"/>
        <v>0.159</v>
      </c>
      <c r="DO54" s="1394">
        <f t="shared" si="82"/>
        <v>0.125</v>
      </c>
      <c r="DP54" s="1394">
        <f t="shared" si="82"/>
        <v>-4.4999999999999998E-2</v>
      </c>
      <c r="DQ54" s="1394">
        <f t="shared" si="82"/>
        <v>6.9999999999999993E-2</v>
      </c>
    </row>
    <row r="55" spans="1:150" s="228" customFormat="1">
      <c r="A55" s="780" t="s">
        <v>396</v>
      </c>
      <c r="B55" s="454"/>
      <c r="C55" s="780"/>
      <c r="D55" s="454"/>
      <c r="E55" s="454"/>
      <c r="F55" s="454"/>
      <c r="G55" s="781"/>
      <c r="H55" s="454"/>
      <c r="I55" s="780"/>
      <c r="J55" s="454"/>
      <c r="K55" s="454"/>
      <c r="L55" s="454"/>
      <c r="M55" s="1001"/>
      <c r="N55" s="454"/>
      <c r="O55" s="252">
        <v>0.02</v>
      </c>
      <c r="P55" s="73">
        <v>-0.08</v>
      </c>
      <c r="Q55" s="73">
        <v>-0.05</v>
      </c>
      <c r="R55" s="73">
        <v>-0.08</v>
      </c>
      <c r="S55" s="1000">
        <f>AVERAGE(O55:R55)</f>
        <v>-4.7500000000000001E-2</v>
      </c>
      <c r="T55" s="454"/>
      <c r="U55" s="1449">
        <v>0</v>
      </c>
      <c r="V55" s="1450">
        <v>0.15</v>
      </c>
      <c r="W55" s="1450">
        <v>0.12</v>
      </c>
      <c r="X55" s="997"/>
      <c r="Y55" s="1000">
        <f>AVERAGE(U55:X55)</f>
        <v>9.0000000000000011E-2</v>
      </c>
      <c r="Z55" s="454"/>
      <c r="AA55" s="1449">
        <v>0.08</v>
      </c>
      <c r="AB55" s="1450">
        <v>0.02</v>
      </c>
      <c r="AC55" s="1450">
        <v>0.05</v>
      </c>
      <c r="AD55" s="1450">
        <v>0</v>
      </c>
      <c r="AE55" s="1000">
        <v>3.7499999999999999E-2</v>
      </c>
      <c r="AF55" s="454"/>
      <c r="AG55" s="1449">
        <v>0.03</v>
      </c>
      <c r="AH55" s="1450">
        <v>7.0000000000000007E-2</v>
      </c>
      <c r="AI55" s="1450">
        <v>0.02</v>
      </c>
      <c r="AJ55" s="454"/>
      <c r="AK55" s="1001"/>
      <c r="AL55" s="454"/>
      <c r="AM55" s="780"/>
      <c r="AN55" s="454"/>
      <c r="AO55" s="454"/>
      <c r="AP55" s="454"/>
      <c r="AQ55" s="1001"/>
      <c r="AR55" s="454"/>
      <c r="AS55" s="780"/>
      <c r="AT55" s="454"/>
      <c r="AU55" s="454"/>
      <c r="AV55" s="454"/>
      <c r="AW55" s="1001"/>
      <c r="AX55" s="454"/>
      <c r="AY55" s="780"/>
      <c r="AZ55" s="454"/>
      <c r="BA55" s="454"/>
      <c r="BB55" s="454"/>
      <c r="BC55" s="1001"/>
      <c r="BD55" s="454"/>
      <c r="BE55" s="780"/>
      <c r="BF55" s="454"/>
      <c r="BG55" s="454"/>
      <c r="BH55" s="454"/>
      <c r="BI55" s="1001"/>
      <c r="BJ55" s="454"/>
      <c r="BK55" s="780"/>
      <c r="BL55" s="454"/>
      <c r="BM55" s="454"/>
      <c r="BN55" s="454"/>
      <c r="BO55" s="1001"/>
      <c r="BP55" s="454"/>
      <c r="BQ55" s="780"/>
      <c r="BR55" s="454"/>
      <c r="BS55" s="454"/>
      <c r="BT55" s="454"/>
      <c r="BU55" s="1001"/>
      <c r="BV55" s="454"/>
      <c r="BW55" s="780"/>
      <c r="BX55" s="454"/>
      <c r="BY55" s="454"/>
      <c r="BZ55" s="454"/>
      <c r="CA55" s="1001"/>
      <c r="CB55" s="454"/>
      <c r="CC55" s="780"/>
      <c r="CD55" s="454"/>
      <c r="CE55" s="454"/>
      <c r="CF55" s="454"/>
      <c r="CG55" s="1001"/>
      <c r="CH55" s="454"/>
      <c r="CI55" s="780"/>
      <c r="CJ55" s="454"/>
      <c r="CK55" s="454"/>
      <c r="CL55" s="454"/>
      <c r="CM55" s="1001"/>
      <c r="CR55" s="226"/>
      <c r="CS55" s="1389" t="s">
        <v>556</v>
      </c>
      <c r="CT55" s="1390"/>
      <c r="CU55" s="1390"/>
      <c r="CV55" s="1390"/>
      <c r="CW55" s="1390"/>
      <c r="CX55" s="1390" t="str">
        <f>CX47</f>
        <v>--</v>
      </c>
      <c r="CY55" s="1390" t="str">
        <f t="shared" ref="CY55:DD55" si="84">CY47</f>
        <v>--</v>
      </c>
      <c r="CZ55" s="1390" t="str">
        <f t="shared" si="84"/>
        <v>--</v>
      </c>
      <c r="DA55" s="1390" t="str">
        <f t="shared" si="84"/>
        <v>--</v>
      </c>
      <c r="DB55" s="1390" t="str">
        <f t="shared" si="84"/>
        <v>--</v>
      </c>
      <c r="DC55" s="1390" t="str">
        <f t="shared" si="84"/>
        <v>--</v>
      </c>
      <c r="DD55" s="1390" t="str">
        <f t="shared" si="84"/>
        <v>--</v>
      </c>
      <c r="DE55" s="1390" t="s">
        <v>6</v>
      </c>
      <c r="DF55" s="1390" t="s">
        <v>6</v>
      </c>
      <c r="DG55" s="1390" t="s">
        <v>6</v>
      </c>
      <c r="DH55" s="1390" t="s">
        <v>6</v>
      </c>
      <c r="DI55" s="1390">
        <f t="shared" ref="DI55:DI57" si="85">+DI47+DE47</f>
        <v>0.15000000000000002</v>
      </c>
      <c r="DJ55" s="1390">
        <f t="shared" si="78"/>
        <v>0.125</v>
      </c>
      <c r="DK55" s="1390">
        <f t="shared" si="79"/>
        <v>0.23</v>
      </c>
      <c r="DL55" s="1390">
        <f t="shared" si="80"/>
        <v>0.24400000000000002</v>
      </c>
      <c r="DM55" s="1390">
        <f t="shared" si="81"/>
        <v>0.22000000000000003</v>
      </c>
      <c r="DN55" s="1390">
        <f t="shared" si="82"/>
        <v>0.129</v>
      </c>
      <c r="DO55" s="1390">
        <f t="shared" si="82"/>
        <v>0.16500000000000001</v>
      </c>
      <c r="DP55" s="1390">
        <f t="shared" si="82"/>
        <v>0.41500000000000004</v>
      </c>
      <c r="DQ55" s="1390">
        <f t="shared" si="82"/>
        <v>0.21500000000000002</v>
      </c>
    </row>
    <row r="56" spans="1:150" s="228" customFormat="1">
      <c r="A56" s="780" t="s">
        <v>397</v>
      </c>
      <c r="B56" s="454"/>
      <c r="C56" s="780"/>
      <c r="D56" s="454"/>
      <c r="E56" s="454"/>
      <c r="F56" s="454"/>
      <c r="G56" s="781"/>
      <c r="H56" s="454"/>
      <c r="I56" s="780"/>
      <c r="J56" s="454"/>
      <c r="K56" s="454"/>
      <c r="L56" s="454"/>
      <c r="M56" s="781"/>
      <c r="N56" s="454"/>
      <c r="O56" s="252">
        <v>-0.05</v>
      </c>
      <c r="P56" s="73">
        <v>-0.12</v>
      </c>
      <c r="Q56" s="73">
        <v>-0.02</v>
      </c>
      <c r="R56" s="73">
        <v>-0.02</v>
      </c>
      <c r="S56" s="998">
        <f>AVERAGE(O56:R56)</f>
        <v>-5.2499999999999991E-2</v>
      </c>
      <c r="T56" s="454"/>
      <c r="U56" s="1449">
        <v>0.02</v>
      </c>
      <c r="V56" s="1450">
        <v>0.08</v>
      </c>
      <c r="W56" s="1450">
        <v>0.08</v>
      </c>
      <c r="X56" s="997"/>
      <c r="Y56" s="998">
        <f>AVERAGE(U56:X56)</f>
        <v>0.06</v>
      </c>
      <c r="Z56" s="454"/>
      <c r="AA56" s="1449">
        <v>0.08</v>
      </c>
      <c r="AB56" s="1450">
        <v>0.02</v>
      </c>
      <c r="AC56" s="1450">
        <v>0.02</v>
      </c>
      <c r="AD56" s="1450">
        <v>0.1</v>
      </c>
      <c r="AE56" s="998">
        <v>5.5E-2</v>
      </c>
      <c r="AF56" s="454"/>
      <c r="AG56" s="1449">
        <v>0.05</v>
      </c>
      <c r="AH56" s="1450">
        <v>-0.02</v>
      </c>
      <c r="AI56" s="1450">
        <v>0.02</v>
      </c>
      <c r="AJ56" s="454"/>
      <c r="AK56" s="781"/>
      <c r="AL56" s="454"/>
      <c r="AM56" s="780"/>
      <c r="AN56" s="454"/>
      <c r="AO56" s="454"/>
      <c r="AP56" s="454"/>
      <c r="AQ56" s="781"/>
      <c r="AR56" s="454"/>
      <c r="AS56" s="780"/>
      <c r="AT56" s="454"/>
      <c r="AU56" s="454"/>
      <c r="AV56" s="454"/>
      <c r="AW56" s="781"/>
      <c r="AX56" s="454"/>
      <c r="AY56" s="780"/>
      <c r="AZ56" s="454"/>
      <c r="BA56" s="454"/>
      <c r="BB56" s="454"/>
      <c r="BC56" s="781"/>
      <c r="BD56" s="454"/>
      <c r="BE56" s="780"/>
      <c r="BF56" s="454"/>
      <c r="BG56" s="454"/>
      <c r="BH56" s="454"/>
      <c r="BI56" s="781"/>
      <c r="BJ56" s="454"/>
      <c r="BK56" s="780"/>
      <c r="BL56" s="454"/>
      <c r="BM56" s="454"/>
      <c r="BN56" s="454"/>
      <c r="BO56" s="781"/>
      <c r="BP56" s="454"/>
      <c r="BQ56" s="780"/>
      <c r="BR56" s="454"/>
      <c r="BS56" s="454"/>
      <c r="BT56" s="454"/>
      <c r="BU56" s="781"/>
      <c r="BV56" s="454"/>
      <c r="BW56" s="780"/>
      <c r="BX56" s="454"/>
      <c r="BY56" s="454"/>
      <c r="BZ56" s="454"/>
      <c r="CA56" s="781"/>
      <c r="CB56" s="454"/>
      <c r="CC56" s="780"/>
      <c r="CD56" s="454"/>
      <c r="CE56" s="454"/>
      <c r="CF56" s="454"/>
      <c r="CG56" s="781"/>
      <c r="CH56" s="454"/>
      <c r="CI56" s="780"/>
      <c r="CJ56" s="454"/>
      <c r="CK56" s="454"/>
      <c r="CL56" s="454"/>
      <c r="CM56" s="781"/>
      <c r="CR56" s="226"/>
      <c r="CS56" s="1393" t="s">
        <v>216</v>
      </c>
      <c r="CT56" s="1394"/>
      <c r="CU56" s="1394"/>
      <c r="CV56" s="1394"/>
      <c r="CW56" s="1394"/>
      <c r="CX56" s="1394">
        <f t="shared" si="83"/>
        <v>-0.13</v>
      </c>
      <c r="CY56" s="1394">
        <f t="shared" ref="CY56:CY57" si="86">+CY48+CU48</f>
        <v>3.0000000000000002E-2</v>
      </c>
      <c r="CZ56" s="1394">
        <f t="shared" ref="CZ56:CZ57" si="87">+CZ48+CV48</f>
        <v>0</v>
      </c>
      <c r="DA56" s="1394">
        <f t="shared" ref="DA56:DA57" si="88">+DA48+CW48</f>
        <v>-5.4999999999999993E-2</v>
      </c>
      <c r="DB56" s="1394">
        <f t="shared" ref="DB56" si="89">+DB48+CX48</f>
        <v>-0.15</v>
      </c>
      <c r="DC56" s="1394">
        <f t="shared" ref="DC56:DC57" si="90">+DC48+CY48</f>
        <v>0.04</v>
      </c>
      <c r="DD56" s="1394">
        <f t="shared" ref="DD56:DD57" si="91">+DD48+CZ48</f>
        <v>0.04</v>
      </c>
      <c r="DE56" s="1394">
        <f t="shared" si="73"/>
        <v>7.0000000000000007E-2</v>
      </c>
      <c r="DF56" s="1394">
        <f t="shared" ref="DF56:DF57" si="92">+DF48+DB48</f>
        <v>0.08</v>
      </c>
      <c r="DG56" s="1394">
        <f t="shared" ref="DG56:DG57" si="93">+DG48+DC48</f>
        <v>0.04</v>
      </c>
      <c r="DH56" s="1394">
        <f t="shared" ref="DH56:DH57" si="94">+DH48+DD48</f>
        <v>3.0000000000000002E-2</v>
      </c>
      <c r="DI56" s="1394">
        <f t="shared" si="85"/>
        <v>0.06</v>
      </c>
      <c r="DJ56" s="1394">
        <f t="shared" si="78"/>
        <v>0.06</v>
      </c>
      <c r="DK56" s="1394">
        <f t="shared" si="79"/>
        <v>-4.2499999999999996E-2</v>
      </c>
      <c r="DL56" s="1394">
        <f t="shared" si="80"/>
        <v>5.9000000000000004E-2</v>
      </c>
      <c r="DM56" s="1394">
        <f t="shared" si="81"/>
        <v>-1.0000000000000002E-2</v>
      </c>
      <c r="DN56" s="1394">
        <f t="shared" si="82"/>
        <v>-2.6000000000000002E-2</v>
      </c>
      <c r="DO56" s="1394">
        <f t="shared" si="82"/>
        <v>-5.2499999999999998E-2</v>
      </c>
      <c r="DP56" s="1394">
        <f t="shared" si="82"/>
        <v>0.06</v>
      </c>
      <c r="DQ56" s="1394">
        <f t="shared" si="82"/>
        <v>0.03</v>
      </c>
    </row>
    <row r="57" spans="1:150" s="228" customFormat="1">
      <c r="A57" s="780" t="s">
        <v>398</v>
      </c>
      <c r="B57" s="454"/>
      <c r="C57" s="780"/>
      <c r="D57" s="454"/>
      <c r="E57" s="454"/>
      <c r="F57" s="454"/>
      <c r="G57" s="781"/>
      <c r="H57" s="454"/>
      <c r="I57" s="780"/>
      <c r="J57" s="454"/>
      <c r="K57" s="454"/>
      <c r="L57" s="454"/>
      <c r="M57" s="781"/>
      <c r="N57" s="454"/>
      <c r="O57" s="252">
        <v>0.05</v>
      </c>
      <c r="P57" s="73">
        <v>-0.05</v>
      </c>
      <c r="Q57" s="73">
        <v>-0.02</v>
      </c>
      <c r="R57" s="73">
        <v>0.02</v>
      </c>
      <c r="S57" s="998">
        <f>AVERAGE(O57:R57)</f>
        <v>0</v>
      </c>
      <c r="T57" s="454"/>
      <c r="U57" s="1449">
        <v>0.1</v>
      </c>
      <c r="V57" s="1450">
        <v>0.18</v>
      </c>
      <c r="W57" s="1450">
        <v>0.12</v>
      </c>
      <c r="X57" s="997"/>
      <c r="Y57" s="998">
        <f>AVERAGE(U57:X57)</f>
        <v>0.13333333333333333</v>
      </c>
      <c r="Z57" s="454"/>
      <c r="AA57" s="1449">
        <v>0.18</v>
      </c>
      <c r="AB57" s="1450">
        <v>0.18</v>
      </c>
      <c r="AC57" s="1450">
        <v>0.08</v>
      </c>
      <c r="AD57" s="1450">
        <v>0.1</v>
      </c>
      <c r="AE57" s="998">
        <v>0.13500000000000001</v>
      </c>
      <c r="AF57" s="454"/>
      <c r="AG57" s="1449">
        <v>0.11</v>
      </c>
      <c r="AH57" s="1450">
        <v>7.0000000000000007E-2</v>
      </c>
      <c r="AI57" s="1450">
        <v>0.21</v>
      </c>
      <c r="AJ57" s="454"/>
      <c r="AK57" s="781"/>
      <c r="AL57" s="454"/>
      <c r="AM57" s="780"/>
      <c r="AN57" s="454"/>
      <c r="AO57" s="454"/>
      <c r="AP57" s="454"/>
      <c r="AQ57" s="781"/>
      <c r="AR57" s="454"/>
      <c r="AS57" s="780"/>
      <c r="AT57" s="454"/>
      <c r="AU57" s="454"/>
      <c r="AV57" s="454"/>
      <c r="AW57" s="781"/>
      <c r="AX57" s="454"/>
      <c r="AY57" s="780"/>
      <c r="AZ57" s="454"/>
      <c r="BA57" s="454"/>
      <c r="BB57" s="454"/>
      <c r="BC57" s="781"/>
      <c r="BD57" s="454"/>
      <c r="BE57" s="780"/>
      <c r="BF57" s="454"/>
      <c r="BG57" s="454"/>
      <c r="BH57" s="454"/>
      <c r="BI57" s="781"/>
      <c r="BJ57" s="454"/>
      <c r="BK57" s="780"/>
      <c r="BL57" s="454"/>
      <c r="BM57" s="454"/>
      <c r="BN57" s="454"/>
      <c r="BO57" s="781"/>
      <c r="BP57" s="454"/>
      <c r="BQ57" s="780"/>
      <c r="BR57" s="454"/>
      <c r="BS57" s="454"/>
      <c r="BT57" s="454"/>
      <c r="BU57" s="781"/>
      <c r="BV57" s="454"/>
      <c r="BW57" s="780"/>
      <c r="BX57" s="454"/>
      <c r="BY57" s="454"/>
      <c r="BZ57" s="454"/>
      <c r="CA57" s="781"/>
      <c r="CB57" s="454"/>
      <c r="CC57" s="780"/>
      <c r="CD57" s="454"/>
      <c r="CE57" s="454"/>
      <c r="CF57" s="454"/>
      <c r="CG57" s="781"/>
      <c r="CH57" s="454"/>
      <c r="CI57" s="780"/>
      <c r="CJ57" s="454"/>
      <c r="CK57" s="454"/>
      <c r="CL57" s="454"/>
      <c r="CM57" s="781"/>
      <c r="CR57" s="226"/>
      <c r="CS57" s="1389" t="s">
        <v>213</v>
      </c>
      <c r="CT57" s="1390"/>
      <c r="CU57" s="1390"/>
      <c r="CV57" s="1390"/>
      <c r="CW57" s="1390"/>
      <c r="CX57" s="1390" t="str">
        <f>CX49</f>
        <v>--</v>
      </c>
      <c r="CY57" s="1390">
        <f t="shared" si="86"/>
        <v>0</v>
      </c>
      <c r="CZ57" s="1390">
        <f t="shared" si="87"/>
        <v>0.16</v>
      </c>
      <c r="DA57" s="1390">
        <f t="shared" si="88"/>
        <v>7.0000000000000007E-2</v>
      </c>
      <c r="DB57" s="1390" t="s">
        <v>6</v>
      </c>
      <c r="DC57" s="1390">
        <f t="shared" si="90"/>
        <v>0.08</v>
      </c>
      <c r="DD57" s="1390">
        <f t="shared" si="91"/>
        <v>0.1</v>
      </c>
      <c r="DE57" s="1390">
        <f t="shared" si="73"/>
        <v>7.0000000000000007E-2</v>
      </c>
      <c r="DF57" s="1390">
        <f t="shared" si="92"/>
        <v>0.11</v>
      </c>
      <c r="DG57" s="1390">
        <f t="shared" si="93"/>
        <v>0.1</v>
      </c>
      <c r="DH57" s="1390">
        <f t="shared" si="94"/>
        <v>0.08</v>
      </c>
      <c r="DI57" s="1390">
        <f t="shared" si="85"/>
        <v>0.13</v>
      </c>
      <c r="DJ57" s="1390">
        <f t="shared" si="78"/>
        <v>0.14000000000000001</v>
      </c>
      <c r="DK57" s="1390">
        <f t="shared" si="79"/>
        <v>0.13</v>
      </c>
      <c r="DL57" s="1390">
        <f t="shared" si="80"/>
        <v>9.4E-2</v>
      </c>
      <c r="DM57" s="1390">
        <f t="shared" si="81"/>
        <v>0.1</v>
      </c>
      <c r="DN57" s="1390">
        <f t="shared" si="82"/>
        <v>0.124</v>
      </c>
      <c r="DO57" s="1390">
        <f t="shared" si="82"/>
        <v>6.5000000000000002E-2</v>
      </c>
      <c r="DP57" s="1390">
        <f t="shared" si="82"/>
        <v>7.5000000000000011E-2</v>
      </c>
      <c r="DQ57" s="1390">
        <f t="shared" si="82"/>
        <v>0.13999999999999999</v>
      </c>
    </row>
    <row r="58" spans="1:150" s="228" customFormat="1">
      <c r="A58" s="1007" t="s">
        <v>390</v>
      </c>
      <c r="B58" s="454"/>
      <c r="C58" s="780"/>
      <c r="D58" s="454"/>
      <c r="E58" s="454"/>
      <c r="F58" s="454"/>
      <c r="G58" s="781"/>
      <c r="H58" s="454"/>
      <c r="I58" s="780"/>
      <c r="J58" s="454"/>
      <c r="K58" s="454"/>
      <c r="L58" s="454"/>
      <c r="M58" s="781"/>
      <c r="N58" s="454"/>
      <c r="O58" s="780"/>
      <c r="P58" s="454"/>
      <c r="Q58" s="73">
        <v>0.1</v>
      </c>
      <c r="R58" s="73">
        <v>0.25</v>
      </c>
      <c r="S58" s="998">
        <f>AVERAGE(O58:R58)</f>
        <v>0.17499999999999999</v>
      </c>
      <c r="T58" s="454"/>
      <c r="U58" s="1449">
        <v>0.18</v>
      </c>
      <c r="V58" s="1450">
        <v>0.22</v>
      </c>
      <c r="W58" s="997"/>
      <c r="X58" s="997"/>
      <c r="Y58" s="998">
        <f>AVERAGE(U58:X58)</f>
        <v>0.2</v>
      </c>
      <c r="Z58" s="454"/>
      <c r="AA58" s="999"/>
      <c r="AB58" s="1450">
        <v>0.22</v>
      </c>
      <c r="AC58" s="1450">
        <v>0.22</v>
      </c>
      <c r="AD58" s="997"/>
      <c r="AE58" s="998">
        <v>0.22</v>
      </c>
      <c r="AF58" s="454"/>
      <c r="AG58" s="1449">
        <v>0.2</v>
      </c>
      <c r="AH58" s="1450">
        <v>0.23</v>
      </c>
      <c r="AI58" s="1450">
        <v>0.21</v>
      </c>
      <c r="AJ58" s="454"/>
      <c r="AK58" s="781"/>
      <c r="AL58" s="454"/>
      <c r="AM58" s="780"/>
      <c r="AN58" s="454"/>
      <c r="AO58" s="454"/>
      <c r="AP58" s="454"/>
      <c r="AQ58" s="781"/>
      <c r="AR58" s="454"/>
      <c r="AS58" s="780"/>
      <c r="AT58" s="454"/>
      <c r="AU58" s="454"/>
      <c r="AV58" s="454"/>
      <c r="AW58" s="781"/>
      <c r="AX58" s="454"/>
      <c r="AY58" s="780"/>
      <c r="AZ58" s="454"/>
      <c r="BA58" s="454"/>
      <c r="BB58" s="454"/>
      <c r="BC58" s="781"/>
      <c r="BD58" s="454"/>
      <c r="BE58" s="780"/>
      <c r="BF58" s="454"/>
      <c r="BG58" s="454"/>
      <c r="BH58" s="454"/>
      <c r="BI58" s="781"/>
      <c r="BJ58" s="454"/>
      <c r="BK58" s="780"/>
      <c r="BL58" s="454"/>
      <c r="BM58" s="454"/>
      <c r="BN58" s="454"/>
      <c r="BO58" s="781"/>
      <c r="BP58" s="454"/>
      <c r="BQ58" s="780"/>
      <c r="BR58" s="454"/>
      <c r="BS58" s="454"/>
      <c r="BT58" s="454"/>
      <c r="BU58" s="781"/>
      <c r="BV58" s="454"/>
      <c r="BW58" s="780"/>
      <c r="BX58" s="454"/>
      <c r="BY58" s="454"/>
      <c r="BZ58" s="454"/>
      <c r="CA58" s="781"/>
      <c r="CB58" s="454"/>
      <c r="CC58" s="780"/>
      <c r="CD58" s="454"/>
      <c r="CE58" s="454"/>
      <c r="CF58" s="454"/>
      <c r="CG58" s="781"/>
      <c r="CH58" s="454"/>
      <c r="CI58" s="780"/>
      <c r="CJ58" s="454"/>
      <c r="CK58" s="454"/>
      <c r="CL58" s="454"/>
      <c r="CM58" s="781"/>
      <c r="CR58" s="226"/>
      <c r="CS58" s="226"/>
      <c r="CT58" s="226"/>
      <c r="CU58" s="226"/>
      <c r="CV58" s="226"/>
      <c r="CW58" s="226"/>
      <c r="CX58" s="226"/>
      <c r="CY58" s="226"/>
      <c r="CZ58" s="226"/>
      <c r="DA58" s="226"/>
      <c r="DB58" s="226"/>
      <c r="DC58" s="226"/>
      <c r="DD58" s="226"/>
      <c r="DE58" s="226"/>
    </row>
    <row r="59" spans="1:150" s="228" customFormat="1" hidden="1" outlineLevel="1">
      <c r="A59" s="1007" t="s">
        <v>46</v>
      </c>
      <c r="B59" s="454"/>
      <c r="C59" s="780"/>
      <c r="D59" s="454"/>
      <c r="E59" s="454"/>
      <c r="F59" s="454"/>
      <c r="G59" s="781"/>
      <c r="H59" s="454"/>
      <c r="I59" s="780"/>
      <c r="J59" s="454"/>
      <c r="K59" s="454"/>
      <c r="L59" s="454"/>
      <c r="M59" s="781"/>
      <c r="N59" s="454"/>
      <c r="O59" s="780"/>
      <c r="P59" s="454"/>
      <c r="Q59" s="454"/>
      <c r="R59" s="73">
        <v>0.25</v>
      </c>
      <c r="S59" s="998">
        <f>AVERAGE(O59:R59)</f>
        <v>0.25</v>
      </c>
      <c r="T59" s="454"/>
      <c r="U59" s="999"/>
      <c r="V59" s="997"/>
      <c r="W59" s="997"/>
      <c r="X59" s="997"/>
      <c r="Y59" s="998"/>
      <c r="Z59" s="454"/>
      <c r="AA59" s="999"/>
      <c r="AB59" s="997"/>
      <c r="AC59" s="997"/>
      <c r="AD59" s="997"/>
      <c r="AE59" s="998"/>
      <c r="AF59" s="454"/>
      <c r="AG59" s="780"/>
      <c r="AH59" s="454"/>
      <c r="AI59" s="454"/>
      <c r="AJ59" s="454"/>
      <c r="AK59" s="781"/>
      <c r="AL59" s="454"/>
      <c r="AM59" s="780"/>
      <c r="AN59" s="454"/>
      <c r="AO59" s="454"/>
      <c r="AP59" s="454"/>
      <c r="AQ59" s="781"/>
      <c r="AR59" s="454"/>
      <c r="AS59" s="780"/>
      <c r="AT59" s="454"/>
      <c r="AU59" s="454"/>
      <c r="AV59" s="454"/>
      <c r="AW59" s="781"/>
      <c r="AX59" s="454"/>
      <c r="AY59" s="780"/>
      <c r="AZ59" s="454"/>
      <c r="BA59" s="454"/>
      <c r="BB59" s="454"/>
      <c r="BC59" s="781"/>
      <c r="BD59" s="454"/>
      <c r="BE59" s="780"/>
      <c r="BF59" s="454"/>
      <c r="BG59" s="454"/>
      <c r="BH59" s="454"/>
      <c r="BI59" s="781"/>
      <c r="BJ59" s="454"/>
      <c r="BK59" s="780"/>
      <c r="BL59" s="454"/>
      <c r="BM59" s="454"/>
      <c r="BN59" s="454"/>
      <c r="BO59" s="781"/>
      <c r="BP59" s="454"/>
      <c r="BQ59" s="780"/>
      <c r="BR59" s="454"/>
      <c r="BS59" s="454"/>
      <c r="BT59" s="454"/>
      <c r="BU59" s="781"/>
      <c r="BV59" s="454"/>
      <c r="BW59" s="780"/>
      <c r="BX59" s="454"/>
      <c r="BY59" s="454"/>
      <c r="BZ59" s="454"/>
      <c r="CA59" s="781"/>
      <c r="CB59" s="454"/>
      <c r="CC59" s="780"/>
      <c r="CD59" s="454"/>
      <c r="CE59" s="454"/>
      <c r="CF59" s="454"/>
      <c r="CG59" s="781"/>
      <c r="CH59" s="454"/>
      <c r="CI59" s="780"/>
      <c r="CJ59" s="454"/>
      <c r="CK59" s="454"/>
      <c r="CL59" s="454"/>
      <c r="CM59" s="781"/>
      <c r="CR59" s="226"/>
      <c r="CS59" s="226"/>
      <c r="CT59" s="226"/>
      <c r="CU59" s="226"/>
      <c r="CV59" s="226"/>
      <c r="CW59" s="226"/>
      <c r="CX59" s="226"/>
      <c r="CY59" s="226"/>
      <c r="CZ59" s="226"/>
      <c r="DA59" s="226"/>
      <c r="DB59" s="226"/>
      <c r="DC59" s="226"/>
      <c r="DD59" s="226"/>
      <c r="DE59" s="226"/>
    </row>
    <row r="60" spans="1:150" s="228" customFormat="1" collapsed="1">
      <c r="A60" s="780" t="s">
        <v>210</v>
      </c>
      <c r="B60" s="454"/>
      <c r="C60" s="780"/>
      <c r="D60" s="454"/>
      <c r="E60" s="454"/>
      <c r="F60" s="454"/>
      <c r="G60" s="781"/>
      <c r="H60" s="454"/>
      <c r="I60" s="780"/>
      <c r="J60" s="454"/>
      <c r="K60" s="454"/>
      <c r="L60" s="454"/>
      <c r="M60" s="781"/>
      <c r="N60" s="454"/>
      <c r="O60" s="780"/>
      <c r="P60" s="454"/>
      <c r="Q60" s="454"/>
      <c r="R60" s="454"/>
      <c r="S60" s="998"/>
      <c r="T60" s="454"/>
      <c r="U60" s="999"/>
      <c r="V60" s="997"/>
      <c r="W60" s="997"/>
      <c r="X60" s="997"/>
      <c r="Y60" s="998"/>
      <c r="Z60" s="454"/>
      <c r="AA60" s="1449">
        <v>0.1</v>
      </c>
      <c r="AB60" s="1450">
        <v>0.1</v>
      </c>
      <c r="AC60" s="1450">
        <v>0.1</v>
      </c>
      <c r="AD60" s="1450">
        <v>0.2</v>
      </c>
      <c r="AE60" s="998">
        <v>0.125</v>
      </c>
      <c r="AF60" s="454"/>
      <c r="AG60" s="1449">
        <v>0.2</v>
      </c>
      <c r="AH60" s="1450">
        <v>0.17</v>
      </c>
      <c r="AI60" s="1450">
        <v>0.21</v>
      </c>
      <c r="AJ60" s="454"/>
      <c r="AK60" s="781"/>
      <c r="AL60" s="454"/>
      <c r="AM60" s="780"/>
      <c r="AN60" s="454"/>
      <c r="AO60" s="454"/>
      <c r="AP60" s="454"/>
      <c r="AQ60" s="781"/>
      <c r="AR60" s="454"/>
      <c r="AS60" s="780"/>
      <c r="AT60" s="454"/>
      <c r="AU60" s="454"/>
      <c r="AV60" s="454"/>
      <c r="AW60" s="781"/>
      <c r="AX60" s="454"/>
      <c r="AY60" s="780"/>
      <c r="AZ60" s="454"/>
      <c r="BA60" s="454"/>
      <c r="BB60" s="454"/>
      <c r="BC60" s="781"/>
      <c r="BD60" s="454"/>
      <c r="BE60" s="780"/>
      <c r="BF60" s="454"/>
      <c r="BG60" s="454"/>
      <c r="BH60" s="454"/>
      <c r="BI60" s="781"/>
      <c r="BJ60" s="454"/>
      <c r="BK60" s="780"/>
      <c r="BL60" s="454"/>
      <c r="BM60" s="454"/>
      <c r="BN60" s="454"/>
      <c r="BO60" s="781"/>
      <c r="BP60" s="454"/>
      <c r="BQ60" s="780"/>
      <c r="BR60" s="454"/>
      <c r="BS60" s="454"/>
      <c r="BT60" s="454"/>
      <c r="BU60" s="781"/>
      <c r="BV60" s="454"/>
      <c r="BW60" s="780"/>
      <c r="BX60" s="454"/>
      <c r="BY60" s="454"/>
      <c r="BZ60" s="454"/>
      <c r="CA60" s="781"/>
      <c r="CB60" s="454"/>
      <c r="CC60" s="780"/>
      <c r="CD60" s="454"/>
      <c r="CE60" s="454"/>
      <c r="CF60" s="454"/>
      <c r="CG60" s="781"/>
      <c r="CH60" s="454"/>
      <c r="CI60" s="780"/>
      <c r="CJ60" s="454"/>
      <c r="CK60" s="454"/>
      <c r="CL60" s="454"/>
      <c r="CM60" s="781"/>
      <c r="CR60" s="226"/>
      <c r="CS60" s="226"/>
      <c r="CT60" s="226"/>
      <c r="CU60" s="226"/>
      <c r="CV60" s="226"/>
      <c r="CW60" s="226"/>
      <c r="CX60" s="226"/>
      <c r="CY60" s="226"/>
      <c r="CZ60" s="226"/>
      <c r="DA60" s="226"/>
      <c r="DB60" s="226"/>
      <c r="DC60" s="226"/>
      <c r="DD60" s="226"/>
      <c r="DE60" s="226"/>
    </row>
    <row r="61" spans="1:150" s="228" customFormat="1" hidden="1" outlineLevel="1">
      <c r="A61" s="1007" t="s">
        <v>45</v>
      </c>
      <c r="B61" s="454"/>
      <c r="C61" s="780"/>
      <c r="D61" s="454"/>
      <c r="E61" s="454"/>
      <c r="F61" s="454"/>
      <c r="G61" s="781"/>
      <c r="H61" s="454"/>
      <c r="I61" s="780"/>
      <c r="J61" s="454"/>
      <c r="K61" s="454"/>
      <c r="L61" s="454"/>
      <c r="M61" s="781"/>
      <c r="N61" s="454"/>
      <c r="O61" s="780"/>
      <c r="P61" s="454"/>
      <c r="Q61" s="454"/>
      <c r="R61" s="454"/>
      <c r="S61" s="781"/>
      <c r="T61" s="454"/>
      <c r="U61" s="252">
        <v>0.12</v>
      </c>
      <c r="V61" s="454"/>
      <c r="W61" s="454"/>
      <c r="X61" s="454"/>
      <c r="Y61" s="781"/>
      <c r="Z61" s="454"/>
      <c r="AA61" s="780"/>
      <c r="AB61" s="454"/>
      <c r="AC61" s="454"/>
      <c r="AD61" s="454"/>
      <c r="AE61" s="781"/>
      <c r="AF61" s="454"/>
      <c r="AG61" s="780"/>
      <c r="AH61" s="454"/>
      <c r="AI61" s="454"/>
      <c r="AJ61" s="454"/>
      <c r="AK61" s="781"/>
      <c r="AL61" s="454"/>
      <c r="AM61" s="780"/>
      <c r="AN61" s="454"/>
      <c r="AO61" s="454"/>
      <c r="AP61" s="454"/>
      <c r="AQ61" s="781"/>
      <c r="AR61" s="454"/>
      <c r="AS61" s="780"/>
      <c r="AT61" s="454"/>
      <c r="AU61" s="454"/>
      <c r="AV61" s="454"/>
      <c r="AW61" s="781"/>
      <c r="AX61" s="454"/>
      <c r="AY61" s="780"/>
      <c r="AZ61" s="454"/>
      <c r="BA61" s="454"/>
      <c r="BB61" s="454"/>
      <c r="BC61" s="781"/>
      <c r="BD61" s="454"/>
      <c r="BE61" s="780"/>
      <c r="BF61" s="454"/>
      <c r="BG61" s="454"/>
      <c r="BH61" s="454"/>
      <c r="BI61" s="781"/>
      <c r="BJ61" s="454"/>
      <c r="BK61" s="780"/>
      <c r="BL61" s="454"/>
      <c r="BM61" s="454"/>
      <c r="BN61" s="454"/>
      <c r="BO61" s="781"/>
      <c r="BP61" s="454"/>
      <c r="BQ61" s="780"/>
      <c r="BR61" s="454"/>
      <c r="BS61" s="454"/>
      <c r="BT61" s="454"/>
      <c r="BU61" s="781"/>
      <c r="BV61" s="454"/>
      <c r="BW61" s="780"/>
      <c r="BX61" s="454"/>
      <c r="BY61" s="454"/>
      <c r="BZ61" s="454"/>
      <c r="CA61" s="781"/>
      <c r="CB61" s="454"/>
      <c r="CC61" s="780"/>
      <c r="CD61" s="454"/>
      <c r="CE61" s="454"/>
      <c r="CF61" s="454"/>
      <c r="CG61" s="781"/>
      <c r="CH61" s="454"/>
      <c r="CI61" s="780"/>
      <c r="CJ61" s="454"/>
      <c r="CK61" s="454"/>
      <c r="CL61" s="454"/>
      <c r="CM61" s="781"/>
    </row>
    <row r="62" spans="1:150" s="228" customFormat="1" collapsed="1">
      <c r="A62" s="780"/>
      <c r="B62" s="454"/>
      <c r="C62" s="780"/>
      <c r="D62" s="454"/>
      <c r="E62" s="454"/>
      <c r="F62" s="454"/>
      <c r="G62" s="781"/>
      <c r="H62" s="454"/>
      <c r="I62" s="780"/>
      <c r="J62" s="454"/>
      <c r="K62" s="454"/>
      <c r="L62" s="454"/>
      <c r="M62" s="781"/>
      <c r="N62" s="454"/>
      <c r="O62" s="780"/>
      <c r="P62" s="454"/>
      <c r="Q62" s="454"/>
      <c r="R62" s="454"/>
      <c r="S62" s="781"/>
      <c r="T62" s="454"/>
      <c r="U62" s="780"/>
      <c r="V62" s="454"/>
      <c r="W62" s="454"/>
      <c r="X62" s="454"/>
      <c r="Y62" s="781"/>
      <c r="Z62" s="454"/>
      <c r="AA62" s="780"/>
      <c r="AB62" s="454"/>
      <c r="AC62" s="454"/>
      <c r="AD62" s="454"/>
      <c r="AE62" s="781"/>
      <c r="AF62" s="454"/>
      <c r="AG62" s="780"/>
      <c r="AH62" s="454"/>
      <c r="AI62" s="454"/>
      <c r="AJ62" s="454"/>
      <c r="AK62" s="781"/>
      <c r="AL62" s="454"/>
      <c r="AM62" s="780"/>
      <c r="AN62" s="454"/>
      <c r="AO62" s="454"/>
      <c r="AP62" s="454"/>
      <c r="AQ62" s="781"/>
      <c r="AR62" s="454"/>
      <c r="AS62" s="780"/>
      <c r="AT62" s="454"/>
      <c r="AU62" s="454"/>
      <c r="AV62" s="454"/>
      <c r="AW62" s="781"/>
      <c r="AX62" s="454"/>
      <c r="AY62" s="780"/>
      <c r="AZ62" s="454"/>
      <c r="BA62" s="454"/>
      <c r="BB62" s="454"/>
      <c r="BC62" s="781"/>
      <c r="BD62" s="454"/>
      <c r="BE62" s="780"/>
      <c r="BF62" s="454"/>
      <c r="BG62" s="454"/>
      <c r="BH62" s="454"/>
      <c r="BI62" s="781"/>
      <c r="BJ62" s="454"/>
      <c r="BK62" s="780"/>
      <c r="BL62" s="454"/>
      <c r="BM62" s="454"/>
      <c r="BN62" s="454"/>
      <c r="BO62" s="781"/>
      <c r="BP62" s="454"/>
      <c r="BQ62" s="780"/>
      <c r="BR62" s="454"/>
      <c r="BS62" s="454"/>
      <c r="BT62" s="454"/>
      <c r="BU62" s="781"/>
      <c r="BV62" s="454"/>
      <c r="BW62" s="780"/>
      <c r="BX62" s="454"/>
      <c r="BY62" s="454"/>
      <c r="BZ62" s="454"/>
      <c r="CA62" s="781"/>
      <c r="CB62" s="454"/>
      <c r="CC62" s="780"/>
      <c r="CD62" s="454"/>
      <c r="CE62" s="454"/>
      <c r="CF62" s="454"/>
      <c r="CG62" s="781"/>
      <c r="CH62" s="454"/>
      <c r="CI62" s="780"/>
      <c r="CJ62" s="454"/>
      <c r="CK62" s="454"/>
      <c r="CL62" s="454"/>
      <c r="CM62" s="781"/>
    </row>
    <row r="63" spans="1:150" s="228" customFormat="1">
      <c r="A63" s="1008" t="s">
        <v>442</v>
      </c>
      <c r="B63" s="454"/>
      <c r="C63" s="780"/>
      <c r="D63" s="454"/>
      <c r="E63" s="454"/>
      <c r="F63" s="454"/>
      <c r="G63" s="781"/>
      <c r="H63" s="454"/>
      <c r="I63" s="780"/>
      <c r="J63" s="454"/>
      <c r="K63" s="454"/>
      <c r="L63" s="454"/>
      <c r="M63" s="781"/>
      <c r="N63" s="454"/>
      <c r="O63" s="780"/>
      <c r="P63" s="454"/>
      <c r="Q63" s="454"/>
      <c r="R63" s="454"/>
      <c r="S63" s="781"/>
      <c r="T63" s="454"/>
      <c r="U63" s="780"/>
      <c r="V63" s="454"/>
      <c r="W63" s="454"/>
      <c r="X63" s="454"/>
      <c r="Y63" s="781"/>
      <c r="Z63" s="454"/>
      <c r="AA63" s="1449">
        <v>0.05</v>
      </c>
      <c r="AB63" s="454"/>
      <c r="AC63" s="454"/>
      <c r="AD63" s="454"/>
      <c r="AE63" s="781"/>
      <c r="AF63" s="454"/>
      <c r="AG63" s="1449">
        <v>0.05</v>
      </c>
      <c r="AH63" s="1450">
        <v>0.08</v>
      </c>
      <c r="AI63" s="1450">
        <v>0.05</v>
      </c>
      <c r="AJ63" s="454"/>
      <c r="AK63" s="781"/>
      <c r="AL63" s="454"/>
      <c r="AM63" s="780"/>
      <c r="AN63" s="454"/>
      <c r="AO63" s="454"/>
      <c r="AP63" s="454"/>
      <c r="AQ63" s="781"/>
      <c r="AR63" s="454"/>
      <c r="AS63" s="780"/>
      <c r="AT63" s="454"/>
      <c r="AU63" s="454"/>
      <c r="AV63" s="454"/>
      <c r="AW63" s="781"/>
      <c r="AX63" s="454"/>
      <c r="AY63" s="780"/>
      <c r="AZ63" s="454"/>
      <c r="BA63" s="454"/>
      <c r="BB63" s="454"/>
      <c r="BC63" s="781"/>
      <c r="BD63" s="454"/>
      <c r="BE63" s="780"/>
      <c r="BF63" s="454"/>
      <c r="BG63" s="454"/>
      <c r="BH63" s="454"/>
      <c r="BI63" s="781"/>
      <c r="BJ63" s="454"/>
      <c r="BK63" s="780"/>
      <c r="BL63" s="454"/>
      <c r="BM63" s="454"/>
      <c r="BN63" s="454"/>
      <c r="BO63" s="781"/>
      <c r="BP63" s="454"/>
      <c r="BQ63" s="780"/>
      <c r="BR63" s="454"/>
      <c r="BS63" s="454"/>
      <c r="BT63" s="454"/>
      <c r="BU63" s="781"/>
      <c r="BV63" s="454"/>
      <c r="BW63" s="780"/>
      <c r="BX63" s="454"/>
      <c r="BY63" s="454"/>
      <c r="BZ63" s="454"/>
      <c r="CA63" s="781"/>
      <c r="CB63" s="454"/>
      <c r="CC63" s="780"/>
      <c r="CD63" s="454"/>
      <c r="CE63" s="454"/>
      <c r="CF63" s="454"/>
      <c r="CG63" s="781"/>
      <c r="CH63" s="454"/>
      <c r="CI63" s="780"/>
      <c r="CJ63" s="454"/>
      <c r="CK63" s="454"/>
      <c r="CL63" s="454"/>
      <c r="CM63" s="781"/>
    </row>
    <row r="64" spans="1:150" s="228" customFormat="1">
      <c r="A64" s="1009" t="s">
        <v>443</v>
      </c>
      <c r="B64" s="852"/>
      <c r="C64" s="851"/>
      <c r="D64" s="852"/>
      <c r="E64" s="852"/>
      <c r="F64" s="852"/>
      <c r="G64" s="853"/>
      <c r="H64" s="852"/>
      <c r="I64" s="851"/>
      <c r="J64" s="852"/>
      <c r="K64" s="852"/>
      <c r="L64" s="852"/>
      <c r="M64" s="853"/>
      <c r="N64" s="852"/>
      <c r="O64" s="851"/>
      <c r="P64" s="852"/>
      <c r="Q64" s="852"/>
      <c r="R64" s="852"/>
      <c r="S64" s="853"/>
      <c r="T64" s="852"/>
      <c r="U64" s="851"/>
      <c r="V64" s="852"/>
      <c r="W64" s="852"/>
      <c r="X64" s="852"/>
      <c r="Y64" s="853"/>
      <c r="Z64" s="852"/>
      <c r="AA64" s="1451">
        <v>0.18</v>
      </c>
      <c r="AB64" s="852"/>
      <c r="AC64" s="852"/>
      <c r="AD64" s="852"/>
      <c r="AE64" s="853"/>
      <c r="AF64" s="852"/>
      <c r="AG64" s="1451">
        <v>0.08</v>
      </c>
      <c r="AH64" s="1452">
        <v>0.03</v>
      </c>
      <c r="AI64" s="1452">
        <v>0.1</v>
      </c>
      <c r="AJ64" s="852"/>
      <c r="AK64" s="853"/>
      <c r="AL64" s="852"/>
      <c r="AM64" s="851"/>
      <c r="AN64" s="852"/>
      <c r="AO64" s="852"/>
      <c r="AP64" s="852"/>
      <c r="AQ64" s="853"/>
      <c r="AR64" s="852"/>
      <c r="AS64" s="851"/>
      <c r="AT64" s="852"/>
      <c r="AU64" s="852"/>
      <c r="AV64" s="852"/>
      <c r="AW64" s="853"/>
      <c r="AX64" s="852"/>
      <c r="AY64" s="851"/>
      <c r="AZ64" s="852"/>
      <c r="BA64" s="852"/>
      <c r="BB64" s="852"/>
      <c r="BC64" s="853"/>
      <c r="BD64" s="852"/>
      <c r="BE64" s="851"/>
      <c r="BF64" s="852"/>
      <c r="BG64" s="852"/>
      <c r="BH64" s="852"/>
      <c r="BI64" s="853"/>
      <c r="BJ64" s="852"/>
      <c r="BK64" s="851"/>
      <c r="BL64" s="852"/>
      <c r="BM64" s="852"/>
      <c r="BN64" s="852"/>
      <c r="BO64" s="853"/>
      <c r="BP64" s="852"/>
      <c r="BQ64" s="851"/>
      <c r="BR64" s="852"/>
      <c r="BS64" s="852"/>
      <c r="BT64" s="852"/>
      <c r="BU64" s="853"/>
      <c r="BV64" s="852"/>
      <c r="BW64" s="851"/>
      <c r="BX64" s="852"/>
      <c r="BY64" s="852"/>
      <c r="BZ64" s="852"/>
      <c r="CA64" s="853"/>
      <c r="CB64" s="852"/>
      <c r="CC64" s="851"/>
      <c r="CD64" s="852"/>
      <c r="CE64" s="852"/>
      <c r="CF64" s="852"/>
      <c r="CG64" s="853"/>
      <c r="CH64" s="852"/>
      <c r="CI64" s="851"/>
      <c r="CJ64" s="852"/>
      <c r="CK64" s="852"/>
      <c r="CL64" s="852"/>
      <c r="CM64" s="853"/>
    </row>
    <row r="65" spans="1:117">
      <c r="CR65" s="228"/>
      <c r="CS65" s="228"/>
      <c r="CT65" s="228"/>
      <c r="CU65" s="228"/>
      <c r="CV65" s="228"/>
      <c r="CW65" s="228"/>
      <c r="CX65" s="228"/>
      <c r="CY65" s="228"/>
      <c r="CZ65" s="228"/>
      <c r="DA65" s="228"/>
      <c r="DB65" s="228"/>
      <c r="DC65" s="228"/>
      <c r="DD65" s="228"/>
      <c r="DE65" s="228"/>
      <c r="DF65" s="228"/>
      <c r="DG65" s="228"/>
      <c r="DH65" s="228"/>
      <c r="DI65" s="228"/>
      <c r="DJ65" s="228"/>
      <c r="DK65" s="228"/>
      <c r="DL65" s="228"/>
      <c r="DM65" s="228"/>
    </row>
    <row r="66" spans="1:117">
      <c r="A66" s="1253" t="s">
        <v>73</v>
      </c>
      <c r="B66" s="1254"/>
      <c r="C66" s="1255"/>
      <c r="D66" s="1254"/>
      <c r="E66" s="1254"/>
      <c r="F66" s="1256"/>
      <c r="G66" s="1257"/>
      <c r="H66" s="1254"/>
      <c r="I66" s="1255"/>
      <c r="J66" s="1254"/>
      <c r="K66" s="1254"/>
      <c r="L66" s="1256"/>
      <c r="M66" s="1257"/>
      <c r="N66" s="1254"/>
      <c r="O66" s="1255"/>
      <c r="P66" s="1254"/>
      <c r="Q66" s="1254"/>
      <c r="R66" s="1256"/>
      <c r="S66" s="1257"/>
      <c r="T66" s="1254"/>
      <c r="U66" s="1255"/>
      <c r="V66" s="1254"/>
      <c r="W66" s="1254"/>
      <c r="X66" s="1256"/>
      <c r="Y66" s="1257"/>
      <c r="Z66" s="1254"/>
      <c r="AA66" s="1255"/>
      <c r="AB66" s="1254"/>
      <c r="AC66" s="1254"/>
      <c r="AD66" s="1256"/>
      <c r="AE66" s="1257"/>
      <c r="AF66" s="1254"/>
      <c r="AG66" s="1255"/>
      <c r="AH66" s="1254"/>
      <c r="AI66" s="1254"/>
      <c r="AJ66" s="1256"/>
      <c r="AK66" s="1257"/>
      <c r="AL66" s="1254"/>
      <c r="AM66" s="1255"/>
      <c r="AN66" s="1254"/>
      <c r="AO66" s="1254"/>
      <c r="AP66" s="1256"/>
      <c r="AQ66" s="1257"/>
      <c r="AR66" s="1254"/>
      <c r="AS66" s="1255"/>
      <c r="AT66" s="1254"/>
      <c r="AU66" s="1254"/>
      <c r="AV66" s="1256"/>
      <c r="AW66" s="1257"/>
      <c r="AX66" s="1254"/>
      <c r="AY66" s="1255"/>
      <c r="AZ66" s="1254"/>
      <c r="BA66" s="1254"/>
      <c r="BB66" s="1256"/>
      <c r="BC66" s="1257"/>
      <c r="BD66" s="1254"/>
      <c r="BE66" s="1255"/>
      <c r="BF66" s="1254"/>
      <c r="BG66" s="1254"/>
      <c r="BH66" s="1256"/>
      <c r="BI66" s="1257"/>
      <c r="BJ66" s="1254"/>
      <c r="BK66" s="1255"/>
      <c r="BL66" s="1254"/>
      <c r="BM66" s="1254"/>
      <c r="BN66" s="1256"/>
      <c r="BO66" s="1257"/>
      <c r="BP66" s="1254"/>
      <c r="BQ66" s="1255"/>
      <c r="BR66" s="1254"/>
      <c r="BS66" s="1254"/>
      <c r="BT66" s="1256"/>
      <c r="BU66" s="1257"/>
      <c r="BV66" s="1254"/>
      <c r="BW66" s="1255"/>
      <c r="BX66" s="1254"/>
      <c r="BY66" s="1254"/>
      <c r="BZ66" s="1256"/>
      <c r="CA66" s="1257"/>
      <c r="CB66" s="1254"/>
      <c r="CC66" s="1255"/>
      <c r="CD66" s="1254"/>
      <c r="CE66" s="1254"/>
      <c r="CF66" s="1256"/>
      <c r="CG66" s="1257"/>
      <c r="CH66" s="1254"/>
      <c r="CI66" s="1255"/>
      <c r="CJ66" s="1254"/>
      <c r="CK66" s="1254"/>
      <c r="CL66" s="1256"/>
      <c r="CM66" s="1257"/>
      <c r="CR66" s="228"/>
      <c r="CS66" s="228"/>
      <c r="CT66" s="228"/>
      <c r="CU66" s="228"/>
      <c r="CV66" s="228"/>
      <c r="CW66" s="228"/>
      <c r="CX66" s="228"/>
      <c r="CY66" s="228"/>
      <c r="CZ66" s="228"/>
      <c r="DA66" s="228"/>
      <c r="DB66" s="228"/>
      <c r="DC66" s="228"/>
      <c r="DD66" s="228"/>
      <c r="DE66" s="228"/>
    </row>
    <row r="67" spans="1:117" s="833" customFormat="1">
      <c r="A67" s="1352" t="s">
        <v>208</v>
      </c>
      <c r="B67" s="1274"/>
      <c r="C67" s="952"/>
      <c r="D67" s="953"/>
      <c r="E67" s="953"/>
      <c r="F67" s="953"/>
      <c r="G67" s="1353"/>
      <c r="H67" s="953"/>
      <c r="I67" s="1354"/>
      <c r="J67" s="1355"/>
      <c r="K67" s="1355"/>
      <c r="L67" s="1355"/>
      <c r="M67" s="1356"/>
      <c r="N67" s="1355"/>
      <c r="O67" s="1354">
        <f>ProFormaRevBuild!I45*O15</f>
        <v>4.9164744729560717</v>
      </c>
      <c r="P67" s="1355">
        <f>ProFormaRevBuild!J45*P15</f>
        <v>-7.8478094729560439</v>
      </c>
      <c r="Q67" s="1355">
        <f>ProFormaRevBuild!K45*Q15</f>
        <v>-14.533029999999991</v>
      </c>
      <c r="R67" s="1355">
        <f>ProFormaRevBuild!L45*R15</f>
        <v>-9.4121499999999827</v>
      </c>
      <c r="S67" s="1356">
        <f>ProFormaRevBuild!M45*S15</f>
        <v>-26.876514999999934</v>
      </c>
      <c r="T67" s="1355"/>
      <c r="U67" s="1354">
        <f>ProFormaRevBuild!O45*U15</f>
        <v>5.5309345481257193</v>
      </c>
      <c r="V67" s="1355">
        <f>ProFormaRevBuild!P45*V15</f>
        <v>11.567095791104485</v>
      </c>
      <c r="W67" s="1355">
        <f>ProFormaRevBuild!Q45*W15</f>
        <v>8.2127200000000329</v>
      </c>
      <c r="X67" s="1355">
        <f>ProFormaRevBuild!R45*X15</f>
        <v>18.899339999999992</v>
      </c>
      <c r="Y67" s="1356">
        <f>ProFormaRevBuild!S45*Y15</f>
        <v>26.758898776352087</v>
      </c>
      <c r="Z67" s="1355"/>
      <c r="AA67" s="1354">
        <f>ProFormaRevBuild!U45*AA15</f>
        <v>-90.459244170557696</v>
      </c>
      <c r="AB67" s="1355">
        <f>ProFormaRevBuild!V45*AB15</f>
        <v>-103.18066102919293</v>
      </c>
      <c r="AC67" s="1355">
        <f>ProFormaRevBuild!W45*AC15</f>
        <v>-117.93533589688646</v>
      </c>
      <c r="AD67" s="1355">
        <f>ProFormaRevBuild!X45*AD15</f>
        <v>-176.08455631610917</v>
      </c>
      <c r="AE67" s="1356">
        <f>ProFormaRevBuild!Y45*AE15</f>
        <v>-456.66087538986937</v>
      </c>
      <c r="AF67" s="1355"/>
      <c r="AG67" s="1354">
        <f>ProFormaRevBuild!AA45*AG15</f>
        <v>-30.249826449045059</v>
      </c>
      <c r="AH67" s="1355">
        <f>ProFormaRevBuild!AB45*AH15</f>
        <v>-33.473144903363334</v>
      </c>
      <c r="AI67" s="1355">
        <f>ProFormaRevBuild!AC45*AI15</f>
        <v>-19.962823085145089</v>
      </c>
      <c r="AJ67" s="1355">
        <f>ProFormaRevBuild!AD45*AJ15</f>
        <v>14.910250597380287</v>
      </c>
      <c r="AK67" s="1356">
        <f>ProFormaRevBuild!AE45*AK15</f>
        <v>-77.99789026247511</v>
      </c>
      <c r="AL67" s="1355"/>
      <c r="AM67" s="1354">
        <f>ProFormaRevBuild!AG45*AM15</f>
        <v>3.3772628819657</v>
      </c>
      <c r="AN67" s="1355">
        <f>ProFormaRevBuild!AH45*AN15</f>
        <v>3.6589561023702171</v>
      </c>
      <c r="AO67" s="1355">
        <f>ProFormaRevBuild!AI45*AO15</f>
        <v>4.3846998601563483</v>
      </c>
      <c r="AP67" s="1355">
        <f>ProFormaRevBuild!AJ45*AP15</f>
        <v>10.286665843962314</v>
      </c>
      <c r="AQ67" s="1356">
        <f>ProFormaRevBuild!AK45*AQ15</f>
        <v>21.740620915346486</v>
      </c>
      <c r="AR67" s="1355"/>
      <c r="AS67" s="1354">
        <f>ProFormaRevBuild!AM45*AS15</f>
        <v>0.66037257784232239</v>
      </c>
      <c r="AT67" s="1355">
        <f>ProFormaRevBuild!AN45*AT15</f>
        <v>1.3170332782344889</v>
      </c>
      <c r="AU67" s="1355">
        <f>ProFormaRevBuild!AO45*AU15</f>
        <v>12.546869549541366</v>
      </c>
      <c r="AV67" s="1355">
        <f>ProFormaRevBuild!AP45*AV15</f>
        <v>11.132749238037203</v>
      </c>
      <c r="AW67" s="1356">
        <f>ProFormaRevBuild!AQ45*AW15</f>
        <v>25.778948972853897</v>
      </c>
      <c r="AX67" s="1355"/>
      <c r="AY67" s="1354">
        <f>ProFormaRevBuild!AS45*AY15</f>
        <v>5.4509365583822031</v>
      </c>
      <c r="AZ67" s="1355">
        <f>ProFormaRevBuild!AT45*AZ15</f>
        <v>5.8959871523473186</v>
      </c>
      <c r="BA67" s="1355">
        <f>ProFormaRevBuild!AU45*BA15</f>
        <v>-3.2767816114382544</v>
      </c>
      <c r="BB67" s="1355">
        <f>ProFormaRevBuild!AV45*BB15</f>
        <v>1.222513630801646</v>
      </c>
      <c r="BC67" s="1356">
        <f>ProFormaRevBuild!AW45*BC15</f>
        <v>9.2715103688021099</v>
      </c>
      <c r="BD67" s="1355"/>
      <c r="BE67" s="1354">
        <f>ProFormaRevBuild!AY45*BE15</f>
        <v>13.72398482105447</v>
      </c>
      <c r="BF67" s="1355">
        <f>ProFormaRevBuild!AZ45*BF15</f>
        <v>17.453261524429681</v>
      </c>
      <c r="BG67" s="1355">
        <f>ProFormaRevBuild!BA45*BG15</f>
        <v>16.141488148804434</v>
      </c>
      <c r="BH67" s="1355">
        <f>ProFormaRevBuild!BB45*BH15</f>
        <v>10.879586391468555</v>
      </c>
      <c r="BI67" s="1356">
        <f>ProFormaRevBuild!BC45*BI15</f>
        <v>58.197368910444801</v>
      </c>
      <c r="BJ67" s="1355"/>
      <c r="BK67" s="1354">
        <f>ProFormaRevBuild!BE45*BK15</f>
        <v>11.440490761595784</v>
      </c>
      <c r="BL67" s="1355">
        <f>ProFormaRevBuild!BF45*BL15</f>
        <v>5.3741937742606121</v>
      </c>
      <c r="BM67" s="1355">
        <f>ProFormaRevBuild!BG45*BM15</f>
        <v>5.5202036412315918</v>
      </c>
      <c r="BN67" s="1355">
        <f>ProFormaRevBuild!BH45*BN15</f>
        <v>9.7616794582531092</v>
      </c>
      <c r="BO67" s="1356">
        <f>ProFormaRevBuild!BI45*BO15</f>
        <v>32.096635207272833</v>
      </c>
      <c r="BP67" s="1355"/>
      <c r="BQ67" s="1354">
        <f>ProFormaRevBuild!BK45*BQ15</f>
        <v>5.0378673731809274</v>
      </c>
      <c r="BR67" s="1355">
        <f>ProFormaRevBuild!BL45*BR15</f>
        <v>13.936832591212086</v>
      </c>
      <c r="BS67" s="1355">
        <f>ProFormaRevBuild!BM45*BS15</f>
        <v>14.25441538466667</v>
      </c>
      <c r="BT67" s="1355">
        <f>ProFormaRevBuild!BN45*BT15</f>
        <v>8.3244860356985821</v>
      </c>
      <c r="BU67" s="1356">
        <f>ProFormaRevBuild!BO45*BU15</f>
        <v>41.553339189944452</v>
      </c>
      <c r="BV67" s="1355"/>
      <c r="BW67" s="1354">
        <f>ProFormaRevBuild!BQ45*BW15</f>
        <v>22.663058172281559</v>
      </c>
      <c r="BX67" s="1355">
        <f>ProFormaRevBuild!BR45*BX15</f>
        <v>30.280019643111871</v>
      </c>
      <c r="BY67" s="1355">
        <f>ProFormaRevBuild!BS45*BY15</f>
        <v>34.681291033420763</v>
      </c>
      <c r="BZ67" s="1355">
        <f>ProFormaRevBuild!BT45*BZ15</f>
        <v>39.091103543868797</v>
      </c>
      <c r="CA67" s="1356">
        <f>ProFormaRevBuild!BU45*CA15</f>
        <v>126.71547239268278</v>
      </c>
      <c r="CB67" s="1355"/>
      <c r="CC67" s="1354">
        <f>ProFormaRevBuild!BW45*CC15</f>
        <v>36.537138358808889</v>
      </c>
      <c r="CD67" s="1355">
        <f>ProFormaRevBuild!BX45*CD15</f>
        <v>42.530861465427741</v>
      </c>
      <c r="CE67" s="1355">
        <f>ProFormaRevBuild!BY45*CE15</f>
        <v>41.418437100050731</v>
      </c>
      <c r="CF67" s="1355">
        <f>ProFormaRevBuild!BZ45*CF15</f>
        <v>41.916355097590539</v>
      </c>
      <c r="CG67" s="1356">
        <f>ProFormaRevBuild!CA45*CG15</f>
        <v>162.40279202187793</v>
      </c>
      <c r="CH67" s="1355"/>
      <c r="CI67" s="1354">
        <f>ProFormaRevBuild!CC45*CI15</f>
        <v>26.541979569465123</v>
      </c>
      <c r="CJ67" s="1355">
        <f>ProFormaRevBuild!CD45*CJ15</f>
        <v>30.150446693692892</v>
      </c>
      <c r="CK67" s="1355">
        <f>ProFormaRevBuild!CE45*CK15</f>
        <v>33.752600587527901</v>
      </c>
      <c r="CL67" s="1355">
        <f>ProFormaRevBuild!CF45*CL15</f>
        <v>36.523670884329164</v>
      </c>
      <c r="CM67" s="1356">
        <f>ProFormaRevBuild!CG45*CM15</f>
        <v>126.96869773501511</v>
      </c>
      <c r="CR67" s="228"/>
      <c r="CS67" s="228"/>
      <c r="CT67" s="228"/>
      <c r="CU67" s="228"/>
      <c r="CV67" s="228"/>
      <c r="CW67" s="228"/>
      <c r="CX67" s="228"/>
      <c r="CY67" s="228"/>
      <c r="CZ67" s="228"/>
      <c r="DA67" s="228"/>
      <c r="DB67" s="228"/>
      <c r="DC67" s="228"/>
      <c r="DD67" s="228"/>
      <c r="DE67" s="228"/>
      <c r="DF67" s="226"/>
      <c r="DG67" s="226"/>
      <c r="DH67" s="226"/>
      <c r="DI67" s="226"/>
      <c r="DJ67" s="226"/>
      <c r="DK67" s="226"/>
      <c r="DL67" s="226"/>
      <c r="DM67" s="226"/>
    </row>
    <row r="68" spans="1:117">
      <c r="A68" s="900" t="s">
        <v>209</v>
      </c>
      <c r="B68" s="228"/>
      <c r="C68" s="418"/>
      <c r="D68" s="353"/>
      <c r="E68" s="353"/>
      <c r="F68" s="353"/>
      <c r="G68" s="865"/>
      <c r="H68" s="353"/>
      <c r="I68" s="1358"/>
      <c r="J68" s="911"/>
      <c r="K68" s="911"/>
      <c r="L68" s="911"/>
      <c r="M68" s="1359"/>
      <c r="N68" s="911"/>
      <c r="O68" s="1358"/>
      <c r="P68" s="911"/>
      <c r="Q68" s="911"/>
      <c r="R68" s="911"/>
      <c r="S68" s="1359"/>
      <c r="T68" s="911"/>
      <c r="U68" s="1358"/>
      <c r="V68" s="911"/>
      <c r="W68" s="911"/>
      <c r="X68" s="911"/>
      <c r="Y68" s="1359"/>
      <c r="Z68" s="911"/>
      <c r="AA68" s="1358"/>
      <c r="AB68" s="911"/>
      <c r="AC68" s="911"/>
      <c r="AD68" s="911"/>
      <c r="AE68" s="1359"/>
      <c r="AF68" s="911"/>
      <c r="AG68" s="1358">
        <f>ProFormaRevBuild!AA31*OrgRev!AG8</f>
        <v>10.399943924000073</v>
      </c>
      <c r="AH68" s="911">
        <f>ProFormaRevBuild!AB31*OrgRev!AH8</f>
        <v>6.5880986955999177</v>
      </c>
      <c r="AI68" s="911">
        <f>ProFormaRevBuild!AC31*OrgRev!AI8</f>
        <v>9.38546164229599</v>
      </c>
      <c r="AJ68" s="911">
        <f>ProFormaRevBuild!AD31*OrgRev!AJ8</f>
        <v>1.1677957050000649</v>
      </c>
      <c r="AK68" s="1359">
        <f>ProFormaRevBuild!AE31*OrgRev!AK8</f>
        <v>28.035220948175994</v>
      </c>
      <c r="AL68" s="911"/>
      <c r="AM68" s="1358">
        <f>ProFormaRevBuild!AG31*OrgRev!AM8</f>
        <v>3.8764255000000034</v>
      </c>
      <c r="AN68" s="911">
        <f>ProFormaRevBuild!AH31*OrgRev!AN8</f>
        <v>1.6864195277999987</v>
      </c>
      <c r="AO68" s="911">
        <f>ProFormaRevBuild!AI31*OrgRev!AO8</f>
        <v>1.9189676694624009</v>
      </c>
      <c r="AP68" s="911">
        <f>ProFormaRevBuild!AJ31*OrgRev!AP8</f>
        <v>5.6997961999999998</v>
      </c>
      <c r="AQ68" s="1359">
        <f>ProFormaRevBuild!AK31*OrgRev!AQ8</f>
        <v>13.164607740752039</v>
      </c>
      <c r="AR68" s="911"/>
      <c r="AS68" s="1358">
        <f>ProFormaRevBuild!AM31*OrgRev!AS8</f>
        <v>0.48377790240000046</v>
      </c>
      <c r="AT68" s="911">
        <f>ProFormaRevBuild!AN31*OrgRev!AT8</f>
        <v>0.48233204608915964</v>
      </c>
      <c r="AU68" s="911">
        <f>ProFormaRevBuild!AO31*OrgRev!AU8</f>
        <v>12.478087270679262</v>
      </c>
      <c r="AV68" s="911">
        <f>ProFormaRevBuild!AP31*OrgRev!AV8</f>
        <v>10.977807481200001</v>
      </c>
      <c r="AW68" s="1359">
        <f>ProFormaRevBuild!AQ31*OrgRev!AW8</f>
        <v>24.4968599263808</v>
      </c>
      <c r="AX68" s="911"/>
      <c r="AY68" s="1358">
        <f>ProFormaRevBuild!AS31*OrgRev!AY8</f>
        <v>7.2190951189136072</v>
      </c>
      <c r="AZ68" s="911">
        <f>ProFormaRevBuild!AT31*OrgRev!AZ8</f>
        <v>5.4549301876856395</v>
      </c>
      <c r="BA68" s="911">
        <f>ProFormaRevBuild!AU31*OrgRev!BA8</f>
        <v>0.93871100970926957</v>
      </c>
      <c r="BB68" s="911">
        <f>ProFormaRevBuild!AV31*OrgRev!BB8</f>
        <v>6.9331708490239619</v>
      </c>
      <c r="BC68" s="1359">
        <f>ProFormaRevBuild!AW31*OrgRev!BC8</f>
        <v>20.976179861216245</v>
      </c>
      <c r="BD68" s="911"/>
      <c r="BE68" s="1358">
        <f>ProFormaRevBuild!AY31*OrgRev!BE8</f>
        <v>14.14553904109561</v>
      </c>
      <c r="BF68" s="911">
        <f>ProFormaRevBuild!AZ31*OrgRev!BF8</f>
        <v>16.708329292755344</v>
      </c>
      <c r="BG68" s="911">
        <f>ProFormaRevBuild!BA31*OrgRev!BG8</f>
        <v>15.40188679534613</v>
      </c>
      <c r="BH68" s="911">
        <f>ProFormaRevBuild!BB31*OrgRev!BH8</f>
        <v>15.223748828948379</v>
      </c>
      <c r="BI68" s="1359">
        <f>ProFormaRevBuild!BC31*OrgRev!BI8</f>
        <v>61.808060161401187</v>
      </c>
      <c r="BJ68" s="911"/>
      <c r="BK68" s="1358">
        <f>ProFormaRevBuild!BE31*OrgRev!BK8</f>
        <v>9.9882038290593513</v>
      </c>
      <c r="BL68" s="911">
        <f>ProFormaRevBuild!BF31*OrgRev!BL8</f>
        <v>1.5645841384717349</v>
      </c>
      <c r="BM68" s="911">
        <f>ProFormaRevBuild!BG31*OrgRev!BM8</f>
        <v>0.54262559992187931</v>
      </c>
      <c r="BN68" s="911">
        <f>ProFormaRevBuild!BH31*OrgRev!BN8</f>
        <v>3.2740191512472054</v>
      </c>
      <c r="BO68" s="1359">
        <f>ProFormaRevBuild!BI31*OrgRev!BO8</f>
        <v>15.940533570317456</v>
      </c>
      <c r="BP68" s="911"/>
      <c r="BQ68" s="1358">
        <f>ProFormaRevBuild!BK31*OrgRev!BQ8</f>
        <v>2.4651730862482313</v>
      </c>
      <c r="BR68" s="911">
        <f>ProFormaRevBuild!BL31*OrgRev!BR8</f>
        <v>10.131592895153439</v>
      </c>
      <c r="BS68" s="911">
        <f>ProFormaRevBuild!BM31*OrgRev!BS8</f>
        <v>9.8552400092522614</v>
      </c>
      <c r="BT68" s="911">
        <f>ProFormaRevBuild!BN31*OrgRev!BT8</f>
        <v>16.942585013542597</v>
      </c>
      <c r="BU68" s="1359">
        <f>ProFormaRevBuild!BO31*OrgRev!BU8</f>
        <v>38.250070392523</v>
      </c>
      <c r="BV68" s="911"/>
      <c r="BW68" s="1358">
        <f>ProFormaRevBuild!BQ31*OrgRev!BW8</f>
        <v>7.5889232614995814</v>
      </c>
      <c r="BX68" s="911">
        <f>ProFormaRevBuild!BR31*OrgRev!BX8</f>
        <v>7.9775053267990854</v>
      </c>
      <c r="BY68" s="911">
        <f>ProFormaRevBuild!BS31*OrgRev!BY8</f>
        <v>8.5790031464640766</v>
      </c>
      <c r="BZ68" s="911">
        <f>ProFormaRevBuild!BT31*OrgRev!BZ8</f>
        <v>9.7826179762945831</v>
      </c>
      <c r="CA68" s="1359">
        <f>ProFormaRevBuild!BU31*OrgRev!CA8</f>
        <v>33.928049711057355</v>
      </c>
      <c r="CB68" s="911"/>
      <c r="CC68" s="1358">
        <f>ProFormaRevBuild!BW31*OrgRev!CC8</f>
        <v>8.1201478898045529</v>
      </c>
      <c r="CD68" s="911">
        <f>ProFormaRevBuild!BX31*OrgRev!CD8</f>
        <v>8.5359306996750224</v>
      </c>
      <c r="CE68" s="911">
        <f>ProFormaRevBuild!BY31*OrgRev!CE8</f>
        <v>9.1795333667165604</v>
      </c>
      <c r="CF68" s="911">
        <f>ProFormaRevBuild!BZ31*OrgRev!CF8</f>
        <v>10.467401234635206</v>
      </c>
      <c r="CG68" s="1359">
        <f>ProFormaRevBuild!CA31*OrgRev!CG8</f>
        <v>36.303013190831258</v>
      </c>
      <c r="CH68" s="911"/>
      <c r="CI68" s="1358">
        <f>ProFormaRevBuild!CC31*OrgRev!CI8</f>
        <v>8.6885582420908722</v>
      </c>
      <c r="CJ68" s="911">
        <f>ProFormaRevBuild!CD31*OrgRev!CJ8</f>
        <v>9.1334458486522738</v>
      </c>
      <c r="CK68" s="911">
        <f>ProFormaRevBuild!CE31*OrgRev!CK8</f>
        <v>9.8221007023867202</v>
      </c>
      <c r="CL68" s="911">
        <f>ProFormaRevBuild!CF31*OrgRev!CL8</f>
        <v>11.200119321059672</v>
      </c>
      <c r="CM68" s="1359">
        <f>ProFormaRevBuild!CG31*OrgRev!CM8</f>
        <v>38.844224114189565</v>
      </c>
      <c r="CR68" s="228"/>
      <c r="CS68" s="228"/>
      <c r="CT68" s="228"/>
      <c r="CU68" s="228"/>
      <c r="CV68" s="228"/>
      <c r="CW68" s="228"/>
      <c r="CX68" s="228"/>
      <c r="CY68" s="228"/>
      <c r="CZ68" s="228"/>
      <c r="DA68" s="228"/>
      <c r="DB68" s="228"/>
      <c r="DC68" s="228"/>
      <c r="DD68" s="228"/>
      <c r="DE68" s="228"/>
      <c r="DF68" s="833"/>
      <c r="DG68" s="833"/>
      <c r="DH68" s="833"/>
      <c r="DI68" s="833"/>
      <c r="DJ68" s="833"/>
      <c r="DK68" s="833"/>
      <c r="DL68" s="833"/>
      <c r="DM68" s="833"/>
    </row>
    <row r="69" spans="1:117">
      <c r="A69" s="1803" t="s">
        <v>211</v>
      </c>
      <c r="B69" s="228"/>
      <c r="C69" s="418"/>
      <c r="D69" s="353"/>
      <c r="E69" s="353"/>
      <c r="F69" s="353"/>
      <c r="G69" s="865"/>
      <c r="H69" s="353"/>
      <c r="I69" s="1358"/>
      <c r="J69" s="911"/>
      <c r="K69" s="911"/>
      <c r="L69" s="911"/>
      <c r="M69" s="1359"/>
      <c r="N69" s="911"/>
      <c r="O69" s="1358"/>
      <c r="P69" s="911"/>
      <c r="Q69" s="911"/>
      <c r="R69" s="911"/>
      <c r="S69" s="1359"/>
      <c r="T69" s="911"/>
      <c r="U69" s="1358"/>
      <c r="V69" s="911"/>
      <c r="W69" s="911"/>
      <c r="X69" s="911"/>
      <c r="Y69" s="1359"/>
      <c r="Z69" s="911"/>
      <c r="AA69" s="1358"/>
      <c r="AB69" s="911"/>
      <c r="AC69" s="911"/>
      <c r="AD69" s="911"/>
      <c r="AE69" s="1359"/>
      <c r="AF69" s="911"/>
      <c r="AG69" s="1358">
        <f>ProFormaRevBuild!AA33*OrgRev!AG9</f>
        <v>1.08</v>
      </c>
      <c r="AH69" s="911">
        <f>ProFormaRevBuild!AB33*OrgRev!AH9</f>
        <v>1.0710000000000002</v>
      </c>
      <c r="AI69" s="911">
        <f>ProFormaRevBuild!AC33*OrgRev!AI9</f>
        <v>0.66300000000000003</v>
      </c>
      <c r="AJ69" s="911">
        <f>ProFormaRevBuild!AD33*OrgRev!AJ9</f>
        <v>0.13499999999999998</v>
      </c>
      <c r="AK69" s="1359">
        <f>ProFormaRevBuild!AE33*OrgRev!AK9</f>
        <v>2.9839999999999951</v>
      </c>
      <c r="AL69" s="911"/>
      <c r="AM69" s="1358">
        <f>ProFormaRevBuild!AG33*OrgRev!AM9</f>
        <v>-0.26460000000000006</v>
      </c>
      <c r="AN69" s="911">
        <f>ProFormaRevBuild!AH33*OrgRev!AN9</f>
        <v>0.23330999999999999</v>
      </c>
      <c r="AO69" s="911">
        <f>ProFormaRevBuild!AI33*OrgRev!AO9</f>
        <v>0.24038000000000004</v>
      </c>
      <c r="AP69" s="911">
        <f>ProFormaRevBuild!AJ33*OrgRev!AP9</f>
        <v>-0.61499999999999999</v>
      </c>
      <c r="AQ69" s="1359">
        <f>ProFormaRevBuild!AK33*OrgRev!AQ9</f>
        <v>-0.42855339110211921</v>
      </c>
      <c r="AR69" s="911"/>
      <c r="AS69" s="1358">
        <f>ProFormaRevBuild!AM33*OrgRev!AS9</f>
        <v>-0.71940959999999998</v>
      </c>
      <c r="AT69" s="911">
        <f>ProFormaRevBuild!AN33*OrgRev!AT9</f>
        <v>1.2592631519999999</v>
      </c>
      <c r="AU69" s="911">
        <f>ProFormaRevBuild!AO33*OrgRev!AU9</f>
        <v>0.22544210000000003</v>
      </c>
      <c r="AV69" s="911">
        <f>ProFormaRevBuild!AP33*OrgRev!AV9</f>
        <v>2.0139</v>
      </c>
      <c r="AW69" s="1359">
        <f>ProFormaRevBuild!AQ33*OrgRev!AW9</f>
        <v>2.9482338550441072</v>
      </c>
      <c r="AX69" s="911"/>
      <c r="AY69" s="1358">
        <f>ProFormaRevBuild!AS33*OrgRev!AY9</f>
        <v>-0.17117424436009143</v>
      </c>
      <c r="AZ69" s="911">
        <f>ProFormaRevBuild!AT33*OrgRev!AZ9</f>
        <v>1.0184077391436348</v>
      </c>
      <c r="BA69" s="911">
        <f>ProFormaRevBuild!AU33*OrgRev!BA9</f>
        <v>-2.6080607971137253</v>
      </c>
      <c r="BB69" s="911">
        <f>ProFormaRevBuild!AV33*OrgRev!BB9</f>
        <v>-1.2894040675204619</v>
      </c>
      <c r="BC69" s="1359">
        <f>ProFormaRevBuild!AW33*OrgRev!BC9</f>
        <v>-3.5950939874190722</v>
      </c>
      <c r="BD69" s="911"/>
      <c r="BE69" s="1358">
        <f>ProFormaRevBuild!AY33*OrgRev!BE9</f>
        <v>0.44732767490403302</v>
      </c>
      <c r="BF69" s="911">
        <f>ProFormaRevBuild!AZ33*OrgRev!BF9</f>
        <v>-6.8527587641380144E-2</v>
      </c>
      <c r="BG69" s="911">
        <f>ProFormaRevBuild!BA33*OrgRev!BG9</f>
        <v>0.85092151835960717</v>
      </c>
      <c r="BH69" s="911">
        <f>ProFormaRevBuild!BB33*OrgRev!BH9</f>
        <v>0.50644334328241958</v>
      </c>
      <c r="BI69" s="1359">
        <f>ProFormaRevBuild!BC33*OrgRev!BI9</f>
        <v>1.9993579298674571</v>
      </c>
      <c r="BJ69" s="911"/>
      <c r="BK69" s="1358">
        <f>ProFormaRevBuild!BE33*OrgRev!BK9</f>
        <v>0.13316236123835992</v>
      </c>
      <c r="BL69" s="911">
        <f>ProFormaRevBuild!BF33*OrgRev!BL9</f>
        <v>0.55678731767844492</v>
      </c>
      <c r="BM69" s="911">
        <f>ProFormaRevBuild!BG33*OrgRev!BM9</f>
        <v>-0.28088508076032292</v>
      </c>
      <c r="BN69" s="911">
        <f>ProFormaRevBuild!BH33*OrgRev!BN9</f>
        <v>-0.25411010441408866</v>
      </c>
      <c r="BO69" s="1359">
        <f>ProFormaRevBuild!BI33*OrgRev!BO9</f>
        <v>-6.2359294238280571E-2</v>
      </c>
      <c r="BP69" s="911"/>
      <c r="BQ69" s="1358">
        <f>ProFormaRevBuild!BK33*OrgRev!BQ9</f>
        <v>-0.83589995462022904</v>
      </c>
      <c r="BR69" s="911">
        <f>ProFormaRevBuild!BL33*OrgRev!BR9</f>
        <v>-0.8914175179569277</v>
      </c>
      <c r="BS69" s="911">
        <f>ProFormaRevBuild!BM33*OrgRev!BS9</f>
        <v>-0.62606912343906906</v>
      </c>
      <c r="BT69" s="911">
        <f>ProFormaRevBuild!BN33*OrgRev!BT9</f>
        <v>-0.31074497591460287</v>
      </c>
      <c r="BU69" s="1359">
        <f>ProFormaRevBuild!BO33*OrgRev!BU9</f>
        <v>-2.5270716679253646</v>
      </c>
      <c r="BV69" s="911"/>
      <c r="BW69" s="1358">
        <f>ProFormaRevBuild!BQ33*OrgRev!BW9</f>
        <v>-0.48628160568456835</v>
      </c>
      <c r="BX69" s="911">
        <f>ProFormaRevBuild!BR33*OrgRev!BX9</f>
        <v>-0.64821679603377313</v>
      </c>
      <c r="BY69" s="911">
        <f>ProFormaRevBuild!BS33*OrgRev!BY9</f>
        <v>-0.42576264873143677</v>
      </c>
      <c r="BZ69" s="911">
        <f>ProFormaRevBuild!BT33*OrgRev!BZ9</f>
        <v>-0.41919696891510827</v>
      </c>
      <c r="CA69" s="1359">
        <f>ProFormaRevBuild!BU33*OrgRev!CA9</f>
        <v>-1.9794580193648807</v>
      </c>
      <c r="CB69" s="911"/>
      <c r="CC69" s="1358">
        <f>ProFormaRevBuild!BW33*OrgRev!CC9</f>
        <v>0.31446210500935418</v>
      </c>
      <c r="CD69" s="911">
        <f>ProFormaRevBuild!BX33*OrgRev!CD9</f>
        <v>0.4191801947685066</v>
      </c>
      <c r="CE69" s="911">
        <f>ProFormaRevBuild!BY33*OrgRev!CE9</f>
        <v>0.27532651284632914</v>
      </c>
      <c r="CF69" s="911">
        <f>ProFormaRevBuild!BZ33*OrgRev!CF9</f>
        <v>0.2710807065651033</v>
      </c>
      <c r="CG69" s="1359">
        <f>ProFormaRevBuild!CA33*OrgRev!CG9</f>
        <v>1.2800495191892944</v>
      </c>
      <c r="CH69" s="911"/>
      <c r="CI69" s="1358">
        <f>ProFormaRevBuild!CC33*OrgRev!CI9</f>
        <v>0.32075134710954123</v>
      </c>
      <c r="CJ69" s="911">
        <f>ProFormaRevBuild!CD33*OrgRev!CJ9</f>
        <v>0.42756379866387678</v>
      </c>
      <c r="CK69" s="911">
        <f>ProFormaRevBuild!CE33*OrgRev!CK9</f>
        <v>0.28083304310325569</v>
      </c>
      <c r="CL69" s="911">
        <f>ProFormaRevBuild!CF33*OrgRev!CL9</f>
        <v>0.2765023206964054</v>
      </c>
      <c r="CM69" s="1359">
        <f>ProFormaRevBuild!CG33*OrgRev!CM9</f>
        <v>1.3056505095730802</v>
      </c>
      <c r="CR69" s="228"/>
      <c r="CS69" s="228"/>
      <c r="CT69" s="228"/>
      <c r="CU69" s="228"/>
      <c r="CV69" s="228"/>
      <c r="CW69" s="228"/>
      <c r="CX69" s="228"/>
      <c r="CY69" s="228"/>
      <c r="CZ69" s="228"/>
      <c r="DA69" s="228"/>
      <c r="DB69" s="228"/>
      <c r="DC69" s="228"/>
      <c r="DD69" s="228"/>
      <c r="DE69" s="228"/>
    </row>
    <row r="70" spans="1:117">
      <c r="A70" s="1803" t="s">
        <v>212</v>
      </c>
      <c r="B70" s="228"/>
      <c r="C70" s="418"/>
      <c r="D70" s="353"/>
      <c r="E70" s="353"/>
      <c r="F70" s="353"/>
      <c r="G70" s="865"/>
      <c r="H70" s="353"/>
      <c r="I70" s="1358"/>
      <c r="J70" s="911"/>
      <c r="K70" s="911"/>
      <c r="L70" s="911"/>
      <c r="M70" s="1359"/>
      <c r="N70" s="911"/>
      <c r="O70" s="1358"/>
      <c r="P70" s="911"/>
      <c r="Q70" s="911"/>
      <c r="R70" s="911"/>
      <c r="S70" s="1359"/>
      <c r="T70" s="911"/>
      <c r="U70" s="1358"/>
      <c r="V70" s="911"/>
      <c r="W70" s="911"/>
      <c r="X70" s="911"/>
      <c r="Y70" s="1359"/>
      <c r="Z70" s="911"/>
      <c r="AA70" s="1358"/>
      <c r="AB70" s="911"/>
      <c r="AC70" s="911"/>
      <c r="AD70" s="911"/>
      <c r="AE70" s="1359"/>
      <c r="AF70" s="911"/>
      <c r="AG70" s="1358">
        <f>ProFormaRevBuild!AA35*OrgRev!AG10</f>
        <v>6.3000000000000007</v>
      </c>
      <c r="AH70" s="911">
        <f>ProFormaRevBuild!AB35*OrgRev!AH10</f>
        <v>5.7379999999999995</v>
      </c>
      <c r="AI70" s="911">
        <f>ProFormaRevBuild!AC35*OrgRev!AI10</f>
        <v>7.3203603677039926</v>
      </c>
      <c r="AJ70" s="911">
        <f>ProFormaRevBuild!AD35*OrgRev!AJ10</f>
        <v>7.1550000000000002</v>
      </c>
      <c r="AK70" s="1359">
        <f>ProFormaRevBuild!AE35*OrgRev!AK10</f>
        <v>26.827881027823981</v>
      </c>
      <c r="AL70" s="911"/>
      <c r="AM70" s="1358">
        <f>ProFormaRevBuild!AG35*OrgRev!AM10</f>
        <v>2.4569999999999999</v>
      </c>
      <c r="AN70" s="911">
        <f>ProFormaRevBuild!AH35*OrgRev!AN10</f>
        <v>-1.9824600000000003</v>
      </c>
      <c r="AO70" s="911">
        <f>ProFormaRevBuild!AI35*OrgRev!AO10</f>
        <v>-4.860643090014336</v>
      </c>
      <c r="AP70" s="911">
        <f>ProFormaRevBuild!AJ35*OrgRev!AP10</f>
        <v>3.1049999999999995</v>
      </c>
      <c r="AQ70" s="1359">
        <f>ProFormaRevBuild!AK35*OrgRev!AQ10</f>
        <v>-1.2535967204264036</v>
      </c>
      <c r="AR70" s="911"/>
      <c r="AS70" s="1358">
        <f>ProFormaRevBuild!AM35*OrgRev!AS10</f>
        <v>-0.21498749999999997</v>
      </c>
      <c r="AT70" s="911">
        <f>ProFormaRevBuild!AN35*OrgRev!AT10</f>
        <v>3.0013179000000001</v>
      </c>
      <c r="AU70" s="911">
        <f>ProFormaRevBuild!AO35*OrgRev!AU10</f>
        <v>5.1217410589429129</v>
      </c>
      <c r="AV70" s="911">
        <f>ProFormaRevBuild!AP35*OrgRev!AV10</f>
        <v>-2.1942000000000004</v>
      </c>
      <c r="AW70" s="1359">
        <f>ProFormaRevBuild!AQ35*OrgRev!AW10</f>
        <v>5.5117325870835749</v>
      </c>
      <c r="AX70" s="911"/>
      <c r="AY70" s="1358">
        <f>ProFormaRevBuild!AS35*OrgRev!AY10</f>
        <v>2.3102556749999996</v>
      </c>
      <c r="AZ70" s="911">
        <f>ProFormaRevBuild!AT35*OrgRev!AZ10</f>
        <v>-1.0386403199999998</v>
      </c>
      <c r="BA70" s="911">
        <f>ProFormaRevBuild!AU35*OrgRev!BA10</f>
        <v>-1.4105778654137864</v>
      </c>
      <c r="BB70" s="911">
        <f>ProFormaRevBuild!AV35*OrgRev!BB10</f>
        <v>2.8367805992872417</v>
      </c>
      <c r="BC70" s="1359">
        <f>ProFormaRevBuild!AW35*OrgRev!BC10</f>
        <v>2.5592062662286721</v>
      </c>
      <c r="BD70" s="911"/>
      <c r="BE70" s="1358">
        <f>ProFormaRevBuild!AY35*OrgRev!BE10</f>
        <v>-1.6941874949999995</v>
      </c>
      <c r="BF70" s="911">
        <f>ProFormaRevBuild!AZ35*OrgRev!BF10</f>
        <v>-2.8018799997572361</v>
      </c>
      <c r="BG70" s="911">
        <f>ProFormaRevBuild!BA35*OrgRev!BG10</f>
        <v>-7.1608418943813641</v>
      </c>
      <c r="BH70" s="911">
        <f>ProFormaRevBuild!BB35*OrgRev!BH10</f>
        <v>0</v>
      </c>
      <c r="BI70" s="1359">
        <f>ProFormaRevBuild!BC35*OrgRev!BI10</f>
        <v>-16.054024694796013</v>
      </c>
      <c r="BJ70" s="911"/>
      <c r="BK70" s="1358">
        <f>ProFormaRevBuild!BE35*OrgRev!BK10</f>
        <v>0</v>
      </c>
      <c r="BL70" s="911">
        <f>ProFormaRevBuild!BF35*OrgRev!BL10</f>
        <v>0</v>
      </c>
      <c r="BM70" s="911">
        <f>ProFormaRevBuild!BG35*OrgRev!BM10</f>
        <v>0</v>
      </c>
      <c r="BN70" s="911">
        <f>ProFormaRevBuild!BH35*OrgRev!BN10</f>
        <v>0</v>
      </c>
      <c r="BO70" s="1359">
        <f>ProFormaRevBuild!BI35*OrgRev!BO10</f>
        <v>0</v>
      </c>
      <c r="BP70" s="911"/>
      <c r="BQ70" s="1358">
        <f>ProFormaRevBuild!BK35*OrgRev!BQ10</f>
        <v>0</v>
      </c>
      <c r="BR70" s="911">
        <f>ProFormaRevBuild!BL35*OrgRev!BR10</f>
        <v>0</v>
      </c>
      <c r="BS70" s="911">
        <f>ProFormaRevBuild!BM35*OrgRev!BS10</f>
        <v>0</v>
      </c>
      <c r="BT70" s="911">
        <f>ProFormaRevBuild!BN35*OrgRev!BT10</f>
        <v>0</v>
      </c>
      <c r="BU70" s="1359">
        <f>ProFormaRevBuild!BO35*OrgRev!BU10</f>
        <v>0</v>
      </c>
      <c r="BV70" s="911"/>
      <c r="BW70" s="1358">
        <f>ProFormaRevBuild!BQ35*OrgRev!BW10</f>
        <v>0</v>
      </c>
      <c r="BX70" s="911">
        <f>ProFormaRevBuild!BR35*OrgRev!BX10</f>
        <v>0</v>
      </c>
      <c r="BY70" s="911">
        <f>ProFormaRevBuild!BS35*OrgRev!BY10</f>
        <v>0</v>
      </c>
      <c r="BZ70" s="911">
        <f>ProFormaRevBuild!BT35*OrgRev!BZ10</f>
        <v>0</v>
      </c>
      <c r="CA70" s="1359">
        <f>ProFormaRevBuild!BU35*OrgRev!CA10</f>
        <v>0</v>
      </c>
      <c r="CB70" s="911"/>
      <c r="CC70" s="1358">
        <f>ProFormaRevBuild!BW35*OrgRev!CC10</f>
        <v>0</v>
      </c>
      <c r="CD70" s="911">
        <f>ProFormaRevBuild!BX35*OrgRev!CD10</f>
        <v>0</v>
      </c>
      <c r="CE70" s="911">
        <f>ProFormaRevBuild!BY35*OrgRev!CE10</f>
        <v>0</v>
      </c>
      <c r="CF70" s="911">
        <f>ProFormaRevBuild!BZ35*OrgRev!CF10</f>
        <v>0</v>
      </c>
      <c r="CG70" s="1359">
        <f>ProFormaRevBuild!CA35*OrgRev!CG10</f>
        <v>0</v>
      </c>
      <c r="CH70" s="911"/>
      <c r="CI70" s="1358">
        <f>ProFormaRevBuild!CC35*OrgRev!CI10</f>
        <v>0</v>
      </c>
      <c r="CJ70" s="911">
        <f>ProFormaRevBuild!CD35*OrgRev!CJ10</f>
        <v>0</v>
      </c>
      <c r="CK70" s="911">
        <f>ProFormaRevBuild!CE35*OrgRev!CK10</f>
        <v>0</v>
      </c>
      <c r="CL70" s="911">
        <f>ProFormaRevBuild!CF35*OrgRev!CL10</f>
        <v>0</v>
      </c>
      <c r="CM70" s="1359">
        <f>ProFormaRevBuild!CG35*OrgRev!CM10</f>
        <v>0</v>
      </c>
      <c r="CR70" s="228"/>
      <c r="CS70" s="228"/>
      <c r="CT70" s="228"/>
      <c r="CU70" s="228"/>
      <c r="CV70" s="228"/>
      <c r="CW70" s="228"/>
      <c r="CX70" s="228"/>
      <c r="CY70" s="228"/>
      <c r="CZ70" s="228"/>
      <c r="DA70" s="228"/>
      <c r="DB70" s="228"/>
      <c r="DC70" s="228"/>
      <c r="DD70" s="228"/>
      <c r="DE70" s="228"/>
    </row>
    <row r="71" spans="1:117">
      <c r="A71" s="1803" t="s">
        <v>49</v>
      </c>
      <c r="B71" s="228"/>
      <c r="C71" s="418"/>
      <c r="D71" s="353"/>
      <c r="E71" s="353"/>
      <c r="F71" s="353"/>
      <c r="G71" s="865"/>
      <c r="H71" s="353"/>
      <c r="I71" s="1358"/>
      <c r="J71" s="911"/>
      <c r="K71" s="911"/>
      <c r="L71" s="911"/>
      <c r="M71" s="1359"/>
      <c r="N71" s="911"/>
      <c r="O71" s="1358"/>
      <c r="P71" s="911"/>
      <c r="Q71" s="911"/>
      <c r="R71" s="911"/>
      <c r="S71" s="1359"/>
      <c r="T71" s="911"/>
      <c r="U71" s="1358"/>
      <c r="V71" s="911"/>
      <c r="W71" s="911"/>
      <c r="X71" s="911"/>
      <c r="Y71" s="1359"/>
      <c r="Z71" s="911"/>
      <c r="AA71" s="1358"/>
      <c r="AB71" s="911"/>
      <c r="AC71" s="911"/>
      <c r="AD71" s="911"/>
      <c r="AE71" s="1359"/>
      <c r="AF71" s="911"/>
      <c r="AG71" s="1358">
        <f>ProFormaRevBuild!AA37*OrgRev!AG11</f>
        <v>4.9382000000000019</v>
      </c>
      <c r="AH71" s="911">
        <f>ProFormaRevBuild!AB37*OrgRev!AH11</f>
        <v>3.2309809999999972</v>
      </c>
      <c r="AI71" s="911">
        <f>ProFormaRevBuild!AC37*OrgRev!AI11</f>
        <v>1.3737719999999973</v>
      </c>
      <c r="AJ71" s="911">
        <f>ProFormaRevBuild!AD37*OrgRev!AJ11</f>
        <v>10.681639999999998</v>
      </c>
      <c r="AK71" s="1359">
        <f>ProFormaRevBuild!AE37*OrgRev!AK11</f>
        <v>20.354535999999989</v>
      </c>
      <c r="AL71" s="911"/>
      <c r="AM71" s="1358">
        <f>ProFormaRevBuild!AG37*OrgRev!AM11</f>
        <v>-3.0300000000000002</v>
      </c>
      <c r="AN71" s="911">
        <f>ProFormaRevBuild!AH37*OrgRev!AN11</f>
        <v>0.32</v>
      </c>
      <c r="AO71" s="911">
        <f>ProFormaRevBuild!AI37*OrgRev!AO11</f>
        <v>0.52150392000000001</v>
      </c>
      <c r="AP71" s="911">
        <f>ProFormaRevBuild!AJ37*OrgRev!AP11</f>
        <v>2.8981848000000001</v>
      </c>
      <c r="AQ71" s="1359">
        <f>ProFormaRevBuild!AK37*OrgRev!AQ11</f>
        <v>0.69390669590072651</v>
      </c>
      <c r="AR71" s="911"/>
      <c r="AS71" s="1358">
        <f>ProFormaRevBuild!AM37*OrgRev!AS11</f>
        <v>0.40662599999999999</v>
      </c>
      <c r="AT71" s="911">
        <f>ProFormaRevBuild!AN37*OrgRev!AT11</f>
        <v>-1.7728199999999998</v>
      </c>
      <c r="AU71" s="911">
        <f>ProFormaRevBuild!AO37*OrgRev!AU11</f>
        <v>-0.26335947959999995</v>
      </c>
      <c r="AV71" s="911">
        <f>ProFormaRevBuild!AP37*OrgRev!AV11</f>
        <v>2.5694478383999999</v>
      </c>
      <c r="AW71" s="1359">
        <f>ProFormaRevBuild!AQ37*OrgRev!AW11</f>
        <v>0.91066926762566502</v>
      </c>
      <c r="AX71" s="911"/>
      <c r="AY71" s="1358">
        <f>ProFormaRevBuild!AS37*OrgRev!AY11</f>
        <v>1.270669284</v>
      </c>
      <c r="AZ71" s="911">
        <f>ProFormaRevBuild!AT37*OrgRev!AZ11</f>
        <v>2.9360471999999995</v>
      </c>
      <c r="BA71" s="911">
        <f>ProFormaRevBuild!AU37*OrgRev!BA11</f>
        <v>1.4913671101919999</v>
      </c>
      <c r="BB71" s="911">
        <f>ProFormaRevBuild!AV37*OrgRev!BB11</f>
        <v>-2.021729442289891</v>
      </c>
      <c r="BC71" s="1359">
        <f>ProFormaRevBuild!AW37*OrgRev!BC11</f>
        <v>4.1933819271306918</v>
      </c>
      <c r="BD71" s="911"/>
      <c r="BE71" s="1358">
        <f>ProFormaRevBuild!AY37*OrgRev!BE11</f>
        <v>-0.94658671599958788</v>
      </c>
      <c r="BF71" s="911">
        <f>ProFormaRevBuild!AZ37*OrgRev!BF11</f>
        <v>0.29891279999864118</v>
      </c>
      <c r="BG71" s="911">
        <f>ProFormaRevBuild!BA37*OrgRev!BG11</f>
        <v>-1.559224313705736</v>
      </c>
      <c r="BH71" s="911">
        <f>ProFormaRevBuild!BB37*OrgRev!BH11</f>
        <v>-4.3856221722307209</v>
      </c>
      <c r="BI71" s="1359">
        <f>ProFormaRevBuild!BC37*OrgRev!BI11</f>
        <v>-6.4203006516031129</v>
      </c>
      <c r="BJ71" s="911"/>
      <c r="BK71" s="1358">
        <f>ProFormaRevBuild!BE37*OrgRev!BK11</f>
        <v>1.3157914969668585</v>
      </c>
      <c r="BL71" s="911">
        <f>ProFormaRevBuild!BF37*OrgRev!BL11</f>
        <v>2.1467024689978293</v>
      </c>
      <c r="BM71" s="911">
        <f>ProFormaRevBuild!BG37*OrgRev!BM11</f>
        <v>6.2983154808384256</v>
      </c>
      <c r="BN71" s="911">
        <f>ProFormaRevBuild!BH37*OrgRev!BN11</f>
        <v>6.2038109531667471</v>
      </c>
      <c r="BO71" s="1359">
        <f>ProFormaRevBuild!BI37*OrgRev!BO11</f>
        <v>16.112609021184621</v>
      </c>
      <c r="BP71" s="911"/>
      <c r="BQ71" s="1358">
        <f>ProFormaRevBuild!BK37*OrgRev!BQ11</f>
        <v>-0.37531667215787606</v>
      </c>
      <c r="BR71" s="911">
        <f>ProFormaRevBuild!BL37*OrgRev!BR11</f>
        <v>0.38486869866872025</v>
      </c>
      <c r="BS71" s="911">
        <f>ProFormaRevBuild!BM37*OrgRev!BS11</f>
        <v>0.31946467245689247</v>
      </c>
      <c r="BT71" s="911">
        <f>ProFormaRevBuild!BN37*OrgRev!BT11</f>
        <v>-7.7640735805720396E-2</v>
      </c>
      <c r="BU71" s="1359">
        <f>ProFormaRevBuild!BO37*OrgRev!BU11</f>
        <v>0.246019959000877</v>
      </c>
      <c r="BV71" s="911"/>
      <c r="BW71" s="1358">
        <f>ProFormaRevBuild!BQ37*OrgRev!BW11</f>
        <v>0.36329571036516184</v>
      </c>
      <c r="BX71" s="911">
        <f>ProFormaRevBuild!BR37*OrgRev!BX11</f>
        <v>0.41424452639764253</v>
      </c>
      <c r="BY71" s="911">
        <f>ProFormaRevBuild!BS37*OrgRev!BY11</f>
        <v>0.42174355595448459</v>
      </c>
      <c r="BZ71" s="911">
        <f>ProFormaRevBuild!BT37*OrgRev!BZ11</f>
        <v>0.43282401998837772</v>
      </c>
      <c r="CA71" s="1359">
        <f>ProFormaRevBuild!BU37*OrgRev!CA11</f>
        <v>1.6321078127056681</v>
      </c>
      <c r="CB71" s="911"/>
      <c r="CC71" s="1358">
        <f>ProFormaRevBuild!BW37*OrgRev!CC11</f>
        <v>0.36692866746881353</v>
      </c>
      <c r="CD71" s="911">
        <f>ProFormaRevBuild!BX37*OrgRev!CD11</f>
        <v>0.41838697166161903</v>
      </c>
      <c r="CE71" s="911">
        <f>ProFormaRevBuild!BY37*OrgRev!CE11</f>
        <v>0.42596099151402944</v>
      </c>
      <c r="CF71" s="911">
        <f>ProFormaRevBuild!BZ37*OrgRev!CF11</f>
        <v>0.43715226018826153</v>
      </c>
      <c r="CG71" s="1359">
        <f>ProFormaRevBuild!CA37*OrgRev!CG11</f>
        <v>1.6484288908327613</v>
      </c>
      <c r="CH71" s="911"/>
      <c r="CI71" s="1358">
        <f>ProFormaRevBuild!CC37*OrgRev!CI11</f>
        <v>0.37059795414350161</v>
      </c>
      <c r="CJ71" s="911">
        <f>ProFormaRevBuild!CD37*OrgRev!CJ11</f>
        <v>0.4225708413782352</v>
      </c>
      <c r="CK71" s="911">
        <f>ProFormaRevBuild!CE37*OrgRev!CK11</f>
        <v>0.43022060142916979</v>
      </c>
      <c r="CL71" s="911">
        <f>ProFormaRevBuild!CF37*OrgRev!CL11</f>
        <v>0.44152378279014415</v>
      </c>
      <c r="CM71" s="1359">
        <f>ProFormaRevBuild!CG37*OrgRev!CM11</f>
        <v>1.6649131797410521</v>
      </c>
      <c r="CS71" s="228"/>
      <c r="CT71" s="228"/>
      <c r="CU71" s="228"/>
      <c r="CV71" s="228"/>
      <c r="CW71" s="228"/>
      <c r="CX71" s="228"/>
      <c r="CY71" s="228"/>
      <c r="CZ71" s="228"/>
      <c r="DA71" s="228"/>
      <c r="DB71" s="228"/>
      <c r="DC71" s="228"/>
      <c r="DD71" s="228"/>
      <c r="DE71" s="228"/>
    </row>
    <row r="72" spans="1:117">
      <c r="A72" s="1806" t="s">
        <v>530</v>
      </c>
      <c r="B72" s="1807"/>
      <c r="C72" s="1808"/>
      <c r="D72" s="1809"/>
      <c r="E72" s="1809"/>
      <c r="F72" s="1809"/>
      <c r="G72" s="1810"/>
      <c r="H72" s="1809"/>
      <c r="I72" s="1811"/>
      <c r="J72" s="1812"/>
      <c r="K72" s="1812"/>
      <c r="L72" s="1812"/>
      <c r="M72" s="1813"/>
      <c r="N72" s="1812"/>
      <c r="O72" s="1354">
        <f>ProFormaRevBuild!I69*O24</f>
        <v>-9.5534049424539962</v>
      </c>
      <c r="P72" s="1812">
        <f>ProFormaRevBuild!J69*P24</f>
        <v>-37.779812057545982</v>
      </c>
      <c r="Q72" s="1812">
        <f>ProFormaRevBuild!K69*Q24</f>
        <v>-22.361500000000014</v>
      </c>
      <c r="R72" s="1812">
        <f>ProFormaRevBuild!L69*R24</f>
        <v>-17.201349999999952</v>
      </c>
      <c r="S72" s="1813">
        <f>ProFormaRevBuild!M69*S24</f>
        <v>-86.896066999999903</v>
      </c>
      <c r="T72" s="1812"/>
      <c r="U72" s="1354">
        <f>ProFormaRevBuild!O69*U24</f>
        <v>2.7189618601522176</v>
      </c>
      <c r="V72" s="1812">
        <f>ProFormaRevBuild!P69*V24</f>
        <v>32.954152057545983</v>
      </c>
      <c r="W72" s="1812">
        <f>ProFormaRevBuild!Q69*W24</f>
        <v>28.312231999999998</v>
      </c>
      <c r="X72" s="1812">
        <f>ProFormaRevBuild!R69*X24</f>
        <v>21.089929999999995</v>
      </c>
      <c r="Y72" s="1813">
        <f>ProFormaRevBuild!S69*Y24</f>
        <v>88.91900000000004</v>
      </c>
      <c r="Z72" s="1812"/>
      <c r="AA72" s="1354">
        <f>ProFormaRevBuild!U69*AA24</f>
        <v>134.84592760000001</v>
      </c>
      <c r="AB72" s="1812">
        <f>ProFormaRevBuild!V69*AB24</f>
        <v>144.03968839999999</v>
      </c>
      <c r="AC72" s="1812">
        <f>ProFormaRevBuild!W69*AC24</f>
        <v>135.12691999999996</v>
      </c>
      <c r="AD72" s="1812">
        <f>ProFormaRevBuild!X69*AD24</f>
        <v>167.19525499999995</v>
      </c>
      <c r="AE72" s="1813">
        <f>ProFormaRevBuild!Y69*AE24</f>
        <v>581.02333350438596</v>
      </c>
      <c r="AF72" s="1812"/>
      <c r="AG72" s="1354">
        <f>ProFormaRevBuild!AA69*AG24</f>
        <v>6.4908750479999195</v>
      </c>
      <c r="AH72" s="1812">
        <f>ProFormaRevBuild!AB69*AH24</f>
        <v>13.149850536000123</v>
      </c>
      <c r="AI72" s="1812">
        <f>ProFormaRevBuild!AC69*AI24</f>
        <v>11.122942900000067</v>
      </c>
      <c r="AJ72" s="1812">
        <f>ProFormaRevBuild!AD69*AJ24</f>
        <v>5.5484450000000587</v>
      </c>
      <c r="AK72" s="1813">
        <f>ProFormaRevBuild!AE69*AK24</f>
        <v>32.800625809999914</v>
      </c>
      <c r="AL72" s="1812"/>
      <c r="AM72" s="1354">
        <f>ProFormaRevBuild!AG69*AM24</f>
        <v>-11.43761674151207</v>
      </c>
      <c r="AN72" s="1812">
        <f>ProFormaRevBuild!AH69*AN24</f>
        <v>7.2170988425999489</v>
      </c>
      <c r="AO72" s="1812">
        <f>ProFormaRevBuild!AI69*AO24</f>
        <v>8.3776712359999994</v>
      </c>
      <c r="AP72" s="1812">
        <f>ProFormaRevBuild!AJ69*AP24</f>
        <v>3.182828000000129</v>
      </c>
      <c r="AQ72" s="1813">
        <f>ProFormaRevBuild!AK69*AQ24</f>
        <v>7.3489813370881469</v>
      </c>
      <c r="AR72" s="1812"/>
      <c r="AS72" s="1354">
        <f>ProFormaRevBuild!AM69*AS24</f>
        <v>17.385624802586293</v>
      </c>
      <c r="AT72" s="1812">
        <f>ProFormaRevBuild!AN69*AT24</f>
        <v>1.3954453846506869</v>
      </c>
      <c r="AU72" s="1812">
        <f>ProFormaRevBuild!AO69*AU24</f>
        <v>14.241365833893788</v>
      </c>
      <c r="AV72" s="1812">
        <f>ProFormaRevBuild!AP69*AV24</f>
        <v>35.064552999352493</v>
      </c>
      <c r="AW72" s="1813">
        <f>ProFormaRevBuild!AQ69*AW24</f>
        <v>68.077632050517664</v>
      </c>
      <c r="AX72" s="1812"/>
      <c r="AY72" s="1354">
        <f>ProFormaRevBuild!AS69*AY24</f>
        <v>18.924206687705375</v>
      </c>
      <c r="AZ72" s="1812">
        <f>ProFormaRevBuild!AT69*AZ24</f>
        <v>24.054929166274796</v>
      </c>
      <c r="BA72" s="1812">
        <f>ProFormaRevBuild!AU69*BA24</f>
        <v>24.352130375331644</v>
      </c>
      <c r="BB72" s="1812">
        <f>ProFormaRevBuild!AV69*BB24</f>
        <v>12.665527768608523</v>
      </c>
      <c r="BC72" s="1813">
        <f>ProFormaRevBuild!AW69*BC24</f>
        <v>79.996793997920179</v>
      </c>
      <c r="BD72" s="1812"/>
      <c r="BE72" s="1354">
        <f>ProFormaRevBuild!AY69*BE24</f>
        <v>14.848570067963166</v>
      </c>
      <c r="BF72" s="1812">
        <f>ProFormaRevBuild!AZ69*BF24</f>
        <v>1.3436900000000156</v>
      </c>
      <c r="BG72" s="1812">
        <f>ProFormaRevBuild!BA69*BG24</f>
        <v>-7.1972000000018355E-2</v>
      </c>
      <c r="BH72" s="1812">
        <f>ProFormaRevBuild!BB69*BH24</f>
        <v>-5.8061799999999986</v>
      </c>
      <c r="BI72" s="1813">
        <f>ProFormaRevBuild!BC69*BI24</f>
        <v>10.313225335893987</v>
      </c>
      <c r="BJ72" s="1812"/>
      <c r="BK72" s="1354">
        <f>ProFormaRevBuild!BE69*BK24</f>
        <v>6.1826963127354917</v>
      </c>
      <c r="BL72" s="1812">
        <f>ProFormaRevBuild!BF69*BL24</f>
        <v>8.8246600748520052</v>
      </c>
      <c r="BM72" s="1812">
        <f>ProFormaRevBuild!BG69*BM24</f>
        <v>14.142110000000033</v>
      </c>
      <c r="BN72" s="1812">
        <f>ProFormaRevBuild!BH69*BN24</f>
        <v>26.766567999999975</v>
      </c>
      <c r="BO72" s="1813">
        <f>ProFormaRevBuild!BI69*BO24</f>
        <v>55.916034387587693</v>
      </c>
      <c r="BP72" s="1812"/>
      <c r="BQ72" s="1354">
        <f>ProFormaRevBuild!BK69*BQ24</f>
        <v>17.04029054782702</v>
      </c>
      <c r="BR72" s="1812">
        <f>ProFormaRevBuild!BL69*BR24</f>
        <v>20.285144708173483</v>
      </c>
      <c r="BS72" s="1812">
        <f>ProFormaRevBuild!BM69*BS24</f>
        <v>17.208615538824443</v>
      </c>
      <c r="BT72" s="1812">
        <f>ProFormaRevBuild!BN69*BT24</f>
        <v>15.586439899528663</v>
      </c>
      <c r="BU72" s="1813">
        <f>ProFormaRevBuild!BO69*BU24</f>
        <v>70.120490694353563</v>
      </c>
      <c r="BV72" s="1812"/>
      <c r="BW72" s="1354">
        <f>ProFormaRevBuild!BQ69*BW24</f>
        <v>17.074560846635368</v>
      </c>
      <c r="BX72" s="1812">
        <f>ProFormaRevBuild!BR69*BX24</f>
        <v>17.884022091207974</v>
      </c>
      <c r="BY72" s="1812">
        <f>ProFormaRevBuild!BS69*BY24</f>
        <v>17.016205623031379</v>
      </c>
      <c r="BZ72" s="1812">
        <f>ProFormaRevBuild!BT69*BZ24</f>
        <v>19.680169029687772</v>
      </c>
      <c r="CA72" s="1813">
        <f>ProFormaRevBuild!BU69*CA24</f>
        <v>71.654957590562233</v>
      </c>
      <c r="CB72" s="1812"/>
      <c r="CC72" s="1354">
        <f>ProFormaRevBuild!BW69*CC24</f>
        <v>11.292562567039129</v>
      </c>
      <c r="CD72" s="1812">
        <f>ProFormaRevBuild!BX69*CD24</f>
        <v>11.894670256349139</v>
      </c>
      <c r="CE72" s="1812">
        <f>ProFormaRevBuild!BY69*CE24</f>
        <v>11.278894346013617</v>
      </c>
      <c r="CF72" s="1812">
        <f>ProFormaRevBuild!BZ69*CF24</f>
        <v>13.061899788756607</v>
      </c>
      <c r="CG72" s="1813">
        <f>ProFormaRevBuild!CA69*CG24</f>
        <v>47.528026958158797</v>
      </c>
      <c r="CH72" s="1812"/>
      <c r="CI72" s="1354">
        <f>ProFormaRevBuild!CC69*CI24</f>
        <v>11.633326861275112</v>
      </c>
      <c r="CJ72" s="1812">
        <f>ProFormaRevBuild!CD69*CJ24</f>
        <v>12.251716819331859</v>
      </c>
      <c r="CK72" s="1812">
        <f>ProFormaRevBuild!CE69*CK24</f>
        <v>11.612828312161861</v>
      </c>
      <c r="CL72" s="1812">
        <f>ProFormaRevBuild!CF69*CL24</f>
        <v>13.453476087122889</v>
      </c>
      <c r="CM72" s="1813">
        <f>ProFormaRevBuild!CG69*CM24</f>
        <v>48.951348079891773</v>
      </c>
      <c r="CR72" s="833"/>
    </row>
    <row r="73" spans="1:117">
      <c r="A73" s="1551" t="s">
        <v>26</v>
      </c>
      <c r="B73" s="228"/>
      <c r="C73" s="418"/>
      <c r="D73" s="353"/>
      <c r="E73" s="353"/>
      <c r="F73" s="353"/>
      <c r="G73" s="865"/>
      <c r="H73" s="353"/>
      <c r="I73" s="1358"/>
      <c r="J73" s="911"/>
      <c r="K73" s="911"/>
      <c r="L73" s="911"/>
      <c r="M73" s="1359"/>
      <c r="N73" s="911"/>
      <c r="O73" s="1358"/>
      <c r="P73" s="911"/>
      <c r="Q73" s="911"/>
      <c r="R73" s="911"/>
      <c r="S73" s="1359"/>
      <c r="T73" s="911"/>
      <c r="U73" s="1358"/>
      <c r="V73" s="911"/>
      <c r="W73" s="911"/>
      <c r="X73" s="911"/>
      <c r="Y73" s="1359"/>
      <c r="Z73" s="911"/>
      <c r="AA73" s="1358"/>
      <c r="AB73" s="911"/>
      <c r="AC73" s="911"/>
      <c r="AD73" s="911"/>
      <c r="AE73" s="1359"/>
      <c r="AF73" s="911"/>
      <c r="AG73" s="1358">
        <f>ProFormaRevBuild!AA59*OrgRev!AG19</f>
        <v>3.5075844000000003</v>
      </c>
      <c r="AH73" s="911">
        <f>ProFormaRevBuild!AB59*OrgRev!AH19</f>
        <v>7.385149824</v>
      </c>
      <c r="AI73" s="911">
        <f>ProFormaRevBuild!AC59*OrgRev!AI19</f>
        <v>4.2758176599999986</v>
      </c>
      <c r="AJ73" s="911">
        <f>ProFormaRevBuild!AD59*OrgRev!AJ19</f>
        <v>9.4727183999999998</v>
      </c>
      <c r="AK73" s="1359">
        <f>ProFormaRevBuild!AE59*OrgRev!AK19</f>
        <v>24.641270284000054</v>
      </c>
      <c r="AL73" s="911"/>
      <c r="AM73" s="1358">
        <f>ProFormaRevBuild!AG59*OrgRev!AM19</f>
        <v>3.4654933872</v>
      </c>
      <c r="AN73" s="911">
        <f>ProFormaRevBuild!AH59*OrgRev!AN19</f>
        <v>8.3694577415680023</v>
      </c>
      <c r="AO73" s="911">
        <f>ProFormaRevBuild!AI59*OrgRev!AO19</f>
        <v>5.3875302515999977</v>
      </c>
      <c r="AP73" s="911">
        <f>ProFormaRevBuild!AJ59*OrgRev!AP19</f>
        <v>3.1259970719999997</v>
      </c>
      <c r="AQ73" s="1359">
        <f>ProFormaRevBuild!AK59*OrgRev!AQ19</f>
        <v>20.348478452367971</v>
      </c>
      <c r="AR73" s="911"/>
      <c r="AS73" s="1358">
        <f>ProFormaRevBuild!AM59*OrgRev!AS19</f>
        <v>11.075534471102401</v>
      </c>
      <c r="AT73" s="911">
        <f>ProFormaRevBuild!AN59*OrgRev!AT19</f>
        <v>6.8470329650652175</v>
      </c>
      <c r="AU73" s="911">
        <f>ProFormaRevBuild!AO59*OrgRev!AU19</f>
        <v>8.7565325022671967</v>
      </c>
      <c r="AV73" s="911">
        <f>ProFormaRevBuild!AP59*OrgRev!AV19</f>
        <v>12.986433836112001</v>
      </c>
      <c r="AW73" s="1359">
        <f>ProFormaRevBuild!AQ59*OrgRev!AW19</f>
        <v>39.665533774546816</v>
      </c>
      <c r="AX73" s="911"/>
      <c r="AY73" s="1358">
        <f>ProFormaRevBuild!AS59*OrgRev!AY19</f>
        <v>-0.8419814009816935</v>
      </c>
      <c r="AZ73" s="911">
        <f>ProFormaRevBuild!AT59*OrgRev!AZ19</f>
        <v>8.1271977447817054</v>
      </c>
      <c r="BA73" s="911">
        <f>ProFormaRevBuild!AU59*OrgRev!BA19</f>
        <v>8.6685651122989107</v>
      </c>
      <c r="BB73" s="911">
        <f>ProFormaRevBuild!AV59*OrgRev!BB19</f>
        <v>-13.078342074528454</v>
      </c>
      <c r="BC73" s="1359">
        <f>ProFormaRevBuild!AW59*OrgRev!BC19</f>
        <v>4.0290260407640996</v>
      </c>
      <c r="BD73" s="911"/>
      <c r="BE73" s="1358">
        <f>ProFormaRevBuild!AY59*OrgRev!BE19</f>
        <v>0.12601430426751548</v>
      </c>
      <c r="BF73" s="911">
        <f>ProFormaRevBuild!AZ59*OrgRev!BF19</f>
        <v>4.3893586196395242</v>
      </c>
      <c r="BG73" s="911">
        <f>ProFormaRevBuild!BA59*OrgRev!BG19</f>
        <v>6.5693917568854019</v>
      </c>
      <c r="BH73" s="911">
        <f>ProFormaRevBuild!BB59*OrgRev!BH19</f>
        <v>1.0485572764408186</v>
      </c>
      <c r="BI73" s="1359">
        <f>ProFormaRevBuild!BC59*OrgRev!BI19</f>
        <v>11.612263718160531</v>
      </c>
      <c r="BJ73" s="911"/>
      <c r="BK73" s="1358">
        <f>ProFormaRevBuild!BE59*OrgRev!BK19</f>
        <v>6.7007309076042594</v>
      </c>
      <c r="BL73" s="911">
        <f>ProFormaRevBuild!BF59*OrgRev!BL19</f>
        <v>8.8507828737525926</v>
      </c>
      <c r="BM73" s="911">
        <f>ProFormaRevBuild!BG59*OrgRev!BM19</f>
        <v>7.2098401556621647</v>
      </c>
      <c r="BN73" s="911">
        <f>ProFormaRevBuild!BH59*OrgRev!BN19</f>
        <v>8.6626038808019494</v>
      </c>
      <c r="BO73" s="1359">
        <f>ProFormaRevBuild!BI59*OrgRev!BO19</f>
        <v>31.482587503918584</v>
      </c>
      <c r="BP73" s="911"/>
      <c r="BQ73" s="1358">
        <f>ProFormaRevBuild!BK59*OrgRev!BQ19</f>
        <v>4.8195903078937175</v>
      </c>
      <c r="BR73" s="911">
        <f>ProFormaRevBuild!BL59*OrgRev!BR19</f>
        <v>6.5106706725314272</v>
      </c>
      <c r="BS73" s="911">
        <f>ProFormaRevBuild!BM59*OrgRev!BS19</f>
        <v>5.6910459589366091</v>
      </c>
      <c r="BT73" s="911">
        <f>ProFormaRevBuild!BN59*OrgRev!BT19</f>
        <v>4.0930803336789214</v>
      </c>
      <c r="BU73" s="1359">
        <f>ProFormaRevBuild!BO59*OrgRev!BU19</f>
        <v>21.114387273040727</v>
      </c>
      <c r="BV73" s="911"/>
      <c r="BW73" s="1358">
        <f>ProFormaRevBuild!BQ59*OrgRev!BW19</f>
        <v>4.4768638859990526</v>
      </c>
      <c r="BX73" s="911">
        <f>ProFormaRevBuild!BR59*OrgRev!BX19</f>
        <v>5.4689633649263989</v>
      </c>
      <c r="BY73" s="911">
        <f>ProFormaRevBuild!BS59*OrgRev!BY19</f>
        <v>5.2863493574122291</v>
      </c>
      <c r="BZ73" s="911">
        <f>ProFormaRevBuild!BT59*OrgRev!BZ19</f>
        <v>4.8415293089802098</v>
      </c>
      <c r="CA73" s="1359">
        <f>ProFormaRevBuild!BU59*OrgRev!CA19</f>
        <v>20.073705917317909</v>
      </c>
      <c r="CB73" s="911"/>
      <c r="CC73" s="1358">
        <f>ProFormaRevBuild!BW59*OrgRev!CC19</f>
        <v>3.4919538310792611</v>
      </c>
      <c r="CD73" s="911">
        <f>ProFormaRevBuild!BX59*OrgRev!CD19</f>
        <v>4.2657914246425905</v>
      </c>
      <c r="CE73" s="911">
        <f>ProFormaRevBuild!BY59*OrgRev!CE19</f>
        <v>4.1233524987815384</v>
      </c>
      <c r="CF73" s="911">
        <f>ProFormaRevBuild!BZ59*OrgRev!CF19</f>
        <v>3.7763928610045632</v>
      </c>
      <c r="CG73" s="1359">
        <f>ProFormaRevBuild!CA59*OrgRev!CG19</f>
        <v>15.657490615507854</v>
      </c>
      <c r="CH73" s="911"/>
      <c r="CI73" s="1358">
        <f>ProFormaRevBuild!CC59*OrgRev!CI19</f>
        <v>3.5967124460116389</v>
      </c>
      <c r="CJ73" s="911">
        <f>ProFormaRevBuild!CD59*OrgRev!CJ19</f>
        <v>4.3937651673818685</v>
      </c>
      <c r="CK73" s="911">
        <f>ProFormaRevBuild!CE59*OrgRev!CK19</f>
        <v>4.2470530737449845</v>
      </c>
      <c r="CL73" s="911">
        <f>ProFormaRevBuild!CF59*OrgRev!CL19</f>
        <v>3.8896846468347004</v>
      </c>
      <c r="CM73" s="1359">
        <f>ProFormaRevBuild!CG59*OrgRev!CM19</f>
        <v>16.127215333973087</v>
      </c>
      <c r="CS73" s="833"/>
      <c r="CT73" s="833"/>
      <c r="CU73" s="833"/>
      <c r="CV73" s="833"/>
      <c r="CW73" s="833"/>
      <c r="CX73" s="833"/>
      <c r="CY73" s="833"/>
      <c r="CZ73" s="833"/>
      <c r="DA73" s="833"/>
      <c r="DB73" s="833"/>
      <c r="DC73" s="833"/>
      <c r="DD73" s="833"/>
      <c r="DE73" s="833"/>
    </row>
    <row r="74" spans="1:117">
      <c r="A74" s="1552" t="s">
        <v>215</v>
      </c>
      <c r="B74" s="228"/>
      <c r="C74" s="418"/>
      <c r="D74" s="353"/>
      <c r="E74" s="353"/>
      <c r="F74" s="353"/>
      <c r="G74" s="865"/>
      <c r="H74" s="353"/>
      <c r="I74" s="1358"/>
      <c r="J74" s="911"/>
      <c r="K74" s="911"/>
      <c r="L74" s="911"/>
      <c r="M74" s="1359"/>
      <c r="N74" s="911"/>
      <c r="O74" s="1358"/>
      <c r="P74" s="911"/>
      <c r="Q74" s="911"/>
      <c r="R74" s="911"/>
      <c r="S74" s="1359"/>
      <c r="T74" s="911"/>
      <c r="U74" s="1358"/>
      <c r="V74" s="911"/>
      <c r="W74" s="911"/>
      <c r="X74" s="911"/>
      <c r="Y74" s="1359"/>
      <c r="Z74" s="911"/>
      <c r="AA74" s="1358"/>
      <c r="AB74" s="911"/>
      <c r="AC74" s="911"/>
      <c r="AD74" s="911"/>
      <c r="AE74" s="1359"/>
      <c r="AF74" s="911"/>
      <c r="AG74" s="1358">
        <f>ProFormaRevBuild!AA61*OrgRev!AG20</f>
        <v>3.7578996</v>
      </c>
      <c r="AH74" s="911">
        <f>ProFormaRevBuild!AB61*OrgRev!AH20</f>
        <v>1.773110808</v>
      </c>
      <c r="AI74" s="911">
        <f>ProFormaRevBuild!AC61*OrgRev!AI20</f>
        <v>0</v>
      </c>
      <c r="AJ74" s="911">
        <f>ProFormaRevBuild!AD61*OrgRev!AJ20</f>
        <v>-0.53724128999999998</v>
      </c>
      <c r="AK74" s="1359">
        <f>ProFormaRevBuild!AE61*OrgRev!AK20</f>
        <v>4.9937691180000012</v>
      </c>
      <c r="AL74" s="911"/>
      <c r="AM74" s="1358">
        <f>ProFormaRevBuild!AG61*OrgRev!AM20</f>
        <v>-3.1265724672000004</v>
      </c>
      <c r="AN74" s="911">
        <f>ProFormaRevBuild!AH61*OrgRev!AN20</f>
        <v>-1.8050268025439999</v>
      </c>
      <c r="AO74" s="911">
        <f>ProFormaRevBuild!AI61*OrgRev!AO20</f>
        <v>2.8354436040000004</v>
      </c>
      <c r="AP74" s="911">
        <f>ProFormaRevBuild!AJ61*OrgRev!AP20</f>
        <v>-3.0963171794998989</v>
      </c>
      <c r="AQ74" s="1359">
        <f>ProFormaRevBuild!AK61*OrgRev!AQ20</f>
        <v>-5.1924728452439313</v>
      </c>
      <c r="AR74" s="911"/>
      <c r="AS74" s="1358">
        <f>ProFormaRevBuild!AM61*OrgRev!AS20</f>
        <v>1.1349458055935999</v>
      </c>
      <c r="AT74" s="911">
        <f>ProFormaRevBuild!AN61*OrgRev!AT20</f>
        <v>0.196948480010912</v>
      </c>
      <c r="AU74" s="911">
        <f>ProFormaRevBuild!AO61*OrgRev!AU20</f>
        <v>3.1152073729280008</v>
      </c>
      <c r="AV74" s="911">
        <f>ProFormaRevBuild!AP61*OrgRev!AV20</f>
        <v>7.8899171643180068</v>
      </c>
      <c r="AW74" s="1359">
        <f>ProFormaRevBuild!AQ61*OrgRev!AW20</f>
        <v>12.33701882285059</v>
      </c>
      <c r="AX74" s="911"/>
      <c r="AY74" s="1358">
        <f>ProFormaRevBuild!AS61*OrgRev!AY20</f>
        <v>1.914275258767872</v>
      </c>
      <c r="AZ74" s="911">
        <f>ProFormaRevBuild!AT61*OrgRev!AZ20</f>
        <v>2.9601356545640072</v>
      </c>
      <c r="BA74" s="911">
        <f>ProFormaRevBuild!AU61*OrgRev!BA20</f>
        <v>1.0046543777692802</v>
      </c>
      <c r="BB74" s="911">
        <f>ProFormaRevBuild!AV61*OrgRev!BB20</f>
        <v>5.026707751266815</v>
      </c>
      <c r="BC74" s="1359">
        <f>ProFormaRevBuild!AW61*OrgRev!BC20</f>
        <v>10.672068904759676</v>
      </c>
      <c r="BD74" s="911"/>
      <c r="BE74" s="1358">
        <f>ProFormaRevBuild!AY61*OrgRev!BE20</f>
        <v>4.8814019098580737</v>
      </c>
      <c r="BF74" s="911">
        <f>ProFormaRevBuild!AZ61*OrgRev!BF20</f>
        <v>1.496442782860566</v>
      </c>
      <c r="BG74" s="911">
        <f>ProFormaRevBuild!BA61*OrgRev!BG20</f>
        <v>-10.294585482927726</v>
      </c>
      <c r="BH74" s="911">
        <f>ProFormaRevBuild!BB61*OrgRev!BH20</f>
        <v>-13.423132444608493</v>
      </c>
      <c r="BI74" s="1359">
        <f>ProFormaRevBuild!BC61*OrgRev!BI20</f>
        <v>-15.579660992652006</v>
      </c>
      <c r="BJ74" s="911"/>
      <c r="BK74" s="1358">
        <f>ProFormaRevBuild!BE61*OrgRev!BK20</f>
        <v>1.4853209636386651</v>
      </c>
      <c r="BL74" s="911">
        <f>ProFormaRevBuild!BF61*OrgRev!BL20</f>
        <v>0.56255533845783023</v>
      </c>
      <c r="BM74" s="911">
        <f>ProFormaRevBuild!BG61*OrgRev!BM20</f>
        <v>3.3228943544718939</v>
      </c>
      <c r="BN74" s="911">
        <f>ProFormaRevBuild!BH61*OrgRev!BN20</f>
        <v>15.758728800221466</v>
      </c>
      <c r="BO74" s="1359">
        <f>ProFormaRevBuild!BI61*OrgRev!BO20</f>
        <v>20.748810206815129</v>
      </c>
      <c r="BP74" s="911"/>
      <c r="BQ74" s="1358">
        <f>ProFormaRevBuild!BK61*OrgRev!BQ20</f>
        <v>9.5948835940170305</v>
      </c>
      <c r="BR74" s="911">
        <f>ProFormaRevBuild!BL61*OrgRev!BR20</f>
        <v>9.327906518175535</v>
      </c>
      <c r="BS74" s="911">
        <f>ProFormaRevBuild!BM61*OrgRev!BS20</f>
        <v>5.7873743340385486</v>
      </c>
      <c r="BT74" s="911">
        <f>ProFormaRevBuild!BN61*OrgRev!BT20</f>
        <v>4.8326768320679161</v>
      </c>
      <c r="BU74" s="1359">
        <f>ProFormaRevBuild!BO61*OrgRev!BU20</f>
        <v>29.542841278299068</v>
      </c>
      <c r="BV74" s="911"/>
      <c r="BW74" s="1358">
        <f>ProFormaRevBuild!BQ61*OrgRev!BW20</f>
        <v>6.9722820783190418</v>
      </c>
      <c r="BX74" s="911">
        <f>ProFormaRevBuild!BR61*OrgRev!BX20</f>
        <v>6.778278736540889</v>
      </c>
      <c r="BY74" s="911">
        <f>ProFormaRevBuild!BS61*OrgRev!BY20</f>
        <v>6.1346167940808618</v>
      </c>
      <c r="BZ74" s="911">
        <f>ProFormaRevBuild!BT61*OrgRev!BZ20</f>
        <v>7.5389758580259487</v>
      </c>
      <c r="CA74" s="1359">
        <f>ProFormaRevBuild!BU61*OrgRev!CA20</f>
        <v>27.424153466966768</v>
      </c>
      <c r="CB74" s="911"/>
      <c r="CC74" s="1358">
        <f>ProFormaRevBuild!BW61*OrgRev!CC20</f>
        <v>3.6953095015090924</v>
      </c>
      <c r="CD74" s="911">
        <f>ProFormaRevBuild!BX61*OrgRev!CD20</f>
        <v>3.5924877303666714</v>
      </c>
      <c r="CE74" s="911">
        <f>ProFormaRevBuild!BY61*OrgRev!CE20</f>
        <v>3.251346900862857</v>
      </c>
      <c r="CF74" s="911">
        <f>ProFormaRevBuild!BZ61*OrgRev!CF20</f>
        <v>3.9956572047537531</v>
      </c>
      <c r="CG74" s="1359">
        <f>ProFormaRevBuild!CA61*OrgRev!CG20</f>
        <v>14.534801337492388</v>
      </c>
      <c r="CH74" s="911"/>
      <c r="CI74" s="1358">
        <f>ProFormaRevBuild!CC61*OrgRev!CI20</f>
        <v>3.8061687865543656</v>
      </c>
      <c r="CJ74" s="911">
        <f>ProFormaRevBuild!CD61*OrgRev!CJ20</f>
        <v>3.7002623622776714</v>
      </c>
      <c r="CK74" s="911">
        <f>ProFormaRevBuild!CE61*OrgRev!CK20</f>
        <v>3.3488873078887429</v>
      </c>
      <c r="CL74" s="911">
        <f>ProFormaRevBuild!CF61*OrgRev!CL20</f>
        <v>4.1155269208963663</v>
      </c>
      <c r="CM74" s="1359">
        <f>ProFormaRevBuild!CG61*OrgRev!CM20</f>
        <v>14.970845377617161</v>
      </c>
    </row>
    <row r="75" spans="1:117" s="1804" customFormat="1">
      <c r="A75" s="1552" t="s">
        <v>216</v>
      </c>
      <c r="B75" s="353"/>
      <c r="C75" s="418"/>
      <c r="D75" s="353"/>
      <c r="E75" s="353"/>
      <c r="F75" s="353"/>
      <c r="G75" s="865"/>
      <c r="H75" s="353"/>
      <c r="I75" s="1358"/>
      <c r="J75" s="911"/>
      <c r="K75" s="911"/>
      <c r="L75" s="911"/>
      <c r="M75" s="1359"/>
      <c r="N75" s="911"/>
      <c r="O75" s="1358"/>
      <c r="P75" s="911"/>
      <c r="Q75" s="911"/>
      <c r="R75" s="911"/>
      <c r="S75" s="1359"/>
      <c r="T75" s="911"/>
      <c r="U75" s="1358"/>
      <c r="V75" s="911"/>
      <c r="W75" s="911"/>
      <c r="X75" s="911"/>
      <c r="Y75" s="1359"/>
      <c r="Z75" s="911"/>
      <c r="AA75" s="1358"/>
      <c r="AB75" s="911"/>
      <c r="AC75" s="911"/>
      <c r="AD75" s="911"/>
      <c r="AE75" s="1359"/>
      <c r="AF75" s="911"/>
      <c r="AG75" s="1358">
        <f>ProFormaRevBuild!AA63*OrgRev!AG21</f>
        <v>1.7894760000000003</v>
      </c>
      <c r="AH75" s="911">
        <f>ProFormaRevBuild!AB63*OrgRev!AH21</f>
        <v>-0.94769715600000004</v>
      </c>
      <c r="AI75" s="911">
        <f>ProFormaRevBuild!AC63*OrgRev!AI21</f>
        <v>-3.5408331000000004</v>
      </c>
      <c r="AJ75" s="911">
        <f>ProFormaRevBuild!AD63*OrgRev!AJ21</f>
        <v>-5.7268813799999991</v>
      </c>
      <c r="AK75" s="1359">
        <f>ProFormaRevBuild!AE63*OrgRev!AK21</f>
        <v>-8.4259356360000108</v>
      </c>
      <c r="AL75" s="911"/>
      <c r="AM75" s="1358">
        <f>ProFormaRevBuild!AG63*OrgRev!AM21</f>
        <v>-7.675050761511927</v>
      </c>
      <c r="AN75" s="911">
        <f>ProFormaRevBuild!AH63*OrgRev!AN21</f>
        <v>2.2973984198879998</v>
      </c>
      <c r="AO75" s="911">
        <f>ProFormaRevBuild!AI63*OrgRev!AO21</f>
        <v>1.143480807</v>
      </c>
      <c r="AP75" s="911">
        <f>ProFormaRevBuild!AJ63*OrgRev!AP21</f>
        <v>1.8534270647999997</v>
      </c>
      <c r="AQ75" s="1359">
        <f>ProFormaRevBuild!AK63*OrgRev!AQ21</f>
        <v>-2.3807444698238887</v>
      </c>
      <c r="AR75" s="911"/>
      <c r="AS75" s="1358">
        <f>ProFormaRevBuild!AM63*OrgRev!AS21</f>
        <v>0.46621590286185699</v>
      </c>
      <c r="AT75" s="911">
        <f>ProFormaRevBuild!AN63*OrgRev!AT21</f>
        <v>9.2956274527776009E-2</v>
      </c>
      <c r="AU75" s="911">
        <f>ProFormaRevBuild!AO63*OrgRev!AU21</f>
        <v>1.2563042466240002</v>
      </c>
      <c r="AV75" s="911">
        <f>ProFormaRevBuild!AP63*OrgRev!AV21</f>
        <v>1.4938622142287998</v>
      </c>
      <c r="AW75" s="1359">
        <f>ProFormaRevBuild!AQ63*OrgRev!AW21</f>
        <v>3.3093386382424215</v>
      </c>
      <c r="AX75" s="911"/>
      <c r="AY75" s="1358">
        <f>ProFormaRevBuild!AS63*OrgRev!AY21</f>
        <v>3.145403291307995</v>
      </c>
      <c r="AZ75" s="911">
        <f>ProFormaRevBuild!AT63*OrgRev!AZ21</f>
        <v>2.3285546769207892</v>
      </c>
      <c r="BA75" s="911">
        <f>ProFormaRevBuild!AU63*OrgRev!BA21</f>
        <v>0.40515811953624009</v>
      </c>
      <c r="BB75" s="911">
        <f>ProFormaRevBuild!AV63*OrgRev!BB21</f>
        <v>1.9873186359611519</v>
      </c>
      <c r="BC75" s="1359">
        <f>ProFormaRevBuild!AW63*OrgRev!BC21</f>
        <v>7.9239335639588342</v>
      </c>
      <c r="BD75" s="911"/>
      <c r="BE75" s="1358">
        <f>ProFormaRevBuild!AY63*OrgRev!BE21</f>
        <v>-1.2738883329797379</v>
      </c>
      <c r="BF75" s="911">
        <f>ProFormaRevBuild!AZ63*OrgRev!BF21</f>
        <v>-4.5232174599186328</v>
      </c>
      <c r="BG75" s="911">
        <f>ProFormaRevBuild!BA63*OrgRev!BG21</f>
        <v>2.0845385250139552</v>
      </c>
      <c r="BH75" s="911">
        <f>ProFormaRevBuild!BB63*OrgRev!BH21</f>
        <v>-3.1002170720993965</v>
      </c>
      <c r="BI75" s="1359">
        <f>ProFormaRevBuild!BC63*OrgRev!BI21</f>
        <v>-6.1935482611319168</v>
      </c>
      <c r="BJ75" s="911"/>
      <c r="BK75" s="1358">
        <f>ProFormaRevBuild!BE63*OrgRev!BK21</f>
        <v>-0.45307961709646016</v>
      </c>
      <c r="BL75" s="911">
        <f>ProFormaRevBuild!BF63*OrgRev!BL21</f>
        <v>1.7750572302167174</v>
      </c>
      <c r="BM75" s="911">
        <f>ProFormaRevBuild!BG63*OrgRev!BM21</f>
        <v>1.539155180306222</v>
      </c>
      <c r="BN75" s="911">
        <f>ProFormaRevBuild!BH63*OrgRev!BN21</f>
        <v>5.3427074209179608</v>
      </c>
      <c r="BO75" s="1359">
        <f>ProFormaRevBuild!BI63*OrgRev!BO21</f>
        <v>7.7389315885896179</v>
      </c>
      <c r="BP75" s="911"/>
      <c r="BQ75" s="1358">
        <f>ProFormaRevBuild!BK63*OrgRev!BQ21</f>
        <v>4.0983110819179807</v>
      </c>
      <c r="BR75" s="911">
        <f>ProFormaRevBuild!BL63*OrgRev!BR21</f>
        <v>3.6388673219442706</v>
      </c>
      <c r="BS75" s="911">
        <f>ProFormaRevBuild!BM63*OrgRev!BS21</f>
        <v>1.3403476361833351</v>
      </c>
      <c r="BT75" s="911">
        <f>ProFormaRevBuild!BN63*OrgRev!BT21</f>
        <v>-0.53912774883808523</v>
      </c>
      <c r="BU75" s="1359">
        <f>ProFormaRevBuild!BO63*OrgRev!BU21</f>
        <v>8.5383982912075265</v>
      </c>
      <c r="BV75" s="911"/>
      <c r="BW75" s="1358">
        <f>ProFormaRevBuild!BQ63*OrgRev!BW21</f>
        <v>2.2540710950548895</v>
      </c>
      <c r="BX75" s="911">
        <f>ProFormaRevBuild!BR63*OrgRev!BX21</f>
        <v>2.4562354423123831</v>
      </c>
      <c r="BY75" s="911">
        <f>ProFormaRevBuild!BS63*OrgRev!BY21</f>
        <v>2.300930108781392</v>
      </c>
      <c r="BZ75" s="911">
        <f>ProFormaRevBuild!BT63*OrgRev!BZ21</f>
        <v>2.6686823567485218</v>
      </c>
      <c r="CA75" s="1359">
        <f>ProFormaRevBuild!BU63*OrgRev!CA21</f>
        <v>9.6799190028971953</v>
      </c>
      <c r="CB75" s="911"/>
      <c r="CC75" s="1358">
        <f>ProFormaRevBuild!BW63*OrgRev!CC21</f>
        <v>1.4200647898845804</v>
      </c>
      <c r="CD75" s="911">
        <f>ProFormaRevBuild!BX63*OrgRev!CD21</f>
        <v>1.5474283286568011</v>
      </c>
      <c r="CE75" s="911">
        <f>ProFormaRevBuild!BY63*OrgRev!CE21</f>
        <v>1.4495859685322769</v>
      </c>
      <c r="CF75" s="911">
        <f>ProFormaRevBuild!BZ63*OrgRev!CF21</f>
        <v>1.6812698847515688</v>
      </c>
      <c r="CG75" s="1359">
        <f>ProFormaRevBuild!CA63*OrgRev!CG21</f>
        <v>6.0983489718252324</v>
      </c>
      <c r="CH75" s="911"/>
      <c r="CI75" s="1358">
        <f>ProFormaRevBuild!CC63*OrgRev!CI21</f>
        <v>1.4626667335811179</v>
      </c>
      <c r="CJ75" s="911">
        <f>ProFormaRevBuild!CD63*OrgRev!CJ21</f>
        <v>1.593851178516505</v>
      </c>
      <c r="CK75" s="911">
        <f>ProFormaRevBuild!CE63*OrgRev!CK21</f>
        <v>1.4930735475882453</v>
      </c>
      <c r="CL75" s="911">
        <f>ProFormaRevBuild!CF63*OrgRev!CL21</f>
        <v>1.7317079812941159</v>
      </c>
      <c r="CM75" s="1359">
        <f>ProFormaRevBuild!CG63*OrgRev!CM21</f>
        <v>6.28129944097999</v>
      </c>
      <c r="CR75" s="1805"/>
      <c r="CS75" s="1805"/>
      <c r="CT75" s="1805"/>
      <c r="CU75" s="1805"/>
      <c r="CV75" s="1805"/>
      <c r="CW75" s="1805"/>
      <c r="CX75" s="1805"/>
      <c r="CY75" s="1805"/>
      <c r="CZ75" s="1805"/>
      <c r="DA75" s="1805"/>
      <c r="DB75" s="1805"/>
      <c r="DC75" s="1805"/>
      <c r="DD75" s="1805"/>
      <c r="DE75" s="1805"/>
      <c r="DF75" s="1805"/>
      <c r="DG75" s="1805"/>
      <c r="DH75" s="1805"/>
      <c r="DI75" s="1805"/>
      <c r="DJ75" s="1805"/>
      <c r="DK75" s="1805"/>
      <c r="DL75" s="1805"/>
      <c r="DM75" s="1805"/>
    </row>
    <row r="76" spans="1:117">
      <c r="A76" s="1552" t="s">
        <v>213</v>
      </c>
      <c r="B76" s="353"/>
      <c r="C76" s="418"/>
      <c r="D76" s="353"/>
      <c r="E76" s="353"/>
      <c r="F76" s="353"/>
      <c r="G76" s="865"/>
      <c r="H76" s="353"/>
      <c r="I76" s="1358"/>
      <c r="J76" s="911"/>
      <c r="K76" s="911"/>
      <c r="L76" s="911"/>
      <c r="M76" s="1359"/>
      <c r="N76" s="911"/>
      <c r="O76" s="1358"/>
      <c r="P76" s="911"/>
      <c r="Q76" s="911"/>
      <c r="R76" s="911"/>
      <c r="S76" s="1359"/>
      <c r="T76" s="911"/>
      <c r="U76" s="1358"/>
      <c r="V76" s="911"/>
      <c r="W76" s="911"/>
      <c r="X76" s="911"/>
      <c r="Y76" s="1359"/>
      <c r="Z76" s="911"/>
      <c r="AA76" s="1358"/>
      <c r="AB76" s="911"/>
      <c r="AC76" s="911"/>
      <c r="AD76" s="911"/>
      <c r="AE76" s="1359"/>
      <c r="AF76" s="911"/>
      <c r="AG76" s="1358">
        <f>ProFormaRevBuild!AA63*OrgRev!AG22</f>
        <v>1.7894760000000003</v>
      </c>
      <c r="AH76" s="911">
        <f>ProFormaRevBuild!AB63*OrgRev!AH22</f>
        <v>-3.6554033160000001</v>
      </c>
      <c r="AI76" s="911">
        <f>ProFormaRevBuild!AC63*OrgRev!AI22</f>
        <v>0.59431639614198972</v>
      </c>
      <c r="AJ76" s="911">
        <f>ProFormaRevBuild!AD63*OrgRev!AJ22</f>
        <v>2.6031279000000001</v>
      </c>
      <c r="AK76" s="1359">
        <f>ProFormaRevBuild!AE63*OrgRev!AK22</f>
        <v>1.5864940007324893</v>
      </c>
      <c r="AL76" s="911"/>
      <c r="AM76" s="1358">
        <f>ProFormaRevBuild!AG63*OrgRev!AM22</f>
        <v>-4.1873738400000002</v>
      </c>
      <c r="AN76" s="911">
        <f>ProFormaRevBuild!AH63*OrgRev!AN22</f>
        <v>3.6228205852079998</v>
      </c>
      <c r="AO76" s="911">
        <f>ProFormaRevBuild!AI63*OrgRev!AO22</f>
        <v>3.430442421</v>
      </c>
      <c r="AP76" s="911">
        <f>ProFormaRevBuild!AJ63*OrgRev!AP22</f>
        <v>0.46335676619999994</v>
      </c>
      <c r="AQ76" s="1359">
        <f>ProFormaRevBuild!AK63*OrgRev!AQ22</f>
        <v>2.4969071211975264</v>
      </c>
      <c r="AR76" s="911"/>
      <c r="AS76" s="1358">
        <f>ProFormaRevBuild!AM63*OrgRev!AS22</f>
        <v>2.4087821647862611</v>
      </c>
      <c r="AT76" s="911">
        <f>ProFormaRevBuild!AN63*OrgRev!AT22</f>
        <v>0.55773764716665608</v>
      </c>
      <c r="AU76" s="911">
        <f>ProFormaRevBuild!AO63*OrgRev!AU22</f>
        <v>1.2563042466240002</v>
      </c>
      <c r="AV76" s="911">
        <f>ProFormaRevBuild!AP63*OrgRev!AV22</f>
        <v>2.9395353247727996</v>
      </c>
      <c r="AW76" s="1359">
        <f>ProFormaRevBuild!AQ63*OrgRev!AW22</f>
        <v>7.5328129515462106</v>
      </c>
      <c r="AX76" s="911"/>
      <c r="AY76" s="1358">
        <f>ProFormaRevBuild!AS63*OrgRev!AY22</f>
        <v>2.3590524684809959</v>
      </c>
      <c r="AZ76" s="911">
        <f>ProFormaRevBuild!AT63*OrgRev!AZ22</f>
        <v>4.6571093538415784</v>
      </c>
      <c r="BA76" s="911">
        <f>ProFormaRevBuild!AU63*OrgRev!BA22</f>
        <v>2.4309487172174404</v>
      </c>
      <c r="BB76" s="911">
        <f>ProFormaRevBuild!AV63*OrgRev!BB22</f>
        <v>3.9746372719223038</v>
      </c>
      <c r="BC76" s="1359">
        <f>ProFormaRevBuild!AW63*OrgRev!BC22</f>
        <v>13.206555939931388</v>
      </c>
      <c r="BD76" s="911"/>
      <c r="BE76" s="1358">
        <f>ProFormaRevBuild!AY63*OrgRev!BE22</f>
        <v>2.9724061102860557</v>
      </c>
      <c r="BF76" s="911">
        <f>ProFormaRevBuild!AZ63*OrgRev!BF22</f>
        <v>1.466989446460097</v>
      </c>
      <c r="BG76" s="911">
        <f>ProFormaRevBuild!BA63*OrgRev!BG22</f>
        <v>1.4464144867443771</v>
      </c>
      <c r="BH76" s="911">
        <f>ProFormaRevBuild!BB63*OrgRev!BH22</f>
        <v>1.033405690699799</v>
      </c>
      <c r="BI76" s="1359">
        <f>ProFormaRevBuild!BC63*OrgRev!BI22</f>
        <v>7.144617469770151</v>
      </c>
      <c r="BJ76" s="911"/>
      <c r="BK76" s="1358">
        <f>ProFormaRevBuild!BE63*OrgRev!BK22</f>
        <v>1.4004279073890589</v>
      </c>
      <c r="BL76" s="911">
        <f>ProFormaRevBuild!BF63*OrgRev!BL22</f>
        <v>1.5531750764396279</v>
      </c>
      <c r="BM76" s="911">
        <f>ProFormaRevBuild!BG63*OrgRev!BM22</f>
        <v>2.6080129444077653</v>
      </c>
      <c r="BN76" s="911">
        <f>ProFormaRevBuild!BH63*OrgRev!BN22</f>
        <v>7.2855101194335816</v>
      </c>
      <c r="BO76" s="1359">
        <f>ProFormaRevBuild!BI63*OrgRev!BO22</f>
        <v>12.382290541743391</v>
      </c>
      <c r="BP76" s="911"/>
      <c r="BQ76" s="1358">
        <f>ProFormaRevBuild!BK63*OrgRev!BQ22</f>
        <v>3.8933955278220815</v>
      </c>
      <c r="BR76" s="911">
        <f>ProFormaRevBuild!BL63*OrgRev!BR22</f>
        <v>4.3211549448088213</v>
      </c>
      <c r="BS76" s="911">
        <f>ProFormaRevBuild!BM63*OrgRev!BS22</f>
        <v>2.9040865450638926</v>
      </c>
      <c r="BT76" s="911">
        <f>ProFormaRevBuild!BN63*OrgRev!BT22</f>
        <v>2.4260748697713832</v>
      </c>
      <c r="BU76" s="1359">
        <f>ProFormaRevBuild!BO63*OrgRev!BU22</f>
        <v>13.385678192163915</v>
      </c>
      <c r="BV76" s="911"/>
      <c r="BW76" s="1358">
        <f>ProFormaRevBuild!BQ63*OrgRev!BW22</f>
        <v>1.8032568760439116</v>
      </c>
      <c r="BX76" s="911">
        <f>ProFormaRevBuild!BR63*OrgRev!BX22</f>
        <v>1.9649883538499062</v>
      </c>
      <c r="BY76" s="911">
        <f>ProFormaRevBuild!BS63*OrgRev!BY22</f>
        <v>1.8407440870251137</v>
      </c>
      <c r="BZ76" s="911">
        <f>ProFormaRevBuild!BT63*OrgRev!BZ22</f>
        <v>2.1349458853988175</v>
      </c>
      <c r="CA76" s="1359">
        <f>ProFormaRevBuild!BU63*OrgRev!CA22</f>
        <v>7.7439352023177559</v>
      </c>
      <c r="CB76" s="911"/>
      <c r="CC76" s="1358">
        <f>ProFormaRevBuild!BW63*OrgRev!CC22</f>
        <v>1.7750809873557254</v>
      </c>
      <c r="CD76" s="911">
        <f>ProFormaRevBuild!BX63*OrgRev!CD22</f>
        <v>1.9342854108210015</v>
      </c>
      <c r="CE76" s="911">
        <f>ProFormaRevBuild!BY63*OrgRev!CE22</f>
        <v>1.8119824606653463</v>
      </c>
      <c r="CF76" s="911">
        <f>ProFormaRevBuild!BZ63*OrgRev!CF22</f>
        <v>2.1015873559394609</v>
      </c>
      <c r="CG76" s="1359">
        <f>ProFormaRevBuild!CA63*OrgRev!CG22</f>
        <v>7.6229362147815518</v>
      </c>
      <c r="CH76" s="911"/>
      <c r="CI76" s="1358">
        <f>ProFormaRevBuild!CC63*OrgRev!CI22</f>
        <v>1.8283334169763974</v>
      </c>
      <c r="CJ76" s="911">
        <f>ProFormaRevBuild!CD63*OrgRev!CJ22</f>
        <v>1.9923139731456314</v>
      </c>
      <c r="CK76" s="911">
        <f>ProFormaRevBuild!CE63*OrgRev!CK22</f>
        <v>1.8663419344853065</v>
      </c>
      <c r="CL76" s="911">
        <f>ProFormaRevBuild!CF63*OrgRev!CL22</f>
        <v>2.1646349766176449</v>
      </c>
      <c r="CM76" s="1359">
        <f>ProFormaRevBuild!CG63*OrgRev!CM22</f>
        <v>7.8516243012249989</v>
      </c>
      <c r="DF76" s="833"/>
      <c r="DG76" s="833"/>
      <c r="DH76" s="833"/>
      <c r="DI76" s="833"/>
      <c r="DJ76" s="833"/>
      <c r="DK76" s="833"/>
      <c r="DL76" s="833"/>
      <c r="DM76" s="833"/>
    </row>
    <row r="77" spans="1:117">
      <c r="A77" s="1552" t="s">
        <v>214</v>
      </c>
      <c r="B77" s="353"/>
      <c r="C77" s="418"/>
      <c r="D77" s="353"/>
      <c r="E77" s="353"/>
      <c r="F77" s="353"/>
      <c r="G77" s="865"/>
      <c r="H77" s="353"/>
      <c r="I77" s="1358"/>
      <c r="J77" s="911"/>
      <c r="K77" s="911"/>
      <c r="L77" s="911"/>
      <c r="M77" s="1359"/>
      <c r="N77" s="911"/>
      <c r="O77" s="1358"/>
      <c r="P77" s="911"/>
      <c r="Q77" s="911"/>
      <c r="R77" s="911"/>
      <c r="S77" s="1359"/>
      <c r="T77" s="911"/>
      <c r="U77" s="1358"/>
      <c r="V77" s="911"/>
      <c r="W77" s="911"/>
      <c r="X77" s="911"/>
      <c r="Y77" s="1359"/>
      <c r="Z77" s="911"/>
      <c r="AA77" s="1358"/>
      <c r="AB77" s="911"/>
      <c r="AC77" s="911"/>
      <c r="AD77" s="911"/>
      <c r="AE77" s="1359"/>
      <c r="AF77" s="911"/>
      <c r="AG77" s="1358">
        <f>ProFormaRevBuild!AA67*OrgRev!AG23</f>
        <v>2.3671623999999314</v>
      </c>
      <c r="AH77" s="911">
        <f>ProFormaRevBuild!AB67*OrgRev!AH23</f>
        <v>-6.071423676000216</v>
      </c>
      <c r="AI77" s="911">
        <f>ProFormaRevBuild!AC67*OrgRev!AI23</f>
        <v>0</v>
      </c>
      <c r="AJ77" s="911">
        <f>ProFormaRevBuild!AD67*OrgRev!AJ23</f>
        <v>8.9849270000003603E-2</v>
      </c>
      <c r="AK77" s="1359">
        <f>ProFormaRevBuild!AE67*OrgRev!AK23</f>
        <v>-3.6144120060002414</v>
      </c>
      <c r="AL77" s="911"/>
      <c r="AM77" s="1358">
        <f>ProFormaRevBuild!AG67*OrgRev!AM23</f>
        <v>-3.7533317999999958</v>
      </c>
      <c r="AN77" s="911">
        <f>ProFormaRevBuild!AH67*OrgRev!AN23</f>
        <v>-1.96293215891182</v>
      </c>
      <c r="AO77" s="911">
        <f>ProFormaRevBuild!AI67*OrgRev!AO23</f>
        <v>-3.6644466201999841</v>
      </c>
      <c r="AP77" s="911">
        <f>ProFormaRevBuild!AJ67*OrgRev!AP23</f>
        <v>0.82722104270000052</v>
      </c>
      <c r="AQ77" s="1359">
        <f>ProFormaRevBuild!AK67*OrgRev!AQ23</f>
        <v>-8.5534895364118189</v>
      </c>
      <c r="AR77" s="911"/>
      <c r="AS77" s="1358">
        <f>ProFormaRevBuild!AM67*OrgRev!AS23</f>
        <v>0.7056263783999992</v>
      </c>
      <c r="AT77" s="911">
        <f>ProFormaRevBuild!AN67*OrgRev!AT23</f>
        <v>-6.1782143685531787</v>
      </c>
      <c r="AU77" s="911">
        <f>ProFormaRevBuild!AO67*OrgRev!AU23</f>
        <v>-0.62013170703840026</v>
      </c>
      <c r="AV77" s="911">
        <f>ProFormaRevBuild!AP67*OrgRev!AV23</f>
        <v>2.5900290846937013</v>
      </c>
      <c r="AW77" s="1359">
        <f>ProFormaRevBuild!AQ67*OrgRev!AW23</f>
        <v>-3.5026906124978665</v>
      </c>
      <c r="AX77" s="911"/>
      <c r="AY77" s="1358">
        <f>ProFormaRevBuild!AS67*OrgRev!AY23</f>
        <v>1.4876956144599984</v>
      </c>
      <c r="AZ77" s="911">
        <f>ProFormaRevBuild!AT67*OrgRev!AZ23</f>
        <v>4.8203358557227816</v>
      </c>
      <c r="BA77" s="911">
        <f>ProFormaRevBuild!AU67*OrgRev!BA23</f>
        <v>-1.5379266334552326</v>
      </c>
      <c r="BB77" s="911">
        <f>ProFormaRevBuild!AV67*OrgRev!BB23</f>
        <v>1.7227870879478751</v>
      </c>
      <c r="BC77" s="1359">
        <f>ProFormaRevBuild!AW67*OrgRev!BC23</f>
        <v>7.4234398571836158</v>
      </c>
      <c r="BD77" s="911"/>
      <c r="BE77" s="1358">
        <f>ProFormaRevBuild!AY67*OrgRev!BE23</f>
        <v>1.132404176453756</v>
      </c>
      <c r="BF77" s="911">
        <f>ProFormaRevBuild!AZ67*OrgRev!BF23</f>
        <v>-2.602981362090302</v>
      </c>
      <c r="BG77" s="911">
        <f>ProFormaRevBuild!BA67*OrgRev!BG23</f>
        <v>0.31373703322486773</v>
      </c>
      <c r="BH77" s="911">
        <f>ProFormaRevBuild!BB67*OrgRev!BH23</f>
        <v>4.393107074267081</v>
      </c>
      <c r="BI77" s="1359">
        <f>ProFormaRevBuild!BC67*OrgRev!BI23</f>
        <v>2.3802551690788465</v>
      </c>
      <c r="BJ77" s="911"/>
      <c r="BK77" s="1358">
        <f>ProFormaRevBuild!BE67*OrgRev!BK23</f>
        <v>-2.8578845209884292</v>
      </c>
      <c r="BL77" s="911">
        <f>ProFormaRevBuild!BF67*OrgRev!BL23</f>
        <v>-0.31235776345083616</v>
      </c>
      <c r="BM77" s="911">
        <f>ProFormaRevBuild!BG67*OrgRev!BM23</f>
        <v>2.7063034544524638</v>
      </c>
      <c r="BN77" s="911">
        <f>ProFormaRevBuild!BH67*OrgRev!BN23</f>
        <v>0.11426837815856151</v>
      </c>
      <c r="BO77" s="1359">
        <f>ProFormaRevBuild!BI67*OrgRev!BO23</f>
        <v>-1.0093559632175884</v>
      </c>
      <c r="BP77" s="911"/>
      <c r="BQ77" s="1358">
        <f>ProFormaRevBuild!BK67*OrgRev!BQ23</f>
        <v>5.069638628535996</v>
      </c>
      <c r="BR77" s="911">
        <f>ProFormaRevBuild!BL67*OrgRev!BR23</f>
        <v>4.5916591227272923</v>
      </c>
      <c r="BS77" s="911">
        <f>ProFormaRevBuild!BM67*OrgRev!BS23</f>
        <v>2.7538302197065225</v>
      </c>
      <c r="BT77" s="911">
        <f>ProFormaRevBuild!BN67*OrgRev!BT23</f>
        <v>5.1172712383523065</v>
      </c>
      <c r="BU77" s="1359">
        <f>ProFormaRevBuild!BO67*OrgRev!BU23</f>
        <v>17.532399209322065</v>
      </c>
      <c r="BV77" s="911"/>
      <c r="BW77" s="1358">
        <f>ProFormaRevBuild!BQ67*OrgRev!BW23</f>
        <v>1.2942489204615424</v>
      </c>
      <c r="BX77" s="911">
        <f>ProFormaRevBuild!BR67*OrgRev!BX23</f>
        <v>1.3162756151818238</v>
      </c>
      <c r="BY77" s="911">
        <f>ProFormaRevBuild!BS67*OrgRev!BY23</f>
        <v>1.6286938727978575</v>
      </c>
      <c r="BZ77" s="911">
        <f>ProFormaRevBuild!BT67*OrgRev!BZ23</f>
        <v>1.9497357635223915</v>
      </c>
      <c r="CA77" s="1359">
        <f>ProFormaRevBuild!BU67*OrgRev!CA23</f>
        <v>6.1889541719636201</v>
      </c>
      <c r="CB77" s="911"/>
      <c r="CC77" s="1358">
        <f>ProFormaRevBuild!BW67*OrgRev!CC23</f>
        <v>0.66006694943538669</v>
      </c>
      <c r="CD77" s="911">
        <f>ProFormaRevBuild!BX67*OrgRev!CD23</f>
        <v>0.67130056374273017</v>
      </c>
      <c r="CE77" s="911">
        <f>ProFormaRevBuild!BY67*OrgRev!CE23</f>
        <v>0.83063387512690723</v>
      </c>
      <c r="CF77" s="911">
        <f>ProFormaRevBuild!BZ67*OrgRev!CF23</f>
        <v>0.99436523939641974</v>
      </c>
      <c r="CG77" s="1359">
        <f>ProFormaRevBuild!CA67*OrgRev!CG23</f>
        <v>3.1563666277014466</v>
      </c>
      <c r="CH77" s="911"/>
      <c r="CI77" s="1358">
        <f>ProFormaRevBuild!CC67*OrgRev!CI23</f>
        <v>0.66666761892974058</v>
      </c>
      <c r="CJ77" s="911">
        <f>ProFormaRevBuild!CD67*OrgRev!CJ23</f>
        <v>0.67801356938015744</v>
      </c>
      <c r="CK77" s="911">
        <f>ProFormaRevBuild!CE67*OrgRev!CK23</f>
        <v>0.8389402138781763</v>
      </c>
      <c r="CL77" s="911">
        <f>ProFormaRevBuild!CF67*OrgRev!CL23</f>
        <v>1.004308891790384</v>
      </c>
      <c r="CM77" s="1359">
        <f>ProFormaRevBuild!CG67*OrgRev!CM23</f>
        <v>3.1879302939784613</v>
      </c>
    </row>
    <row r="78" spans="1:117" s="833" customFormat="1">
      <c r="A78" s="1276" t="str">
        <f>"Total"&amp;" "&amp;A2</f>
        <v>Total Perkin Elmer</v>
      </c>
      <c r="B78" s="1277"/>
      <c r="C78" s="1278"/>
      <c r="D78" s="1277"/>
      <c r="E78" s="1277"/>
      <c r="F78" s="1277"/>
      <c r="G78" s="1279"/>
      <c r="H78" s="1277"/>
      <c r="I78" s="1280">
        <f>ProFormaRevBuild!C15*I26</f>
        <v>15.530000000000037</v>
      </c>
      <c r="J78" s="1281">
        <f>ProFormaRevBuild!D15*J26</f>
        <v>32.691800000000107</v>
      </c>
      <c r="K78" s="1281">
        <f>ProFormaRevBuild!E15*K26</f>
        <v>8.225559999999998</v>
      </c>
      <c r="L78" s="1281">
        <f>ProFormaRevBuild!F15*L26</f>
        <v>19.144949999999994</v>
      </c>
      <c r="M78" s="1275">
        <f>ProFormaRevBuild!G15*M26</f>
        <v>75.592309999999955</v>
      </c>
      <c r="N78" s="1281"/>
      <c r="O78" s="1280">
        <f>ProFormaRevBuild!I15*O26</f>
        <v>0.37737653050204389</v>
      </c>
      <c r="P78" s="1281">
        <f>ProFormaRevBuild!J15*P26</f>
        <v>-47.666751530502083</v>
      </c>
      <c r="Q78" s="1281">
        <f>ProFormaRevBuild!K15*Q26</f>
        <v>-36.89453000000001</v>
      </c>
      <c r="R78" s="1281">
        <f>ProFormaRevBuild!L15*R26</f>
        <v>-26.61350000000003</v>
      </c>
      <c r="S78" s="1275">
        <f>ProFormaRevBuild!M15*S26</f>
        <v>-110.79740499999986</v>
      </c>
      <c r="T78" s="1281"/>
      <c r="U78" s="1280">
        <f>ProFormaRevBuild!O15*U26</f>
        <v>6.3971555256254327</v>
      </c>
      <c r="V78" s="1281">
        <f>ProFormaRevBuild!P15*V26</f>
        <v>50.654234765196954</v>
      </c>
      <c r="W78" s="1281">
        <f>ProFormaRevBuild!Q15*W26</f>
        <v>38.336639999999996</v>
      </c>
      <c r="X78" s="1281">
        <f>ProFormaRevBuild!R15*X26</f>
        <v>39.780096000000043</v>
      </c>
      <c r="Y78" s="1275">
        <f>ProFormaRevBuild!S15*Y26</f>
        <v>122.56468000000008</v>
      </c>
      <c r="Z78" s="1281"/>
      <c r="AA78" s="1280">
        <f>ProFormaRevBuild!U15*AA26</f>
        <v>38.651063021187944</v>
      </c>
      <c r="AB78" s="1281">
        <f>ProFormaRevBuild!V15*AB26</f>
        <v>23.65255282181764</v>
      </c>
      <c r="AC78" s="1281">
        <f>ProFormaRevBuild!W15*AC26</f>
        <v>10.987465923536364</v>
      </c>
      <c r="AD78" s="1281">
        <f>ProFormaRevBuild!X15*AD26</f>
        <v>-15.123527378003002</v>
      </c>
      <c r="AE78" s="1275">
        <f>ProFormaRevBuild!Y15*AE26</f>
        <v>58.165803142109652</v>
      </c>
      <c r="AF78" s="1281"/>
      <c r="AG78" s="1280">
        <f>ProFormaRevBuild!AA15*AG26</f>
        <v>-13.983979405667075</v>
      </c>
      <c r="AH78" s="1281">
        <f>ProFormaRevBuild!AB15*AH26</f>
        <v>-20.400276425247032</v>
      </c>
      <c r="AI78" s="1281">
        <f>ProFormaRevBuild!AC15*AI26</f>
        <v>-15.663593195218439</v>
      </c>
      <c r="AJ78" s="1281">
        <f>ProFormaRevBuild!AD15*AJ26</f>
        <v>10.743025053729468</v>
      </c>
      <c r="AK78" s="1275">
        <f>ProFormaRevBuild!AE15*AK26</f>
        <v>-47.602630501939771</v>
      </c>
      <c r="AL78" s="1281"/>
      <c r="AM78" s="1280">
        <f>ProFormaRevBuild!AG15*AM26</f>
        <v>-7.5896413249191665</v>
      </c>
      <c r="AN78" s="1281">
        <f>ProFormaRevBuild!AH15*AN26</f>
        <v>12.988311347939081</v>
      </c>
      <c r="AO78" s="1281">
        <f>ProFormaRevBuild!AI15*AO26</f>
        <v>12.52047166461371</v>
      </c>
      <c r="AP78" s="1281">
        <f>ProFormaRevBuild!AJ15*AP26</f>
        <v>11.253135112704014</v>
      </c>
      <c r="AQ78" s="1275">
        <f>ProFormaRevBuild!AK15*AQ26</f>
        <v>29.16123731639502</v>
      </c>
      <c r="AR78" s="1281"/>
      <c r="AS78" s="1280">
        <f>ProFormaRevBuild!AM15*AS26</f>
        <v>15.967336249666644</v>
      </c>
      <c r="AT78" s="1281">
        <f>ProFormaRevBuild!AN15*AT26</f>
        <v>-0.44668091464998128</v>
      </c>
      <c r="AU78" s="1281">
        <f>ProFormaRevBuild!AO15*AU26</f>
        <v>26.718009869545494</v>
      </c>
      <c r="AV78" s="1281">
        <f>ProFormaRevBuild!AP15*AV26</f>
        <v>48.743739244229268</v>
      </c>
      <c r="AW78" s="1275">
        <f>ProFormaRevBuild!AQ15*AW26</f>
        <v>91.141644190640264</v>
      </c>
      <c r="AX78" s="1281"/>
      <c r="AY78" s="1280">
        <f>ProFormaRevBuild!AS15*AY26</f>
        <v>30.379935177438224</v>
      </c>
      <c r="AZ78" s="1281">
        <f>ProFormaRevBuild!AT15*AZ26</f>
        <v>46.247017902070723</v>
      </c>
      <c r="BA78" s="1281">
        <f>ProFormaRevBuild!AU15*BA26</f>
        <v>23.307728622383362</v>
      </c>
      <c r="BB78" s="1281">
        <f>ProFormaRevBuild!AV15*BB26</f>
        <v>17.449416643671071</v>
      </c>
      <c r="BC78" s="1275">
        <f>ProFormaRevBuild!AW15*BC26</f>
        <v>117.37421834360437</v>
      </c>
      <c r="BD78" s="1281"/>
      <c r="BE78" s="1280">
        <f>ProFormaRevBuild!AY15*BE26</f>
        <v>23.568948129622811</v>
      </c>
      <c r="BF78" s="1281">
        <f>ProFormaRevBuild!AZ15*BF26</f>
        <v>19.732703977474397</v>
      </c>
      <c r="BG78" s="1281">
        <f>ProFormaRevBuild!BA15*BG26</f>
        <v>7.1061728961976911</v>
      </c>
      <c r="BH78" s="1281">
        <f>ProFormaRevBuild!BB15*BH26</f>
        <v>0.77700693487833583</v>
      </c>
      <c r="BI78" s="1275">
        <f>ProFormaRevBuild!BC15*BI26</f>
        <v>51.181346333329536</v>
      </c>
      <c r="BJ78" s="1281"/>
      <c r="BK78" s="1280">
        <f>ProFormaRevBuild!BE15*BK26</f>
        <v>17.615511097362273</v>
      </c>
      <c r="BL78" s="1281">
        <f>ProFormaRevBuild!BF15*BL26</f>
        <v>14.192026411463461</v>
      </c>
      <c r="BM78" s="1281">
        <f>ProFormaRevBuild!BG15*BM26</f>
        <v>19.652960273494802</v>
      </c>
      <c r="BN78" s="1281">
        <f>ProFormaRevBuild!BH15*BN26</f>
        <v>36.509591050620188</v>
      </c>
      <c r="BO78" s="1275">
        <f>ProFormaRevBuild!BI15*BO26</f>
        <v>87.970230796048867</v>
      </c>
      <c r="BP78" s="1281"/>
      <c r="BQ78" s="1280">
        <f>ProFormaRevBuild!BK15*BQ26</f>
        <v>22.018665749791619</v>
      </c>
      <c r="BR78" s="1281">
        <f>ProFormaRevBuild!BL15*BR26</f>
        <v>34.143426765754221</v>
      </c>
      <c r="BS78" s="1281">
        <f>ProFormaRevBuild!BM15*BS26</f>
        <v>31.384936445240008</v>
      </c>
      <c r="BT78" s="1281">
        <f>ProFormaRevBuild!BN15*BT26</f>
        <v>23.842058178761359</v>
      </c>
      <c r="BU78" s="1275">
        <f>ProFormaRevBuild!BO15*BU26</f>
        <v>111.38882299494576</v>
      </c>
      <c r="BV78" s="1281"/>
      <c r="BW78" s="1280">
        <f>ProFormaRevBuild!BQ15*BW26</f>
        <v>39.737619018916973</v>
      </c>
      <c r="BX78" s="1281">
        <f>ProFormaRevBuild!BR15*BX26</f>
        <v>48.16404173431981</v>
      </c>
      <c r="BY78" s="1281">
        <f>ProFormaRevBuild!BS15*BY26</f>
        <v>51.697496656452053</v>
      </c>
      <c r="BZ78" s="1281">
        <f>ProFormaRevBuild!BT15*BZ26</f>
        <v>58.771272573556708</v>
      </c>
      <c r="CA78" s="1275">
        <f>ProFormaRevBuild!BU15*CA26</f>
        <v>198.37042998324532</v>
      </c>
      <c r="CB78" s="1281"/>
      <c r="CC78" s="1280">
        <f>ProFormaRevBuild!BW15*CC26</f>
        <v>47.829700925848044</v>
      </c>
      <c r="CD78" s="1281">
        <f>ProFormaRevBuild!BX15*CD26</f>
        <v>54.425531721776743</v>
      </c>
      <c r="CE78" s="1281">
        <f>ProFormaRevBuild!BY15*CE26</f>
        <v>52.697331446064425</v>
      </c>
      <c r="CF78" s="1281">
        <f>ProFormaRevBuild!BZ15*CF26</f>
        <v>54.978254886347202</v>
      </c>
      <c r="CG78" s="1275">
        <f>ProFormaRevBuild!CA15*CG26</f>
        <v>209.9308189800368</v>
      </c>
      <c r="CH78" s="1281"/>
      <c r="CI78" s="1280">
        <f>ProFormaRevBuild!CC15*CI26</f>
        <v>38.175306430740314</v>
      </c>
      <c r="CJ78" s="1281">
        <f>ProFormaRevBuild!CD15*CJ26</f>
        <v>42.402163513024732</v>
      </c>
      <c r="CK78" s="1281">
        <f>ProFormaRevBuild!CE15*CK26</f>
        <v>45.36542889968981</v>
      </c>
      <c r="CL78" s="1281">
        <f>ProFormaRevBuild!CF15*CL26</f>
        <v>49.977146971451965</v>
      </c>
      <c r="CM78" s="1275">
        <f>ProFormaRevBuild!CG15*CM26</f>
        <v>175.92004581490619</v>
      </c>
      <c r="CR78" s="226"/>
      <c r="CS78" s="226"/>
      <c r="CT78" s="226"/>
      <c r="CU78" s="226"/>
      <c r="CV78" s="226"/>
      <c r="CW78" s="226"/>
      <c r="CX78" s="226"/>
      <c r="CY78" s="226"/>
      <c r="CZ78" s="226"/>
      <c r="DA78" s="226"/>
      <c r="DB78" s="226"/>
      <c r="DC78" s="226"/>
      <c r="DD78" s="226"/>
      <c r="DE78" s="226"/>
      <c r="DF78" s="226"/>
      <c r="DG78" s="226"/>
      <c r="DH78" s="226"/>
      <c r="DI78" s="226"/>
      <c r="DJ78" s="226"/>
      <c r="DK78" s="226"/>
      <c r="DL78" s="226"/>
      <c r="DM78" s="226"/>
    </row>
    <row r="79" spans="1:117" s="1273" customFormat="1">
      <c r="A79" s="94"/>
      <c r="B79" s="94"/>
      <c r="C79" s="94"/>
      <c r="D79" s="94"/>
      <c r="E79" s="94"/>
      <c r="F79" s="94"/>
      <c r="G79" s="94"/>
      <c r="H79" s="94"/>
      <c r="I79" s="94"/>
      <c r="J79" s="94"/>
      <c r="K79" s="94"/>
      <c r="L79" s="94"/>
      <c r="M79" s="94"/>
      <c r="N79" s="94"/>
      <c r="O79" s="1453"/>
      <c r="P79" s="1454"/>
      <c r="Q79" s="1454"/>
      <c r="R79" s="1454"/>
      <c r="S79" s="1454"/>
      <c r="T79" s="1454"/>
      <c r="U79" s="1454"/>
      <c r="V79" s="1454"/>
      <c r="W79" s="1454"/>
      <c r="X79" s="1454"/>
      <c r="Y79" s="1454"/>
      <c r="Z79" s="1454"/>
      <c r="AA79" s="1454"/>
      <c r="AB79" s="1454"/>
      <c r="AC79" s="1454"/>
      <c r="AD79" s="1454"/>
      <c r="AE79" s="1454"/>
      <c r="AF79" s="1454"/>
      <c r="AG79" s="1454"/>
      <c r="AH79" s="1454"/>
      <c r="AI79" s="1454"/>
      <c r="AJ79" s="1454"/>
      <c r="AK79" s="1454"/>
      <c r="AL79" s="1454"/>
      <c r="AM79" s="1454"/>
      <c r="AN79" s="1454"/>
      <c r="AO79" s="1454"/>
      <c r="AP79" s="1454"/>
      <c r="AQ79" s="1454"/>
      <c r="AR79" s="1454"/>
      <c r="AS79" s="1454"/>
      <c r="AT79" s="1454"/>
      <c r="AU79" s="1454"/>
      <c r="AV79" s="1454"/>
      <c r="AW79" s="1454"/>
      <c r="AX79" s="1454"/>
      <c r="AY79" s="1454"/>
      <c r="AZ79" s="1454"/>
      <c r="BA79" s="1454"/>
      <c r="BB79" s="1454"/>
      <c r="BC79" s="1454"/>
      <c r="BD79" s="1454"/>
      <c r="BE79" s="1454"/>
      <c r="BF79" s="1454"/>
      <c r="BG79" s="1454"/>
      <c r="BH79" s="1454"/>
      <c r="BI79" s="1454"/>
      <c r="BJ79" s="1454"/>
      <c r="BK79" s="1454"/>
      <c r="BL79" s="1454"/>
      <c r="BM79" s="1454"/>
      <c r="BN79" s="1454"/>
      <c r="BO79" s="1454"/>
      <c r="BP79" s="1454"/>
      <c r="BQ79" s="1454"/>
      <c r="BR79" s="1454"/>
      <c r="BS79" s="1454"/>
      <c r="BT79" s="1454"/>
      <c r="BU79" s="1454"/>
      <c r="BV79" s="1454"/>
      <c r="BW79" s="1454"/>
      <c r="BX79" s="1454"/>
      <c r="BY79" s="1454"/>
      <c r="BZ79" s="1454"/>
      <c r="CA79" s="1454"/>
      <c r="CB79" s="1454"/>
      <c r="CC79" s="1454"/>
      <c r="CD79" s="1454"/>
      <c r="CE79" s="1454"/>
      <c r="CF79" s="1454"/>
      <c r="CG79" s="1454"/>
      <c r="CH79" s="1454"/>
      <c r="CI79" s="1454"/>
      <c r="CJ79" s="1454"/>
      <c r="CK79" s="1454"/>
      <c r="CL79" s="1454"/>
      <c r="CM79" s="1454"/>
      <c r="CN79" s="94"/>
      <c r="CO79" s="94"/>
      <c r="CP79" s="94"/>
      <c r="CQ79" s="94"/>
      <c r="CR79" s="226"/>
      <c r="CS79" s="226"/>
      <c r="CT79" s="226"/>
      <c r="CU79" s="226"/>
      <c r="CV79" s="226"/>
      <c r="CW79" s="226"/>
      <c r="CX79" s="226"/>
      <c r="CY79" s="226"/>
      <c r="CZ79" s="226"/>
      <c r="DA79" s="226"/>
      <c r="DB79" s="226"/>
      <c r="DC79" s="226"/>
      <c r="DD79" s="226"/>
      <c r="DE79" s="226"/>
      <c r="DF79" s="833"/>
      <c r="DG79" s="833"/>
      <c r="DH79" s="833"/>
      <c r="DI79" s="833"/>
      <c r="DJ79" s="833"/>
      <c r="DK79" s="833"/>
      <c r="DL79" s="833"/>
      <c r="DM79" s="833"/>
    </row>
    <row r="80" spans="1:117">
      <c r="A80" s="1253" t="s">
        <v>74</v>
      </c>
      <c r="B80" s="1254"/>
      <c r="C80" s="1255"/>
      <c r="D80" s="1254"/>
      <c r="E80" s="1254"/>
      <c r="F80" s="1256"/>
      <c r="G80" s="1257"/>
      <c r="H80" s="1254"/>
      <c r="I80" s="1255"/>
      <c r="J80" s="1254"/>
      <c r="K80" s="1254"/>
      <c r="L80" s="1256"/>
      <c r="M80" s="1257"/>
      <c r="N80" s="1254"/>
      <c r="O80" s="1255"/>
      <c r="P80" s="1254"/>
      <c r="Q80" s="1254"/>
      <c r="R80" s="1256"/>
      <c r="S80" s="1257"/>
      <c r="T80" s="1254"/>
      <c r="U80" s="1255"/>
      <c r="V80" s="1254"/>
      <c r="W80" s="1254"/>
      <c r="X80" s="1256"/>
      <c r="Y80" s="1257"/>
      <c r="Z80" s="1254"/>
      <c r="AA80" s="1255"/>
      <c r="AB80" s="1254"/>
      <c r="AC80" s="1254"/>
      <c r="AD80" s="1256"/>
      <c r="AE80" s="1257"/>
      <c r="AF80" s="1254"/>
      <c r="AG80" s="1255"/>
      <c r="AH80" s="1254"/>
      <c r="AI80" s="1254"/>
      <c r="AJ80" s="1256"/>
      <c r="AK80" s="1257"/>
      <c r="AL80" s="1254"/>
      <c r="AM80" s="1255"/>
      <c r="AN80" s="1254"/>
      <c r="AO80" s="1254"/>
      <c r="AP80" s="1256"/>
      <c r="AQ80" s="1257"/>
      <c r="AR80" s="1254"/>
      <c r="AS80" s="1255"/>
      <c r="AT80" s="1254"/>
      <c r="AU80" s="1254"/>
      <c r="AV80" s="1256"/>
      <c r="AW80" s="1257"/>
      <c r="AX80" s="1254"/>
      <c r="AY80" s="1255"/>
      <c r="AZ80" s="1254"/>
      <c r="BA80" s="1254"/>
      <c r="BB80" s="1256"/>
      <c r="BC80" s="1257"/>
      <c r="BD80" s="1254"/>
      <c r="BE80" s="1255"/>
      <c r="BF80" s="1254"/>
      <c r="BG80" s="1254"/>
      <c r="BH80" s="1256"/>
      <c r="BI80" s="1257"/>
      <c r="BJ80" s="1254"/>
      <c r="BK80" s="1255"/>
      <c r="BL80" s="1254"/>
      <c r="BM80" s="1254"/>
      <c r="BN80" s="1256"/>
      <c r="BO80" s="1257"/>
      <c r="BP80" s="1254"/>
      <c r="BQ80" s="1255"/>
      <c r="BR80" s="1254"/>
      <c r="BS80" s="1254"/>
      <c r="BT80" s="1256"/>
      <c r="BU80" s="1257"/>
      <c r="BV80" s="1254"/>
      <c r="BW80" s="1255"/>
      <c r="BX80" s="1254"/>
      <c r="BY80" s="1254"/>
      <c r="BZ80" s="1256"/>
      <c r="CA80" s="1257"/>
      <c r="CB80" s="1254"/>
      <c r="CC80" s="1255"/>
      <c r="CD80" s="1254"/>
      <c r="CE80" s="1254"/>
      <c r="CF80" s="1256"/>
      <c r="CG80" s="1257"/>
      <c r="CH80" s="1254"/>
      <c r="CI80" s="1255"/>
      <c r="CJ80" s="1254"/>
      <c r="CK80" s="1254"/>
      <c r="CL80" s="1256"/>
      <c r="CM80" s="1257"/>
      <c r="CR80" s="833"/>
      <c r="DF80" s="1273"/>
      <c r="DG80" s="1273"/>
      <c r="DH80" s="1273"/>
      <c r="DI80" s="1273"/>
      <c r="DJ80" s="1273"/>
      <c r="DK80" s="1273"/>
      <c r="DL80" s="1273"/>
      <c r="DM80" s="1273"/>
    </row>
    <row r="81" spans="1:117" s="833" customFormat="1">
      <c r="A81" s="1352" t="str">
        <f t="shared" ref="A81:A92" si="95">A67</f>
        <v>Diagnostics</v>
      </c>
      <c r="B81" s="1274"/>
      <c r="C81" s="952"/>
      <c r="D81" s="953"/>
      <c r="E81" s="953"/>
      <c r="F81" s="953"/>
      <c r="G81" s="1353"/>
      <c r="H81" s="953"/>
      <c r="I81" s="1354"/>
      <c r="J81" s="1355"/>
      <c r="K81" s="1355"/>
      <c r="L81" s="1355"/>
      <c r="M81" s="1356"/>
      <c r="N81" s="1355"/>
      <c r="O81" s="1354">
        <f>O67+I67</f>
        <v>4.9164744729560717</v>
      </c>
      <c r="P81" s="1355">
        <f>P67+J67</f>
        <v>-7.8478094729560439</v>
      </c>
      <c r="Q81" s="1355">
        <f>Q67+K67</f>
        <v>-14.533029999999991</v>
      </c>
      <c r="R81" s="1355">
        <f>R67+L67</f>
        <v>-9.4121499999999827</v>
      </c>
      <c r="S81" s="1356">
        <f>S67+M67</f>
        <v>-26.876514999999934</v>
      </c>
      <c r="T81" s="1355"/>
      <c r="U81" s="1354">
        <f>U67+O67</f>
        <v>10.447409021081791</v>
      </c>
      <c r="V81" s="1355">
        <f>V67+P67</f>
        <v>3.7192863181484412</v>
      </c>
      <c r="W81" s="1355">
        <f>W67+Q67</f>
        <v>-6.3203099999999584</v>
      </c>
      <c r="X81" s="1355">
        <f>X67+R67</f>
        <v>9.4871900000000089</v>
      </c>
      <c r="Y81" s="1356">
        <f>Y67+S67</f>
        <v>-0.11761622364784685</v>
      </c>
      <c r="Z81" s="1355"/>
      <c r="AA81" s="1354">
        <f>AA67+U67</f>
        <v>-84.928309622431982</v>
      </c>
      <c r="AB81" s="1355">
        <f>AB67+V67</f>
        <v>-91.613565238088455</v>
      </c>
      <c r="AC81" s="1355">
        <f>AC67+W67</f>
        <v>-109.72261589688642</v>
      </c>
      <c r="AD81" s="1355">
        <f>AD67+X67</f>
        <v>-157.18521631610918</v>
      </c>
      <c r="AE81" s="1356">
        <f>AE67+Y67</f>
        <v>-429.90197661351726</v>
      </c>
      <c r="AF81" s="1355"/>
      <c r="AG81" s="1354">
        <f t="shared" ref="AG81:AK85" si="96">AG67+AA67</f>
        <v>-120.70907061960276</v>
      </c>
      <c r="AH81" s="1355">
        <f t="shared" si="96"/>
        <v>-136.65380593255628</v>
      </c>
      <c r="AI81" s="1355">
        <f t="shared" si="96"/>
        <v>-137.89815898203153</v>
      </c>
      <c r="AJ81" s="1355">
        <f t="shared" si="96"/>
        <v>-161.17430571872887</v>
      </c>
      <c r="AK81" s="1356">
        <f t="shared" si="96"/>
        <v>-534.65876565234453</v>
      </c>
      <c r="AL81" s="1355"/>
      <c r="AM81" s="1354">
        <f t="shared" ref="AM81:AQ85" si="97">AM67+AG67</f>
        <v>-26.872563567079361</v>
      </c>
      <c r="AN81" s="1355">
        <f t="shared" si="97"/>
        <v>-29.814188800993115</v>
      </c>
      <c r="AO81" s="1355">
        <f t="shared" si="97"/>
        <v>-15.57812322498874</v>
      </c>
      <c r="AP81" s="1355">
        <f t="shared" si="97"/>
        <v>25.196916441342601</v>
      </c>
      <c r="AQ81" s="1356">
        <f t="shared" si="97"/>
        <v>-56.257269347128627</v>
      </c>
      <c r="AR81" s="1355"/>
      <c r="AS81" s="1354">
        <f t="shared" ref="AS81:AS92" si="98">AS67+AM67</f>
        <v>4.0376354598080226</v>
      </c>
      <c r="AT81" s="1355">
        <f t="shared" ref="AT81:AT92" si="99">AT67+AN67</f>
        <v>4.9759893806047062</v>
      </c>
      <c r="AU81" s="1355">
        <f t="shared" ref="AU81:AU92" si="100">AU67+AO67</f>
        <v>16.931569409697715</v>
      </c>
      <c r="AV81" s="1355">
        <f t="shared" ref="AV81:AV92" si="101">AV67+AP67</f>
        <v>21.419415081999517</v>
      </c>
      <c r="AW81" s="1356">
        <f t="shared" ref="AW81:AW92" si="102">AW67+AQ67</f>
        <v>47.51956988820038</v>
      </c>
      <c r="AX81" s="1355"/>
      <c r="AY81" s="1354">
        <f t="shared" ref="AY81:AY92" si="103">AY67+AS67</f>
        <v>6.1113091362245253</v>
      </c>
      <c r="AZ81" s="1355">
        <f t="shared" ref="AZ81:AZ92" si="104">AZ67+AT67</f>
        <v>7.2130204305818078</v>
      </c>
      <c r="BA81" s="1355">
        <f t="shared" ref="BA81:BA92" si="105">BA67+AU67</f>
        <v>9.2700879381031118</v>
      </c>
      <c r="BB81" s="1355">
        <f t="shared" ref="BB81:BB92" si="106">BB67+AV67</f>
        <v>12.355262868838849</v>
      </c>
      <c r="BC81" s="1356">
        <f t="shared" ref="BC81:BC92" si="107">BC67+AW67</f>
        <v>35.050459341656008</v>
      </c>
      <c r="BD81" s="1355"/>
      <c r="BE81" s="1354">
        <f t="shared" ref="BE81:BE92" si="108">BE67+AY67</f>
        <v>19.174921379436675</v>
      </c>
      <c r="BF81" s="1355">
        <f t="shared" ref="BF81:BF92" si="109">BF67+AZ67</f>
        <v>23.349248676777002</v>
      </c>
      <c r="BG81" s="1355">
        <f t="shared" ref="BG81:BG92" si="110">BG67+BA67</f>
        <v>12.86470653736618</v>
      </c>
      <c r="BH81" s="1355">
        <f t="shared" ref="BH81:BH92" si="111">BH67+BB67</f>
        <v>12.102100022270202</v>
      </c>
      <c r="BI81" s="1356">
        <f t="shared" ref="BI81:BI92" si="112">BI67+BC67</f>
        <v>67.468879279246906</v>
      </c>
      <c r="BJ81" s="1355"/>
      <c r="BK81" s="1354">
        <f>BK67+BE67</f>
        <v>25.164475582650255</v>
      </c>
      <c r="BL81" s="1355">
        <f>BL67+BF67</f>
        <v>22.827455298690293</v>
      </c>
      <c r="BM81" s="1355">
        <f t="shared" ref="BM81:BM92" si="113">BM67+BG67</f>
        <v>21.661691790036027</v>
      </c>
      <c r="BN81" s="1355">
        <f t="shared" ref="BN81:BN92" si="114">BN67+BH67</f>
        <v>20.641265849721663</v>
      </c>
      <c r="BO81" s="1356">
        <f t="shared" ref="BO81:BO92" si="115">BO67+BI67</f>
        <v>90.294004117717634</v>
      </c>
      <c r="BP81" s="1355"/>
      <c r="BQ81" s="1354">
        <f t="shared" ref="BQ81:BQ92" si="116">BQ67+BK67</f>
        <v>16.478358134776713</v>
      </c>
      <c r="BR81" s="1355">
        <f t="shared" ref="BR81:BR92" si="117">BR67+BL67</f>
        <v>19.311026365472699</v>
      </c>
      <c r="BS81" s="1355">
        <f t="shared" ref="BS81:BS92" si="118">BS67+BM67</f>
        <v>19.774619025898261</v>
      </c>
      <c r="BT81" s="1355">
        <f t="shared" ref="BT81:BT92" si="119">BT67+BN67</f>
        <v>18.08616549395169</v>
      </c>
      <c r="BU81" s="1356">
        <f t="shared" ref="BU81:BU92" si="120">BU67+BO67</f>
        <v>73.649974397217278</v>
      </c>
      <c r="BV81" s="1355"/>
      <c r="BW81" s="1354">
        <f t="shared" ref="BW81:BW92" si="121">BW67+BQ67</f>
        <v>27.700925545462486</v>
      </c>
      <c r="BX81" s="1355">
        <f t="shared" ref="BX81:BX92" si="122">BX67+BR67</f>
        <v>44.216852234323959</v>
      </c>
      <c r="BY81" s="1355">
        <f t="shared" ref="BY81:BY92" si="123">BY67+BS67</f>
        <v>48.935706418087435</v>
      </c>
      <c r="BZ81" s="1355">
        <f t="shared" ref="BZ81:BZ92" si="124">BZ67+BT67</f>
        <v>47.415589579567381</v>
      </c>
      <c r="CA81" s="1356">
        <f t="shared" ref="CA81:CA92" si="125">CA67+BU67</f>
        <v>168.26881158262722</v>
      </c>
      <c r="CB81" s="1355"/>
      <c r="CC81" s="1354">
        <f t="shared" ref="CC81:CC92" si="126">CC67+BW67</f>
        <v>59.200196531090448</v>
      </c>
      <c r="CD81" s="1355">
        <f t="shared" ref="CD81:CD92" si="127">CD67+BX67</f>
        <v>72.810881108539604</v>
      </c>
      <c r="CE81" s="1355">
        <f t="shared" ref="CE81:CE92" si="128">CE67+BY67</f>
        <v>76.099728133471501</v>
      </c>
      <c r="CF81" s="1355">
        <f t="shared" ref="CF81:CF92" si="129">CF67+BZ67</f>
        <v>81.007458641459337</v>
      </c>
      <c r="CG81" s="1356">
        <f t="shared" ref="CG81:CG92" si="130">CG67+CA67</f>
        <v>289.11826441456071</v>
      </c>
      <c r="CH81" s="1355"/>
      <c r="CI81" s="1354">
        <f t="shared" ref="CI81:CI92" si="131">CI67+CC67</f>
        <v>63.079117928274016</v>
      </c>
      <c r="CJ81" s="1355">
        <f t="shared" ref="CJ81:CJ92" si="132">CJ67+CD67</f>
        <v>72.681308159120633</v>
      </c>
      <c r="CK81" s="1355">
        <f t="shared" ref="CK81:CK92" si="133">CK67+CE67</f>
        <v>75.171037687578632</v>
      </c>
      <c r="CL81" s="1355">
        <f t="shared" ref="CL81:CL92" si="134">CL67+CF67</f>
        <v>78.440025981919703</v>
      </c>
      <c r="CM81" s="1356">
        <f t="shared" ref="CM81:CM92" si="135">CM67+CG67</f>
        <v>289.37148975689303</v>
      </c>
      <c r="CR81" s="226"/>
      <c r="DF81" s="226"/>
      <c r="DG81" s="226"/>
      <c r="DH81" s="226"/>
      <c r="DI81" s="226"/>
      <c r="DJ81" s="226"/>
      <c r="DK81" s="226"/>
      <c r="DL81" s="226"/>
      <c r="DM81" s="226"/>
    </row>
    <row r="82" spans="1:117">
      <c r="A82" s="900" t="str">
        <f t="shared" si="95"/>
        <v>Screening</v>
      </c>
      <c r="B82" s="228"/>
      <c r="C82" s="418"/>
      <c r="D82" s="353"/>
      <c r="E82" s="353"/>
      <c r="F82" s="353"/>
      <c r="G82" s="865"/>
      <c r="H82" s="353"/>
      <c r="I82" s="1358"/>
      <c r="J82" s="911"/>
      <c r="K82" s="911"/>
      <c r="L82" s="911"/>
      <c r="M82" s="1359"/>
      <c r="N82" s="911"/>
      <c r="O82" s="1358"/>
      <c r="P82" s="911"/>
      <c r="Q82" s="911"/>
      <c r="R82" s="911"/>
      <c r="S82" s="1359"/>
      <c r="T82" s="911"/>
      <c r="U82" s="1358"/>
      <c r="V82" s="911"/>
      <c r="W82" s="911"/>
      <c r="X82" s="911"/>
      <c r="Y82" s="1359"/>
      <c r="Z82" s="911"/>
      <c r="AA82" s="1358"/>
      <c r="AB82" s="911"/>
      <c r="AC82" s="911"/>
      <c r="AD82" s="911"/>
      <c r="AE82" s="1359"/>
      <c r="AF82" s="911"/>
      <c r="AG82" s="1358">
        <f t="shared" si="96"/>
        <v>10.399943924000073</v>
      </c>
      <c r="AH82" s="911">
        <f t="shared" si="96"/>
        <v>6.5880986955999177</v>
      </c>
      <c r="AI82" s="911">
        <f t="shared" si="96"/>
        <v>9.38546164229599</v>
      </c>
      <c r="AJ82" s="911">
        <f t="shared" si="96"/>
        <v>1.1677957050000649</v>
      </c>
      <c r="AK82" s="1359">
        <f t="shared" si="96"/>
        <v>28.035220948175994</v>
      </c>
      <c r="AL82" s="911"/>
      <c r="AM82" s="1358">
        <f t="shared" si="97"/>
        <v>14.276369424000077</v>
      </c>
      <c r="AN82" s="911">
        <f t="shared" si="97"/>
        <v>8.2745182233999159</v>
      </c>
      <c r="AO82" s="911">
        <f t="shared" si="97"/>
        <v>11.30442931175839</v>
      </c>
      <c r="AP82" s="911">
        <f t="shared" si="97"/>
        <v>6.8675919050000651</v>
      </c>
      <c r="AQ82" s="1359">
        <f t="shared" si="97"/>
        <v>41.199828688928037</v>
      </c>
      <c r="AR82" s="911"/>
      <c r="AS82" s="1358">
        <f t="shared" si="98"/>
        <v>4.3602034024000043</v>
      </c>
      <c r="AT82" s="911">
        <f t="shared" si="99"/>
        <v>2.1687515738891583</v>
      </c>
      <c r="AU82" s="911">
        <f t="shared" si="100"/>
        <v>14.397054940141663</v>
      </c>
      <c r="AV82" s="911">
        <f t="shared" si="101"/>
        <v>16.677603681200001</v>
      </c>
      <c r="AW82" s="1359">
        <f t="shared" si="102"/>
        <v>37.66146766713284</v>
      </c>
      <c r="AX82" s="911"/>
      <c r="AY82" s="1358">
        <f t="shared" si="103"/>
        <v>7.7028730213136081</v>
      </c>
      <c r="AZ82" s="911">
        <f t="shared" si="104"/>
        <v>5.9372622337747991</v>
      </c>
      <c r="BA82" s="911">
        <f t="shared" si="105"/>
        <v>13.416798280388532</v>
      </c>
      <c r="BB82" s="911">
        <f t="shared" si="106"/>
        <v>17.910978330223962</v>
      </c>
      <c r="BC82" s="1359">
        <f t="shared" si="107"/>
        <v>45.473039787597045</v>
      </c>
      <c r="BD82" s="911"/>
      <c r="BE82" s="1358">
        <f t="shared" si="108"/>
        <v>21.364634160009217</v>
      </c>
      <c r="BF82" s="911">
        <f t="shared" si="109"/>
        <v>22.163259480440985</v>
      </c>
      <c r="BG82" s="911">
        <f t="shared" si="110"/>
        <v>16.340597805055399</v>
      </c>
      <c r="BH82" s="911">
        <f t="shared" si="111"/>
        <v>22.15691967797234</v>
      </c>
      <c r="BI82" s="1359">
        <f t="shared" si="112"/>
        <v>82.784240022617439</v>
      </c>
      <c r="BJ82" s="911"/>
      <c r="BK82" s="1358">
        <f t="shared" ref="BK82:BK92" si="136">BK68+BE68</f>
        <v>24.133742870154961</v>
      </c>
      <c r="BL82" s="911">
        <f t="shared" ref="BL82:BL92" si="137">BL68+BF68</f>
        <v>18.272913431227078</v>
      </c>
      <c r="BM82" s="911">
        <f t="shared" si="113"/>
        <v>15.944512395268008</v>
      </c>
      <c r="BN82" s="911">
        <f t="shared" si="114"/>
        <v>18.497767980195583</v>
      </c>
      <c r="BO82" s="1359">
        <f t="shared" si="115"/>
        <v>77.748593731718643</v>
      </c>
      <c r="BP82" s="911"/>
      <c r="BQ82" s="1358">
        <f t="shared" si="116"/>
        <v>12.453376915307583</v>
      </c>
      <c r="BR82" s="911">
        <f t="shared" si="117"/>
        <v>11.696177033625174</v>
      </c>
      <c r="BS82" s="911">
        <f t="shared" si="118"/>
        <v>10.39786560917414</v>
      </c>
      <c r="BT82" s="911">
        <f t="shared" si="119"/>
        <v>20.216604164789803</v>
      </c>
      <c r="BU82" s="1359">
        <f t="shared" si="120"/>
        <v>54.190603962840456</v>
      </c>
      <c r="BV82" s="911"/>
      <c r="BW82" s="1358">
        <f t="shared" si="121"/>
        <v>10.054096347747812</v>
      </c>
      <c r="BX82" s="911">
        <f t="shared" si="122"/>
        <v>18.109098221952525</v>
      </c>
      <c r="BY82" s="911">
        <f t="shared" si="123"/>
        <v>18.434243155716338</v>
      </c>
      <c r="BZ82" s="911">
        <f t="shared" si="124"/>
        <v>26.725202989837179</v>
      </c>
      <c r="CA82" s="1359">
        <f t="shared" si="125"/>
        <v>72.178120103580355</v>
      </c>
      <c r="CB82" s="911"/>
      <c r="CC82" s="1358">
        <f t="shared" si="126"/>
        <v>15.709071151304133</v>
      </c>
      <c r="CD82" s="911">
        <f t="shared" si="127"/>
        <v>16.513436026474107</v>
      </c>
      <c r="CE82" s="911">
        <f t="shared" si="128"/>
        <v>17.758536513180637</v>
      </c>
      <c r="CF82" s="911">
        <f t="shared" si="129"/>
        <v>20.250019210929789</v>
      </c>
      <c r="CG82" s="1359">
        <f t="shared" si="130"/>
        <v>70.231062901888606</v>
      </c>
      <c r="CH82" s="911"/>
      <c r="CI82" s="1358">
        <f t="shared" si="131"/>
        <v>16.808706131895427</v>
      </c>
      <c r="CJ82" s="911">
        <f t="shared" si="132"/>
        <v>17.669376548327296</v>
      </c>
      <c r="CK82" s="911">
        <f t="shared" si="133"/>
        <v>19.001634069103282</v>
      </c>
      <c r="CL82" s="911">
        <f t="shared" si="134"/>
        <v>21.667520555694878</v>
      </c>
      <c r="CM82" s="1359">
        <f t="shared" si="135"/>
        <v>75.147237305020823</v>
      </c>
      <c r="DF82" s="833"/>
      <c r="DG82" s="833"/>
      <c r="DH82" s="833"/>
      <c r="DI82" s="833"/>
      <c r="DJ82" s="833"/>
      <c r="DK82" s="833"/>
      <c r="DL82" s="833"/>
      <c r="DM82" s="833"/>
    </row>
    <row r="83" spans="1:117">
      <c r="A83" s="1803" t="str">
        <f t="shared" si="95"/>
        <v>Cord Blood Banking</v>
      </c>
      <c r="B83" s="228"/>
      <c r="C83" s="418"/>
      <c r="D83" s="353"/>
      <c r="E83" s="353"/>
      <c r="F83" s="353"/>
      <c r="G83" s="865"/>
      <c r="H83" s="353"/>
      <c r="I83" s="1358"/>
      <c r="J83" s="911"/>
      <c r="K83" s="911"/>
      <c r="L83" s="911"/>
      <c r="M83" s="1359"/>
      <c r="N83" s="911"/>
      <c r="O83" s="1358"/>
      <c r="P83" s="911"/>
      <c r="Q83" s="911"/>
      <c r="R83" s="911"/>
      <c r="S83" s="1359"/>
      <c r="T83" s="911"/>
      <c r="U83" s="1358"/>
      <c r="V83" s="911"/>
      <c r="W83" s="911"/>
      <c r="X83" s="911"/>
      <c r="Y83" s="1359"/>
      <c r="Z83" s="911"/>
      <c r="AA83" s="1358"/>
      <c r="AB83" s="911"/>
      <c r="AC83" s="911"/>
      <c r="AD83" s="911"/>
      <c r="AE83" s="1359"/>
      <c r="AF83" s="911"/>
      <c r="AG83" s="1358">
        <f t="shared" si="96"/>
        <v>1.08</v>
      </c>
      <c r="AH83" s="911">
        <f t="shared" si="96"/>
        <v>1.0710000000000002</v>
      </c>
      <c r="AI83" s="911">
        <f t="shared" si="96"/>
        <v>0.66300000000000003</v>
      </c>
      <c r="AJ83" s="911">
        <f t="shared" si="96"/>
        <v>0.13499999999999998</v>
      </c>
      <c r="AK83" s="1359">
        <f t="shared" si="96"/>
        <v>2.9839999999999951</v>
      </c>
      <c r="AL83" s="911"/>
      <c r="AM83" s="1358">
        <f t="shared" si="97"/>
        <v>0.81540000000000001</v>
      </c>
      <c r="AN83" s="911">
        <f t="shared" si="97"/>
        <v>1.3043100000000001</v>
      </c>
      <c r="AO83" s="911">
        <f t="shared" si="97"/>
        <v>0.90338000000000007</v>
      </c>
      <c r="AP83" s="911">
        <f t="shared" si="97"/>
        <v>-0.48</v>
      </c>
      <c r="AQ83" s="1359">
        <f t="shared" si="97"/>
        <v>2.555446608897876</v>
      </c>
      <c r="AR83" s="911"/>
      <c r="AS83" s="1358">
        <f t="shared" si="98"/>
        <v>-0.98400960000000004</v>
      </c>
      <c r="AT83" s="911">
        <f t="shared" si="99"/>
        <v>1.4925731519999998</v>
      </c>
      <c r="AU83" s="911">
        <f t="shared" si="100"/>
        <v>0.46582210000000007</v>
      </c>
      <c r="AV83" s="911">
        <f t="shared" si="101"/>
        <v>1.3989</v>
      </c>
      <c r="AW83" s="1359">
        <f t="shared" si="102"/>
        <v>2.5196804639419881</v>
      </c>
      <c r="AX83" s="911"/>
      <c r="AY83" s="1358">
        <f t="shared" si="103"/>
        <v>-0.89058384436009141</v>
      </c>
      <c r="AZ83" s="911">
        <f t="shared" si="104"/>
        <v>2.277670891143635</v>
      </c>
      <c r="BA83" s="911">
        <f t="shared" si="105"/>
        <v>-2.3826186971137253</v>
      </c>
      <c r="BB83" s="911">
        <f t="shared" si="106"/>
        <v>0.72449593247953814</v>
      </c>
      <c r="BC83" s="1359">
        <f t="shared" si="107"/>
        <v>-0.64686013237496498</v>
      </c>
      <c r="BD83" s="911"/>
      <c r="BE83" s="1358">
        <f t="shared" si="108"/>
        <v>0.27615343054394159</v>
      </c>
      <c r="BF83" s="911">
        <f t="shared" si="109"/>
        <v>0.94988015150225469</v>
      </c>
      <c r="BG83" s="911">
        <f t="shared" si="110"/>
        <v>-1.757139278754118</v>
      </c>
      <c r="BH83" s="911">
        <f t="shared" si="111"/>
        <v>-0.7829607242380423</v>
      </c>
      <c r="BI83" s="1359">
        <f t="shared" si="112"/>
        <v>-1.5957360575516151</v>
      </c>
      <c r="BJ83" s="911"/>
      <c r="BK83" s="1358">
        <f t="shared" si="136"/>
        <v>0.58049003614239292</v>
      </c>
      <c r="BL83" s="911">
        <f t="shared" si="137"/>
        <v>0.4882597300370648</v>
      </c>
      <c r="BM83" s="911">
        <f t="shared" si="113"/>
        <v>0.57003643759928424</v>
      </c>
      <c r="BN83" s="911">
        <f t="shared" si="114"/>
        <v>0.25233323886833092</v>
      </c>
      <c r="BO83" s="1359">
        <f t="shared" si="115"/>
        <v>1.9369986356291764</v>
      </c>
      <c r="BP83" s="911"/>
      <c r="BQ83" s="1358">
        <f t="shared" si="116"/>
        <v>-0.70273759338186914</v>
      </c>
      <c r="BR83" s="911">
        <f t="shared" si="117"/>
        <v>-0.33463020027848278</v>
      </c>
      <c r="BS83" s="911">
        <f t="shared" si="118"/>
        <v>-0.90695420419939199</v>
      </c>
      <c r="BT83" s="911">
        <f t="shared" si="119"/>
        <v>-0.56485508032869158</v>
      </c>
      <c r="BU83" s="1359">
        <f t="shared" si="120"/>
        <v>-2.5894309621636453</v>
      </c>
      <c r="BV83" s="911"/>
      <c r="BW83" s="1358">
        <f t="shared" si="121"/>
        <v>-1.3221815603047973</v>
      </c>
      <c r="BX83" s="911">
        <f t="shared" si="122"/>
        <v>-1.5396343139907009</v>
      </c>
      <c r="BY83" s="911">
        <f t="shared" si="123"/>
        <v>-1.0518317721705057</v>
      </c>
      <c r="BZ83" s="911">
        <f t="shared" si="124"/>
        <v>-0.72994194482971109</v>
      </c>
      <c r="CA83" s="1359">
        <f t="shared" si="125"/>
        <v>-4.5065296872902456</v>
      </c>
      <c r="CB83" s="911"/>
      <c r="CC83" s="1358">
        <f t="shared" si="126"/>
        <v>-0.17181950067521418</v>
      </c>
      <c r="CD83" s="911">
        <f t="shared" si="127"/>
        <v>-0.22903660126526654</v>
      </c>
      <c r="CE83" s="911">
        <f t="shared" si="128"/>
        <v>-0.15043613588510762</v>
      </c>
      <c r="CF83" s="911">
        <f t="shared" si="129"/>
        <v>-0.14811626235000497</v>
      </c>
      <c r="CG83" s="1359">
        <f t="shared" si="130"/>
        <v>-0.69940850017558631</v>
      </c>
      <c r="CH83" s="911"/>
      <c r="CI83" s="1358">
        <f t="shared" si="131"/>
        <v>0.63521345211889546</v>
      </c>
      <c r="CJ83" s="911">
        <f t="shared" si="132"/>
        <v>0.84674399343238338</v>
      </c>
      <c r="CK83" s="911">
        <f t="shared" si="133"/>
        <v>0.55615955594958488</v>
      </c>
      <c r="CL83" s="911">
        <f t="shared" si="134"/>
        <v>0.54758302726150876</v>
      </c>
      <c r="CM83" s="1359">
        <f t="shared" si="135"/>
        <v>2.5857000287623748</v>
      </c>
    </row>
    <row r="84" spans="1:117">
      <c r="A84" s="1803" t="str">
        <f t="shared" si="95"/>
        <v>Medical Imaging</v>
      </c>
      <c r="B84" s="228"/>
      <c r="C84" s="418"/>
      <c r="D84" s="353"/>
      <c r="E84" s="353"/>
      <c r="F84" s="353"/>
      <c r="G84" s="865"/>
      <c r="H84" s="353"/>
      <c r="I84" s="1358"/>
      <c r="J84" s="911"/>
      <c r="K84" s="911"/>
      <c r="L84" s="911"/>
      <c r="M84" s="1359"/>
      <c r="N84" s="911"/>
      <c r="O84" s="1358"/>
      <c r="P84" s="911"/>
      <c r="Q84" s="911"/>
      <c r="R84" s="911"/>
      <c r="S84" s="1359"/>
      <c r="T84" s="911"/>
      <c r="U84" s="1358"/>
      <c r="V84" s="911"/>
      <c r="W84" s="911"/>
      <c r="X84" s="911"/>
      <c r="Y84" s="1359"/>
      <c r="Z84" s="911"/>
      <c r="AA84" s="1358"/>
      <c r="AB84" s="911"/>
      <c r="AC84" s="911"/>
      <c r="AD84" s="911"/>
      <c r="AE84" s="1359"/>
      <c r="AF84" s="911"/>
      <c r="AG84" s="1358">
        <f t="shared" si="96"/>
        <v>6.3000000000000007</v>
      </c>
      <c r="AH84" s="911">
        <f t="shared" si="96"/>
        <v>5.7379999999999995</v>
      </c>
      <c r="AI84" s="911">
        <f t="shared" si="96"/>
        <v>7.3203603677039926</v>
      </c>
      <c r="AJ84" s="911">
        <f t="shared" si="96"/>
        <v>7.1550000000000002</v>
      </c>
      <c r="AK84" s="1359">
        <f t="shared" si="96"/>
        <v>26.827881027823981</v>
      </c>
      <c r="AL84" s="911"/>
      <c r="AM84" s="1358">
        <f t="shared" si="97"/>
        <v>8.7570000000000014</v>
      </c>
      <c r="AN84" s="911">
        <f t="shared" si="97"/>
        <v>3.755539999999999</v>
      </c>
      <c r="AO84" s="911">
        <f t="shared" si="97"/>
        <v>2.4597172776896565</v>
      </c>
      <c r="AP84" s="911">
        <f t="shared" si="97"/>
        <v>10.26</v>
      </c>
      <c r="AQ84" s="1359">
        <f t="shared" si="97"/>
        <v>25.574284307397576</v>
      </c>
      <c r="AR84" s="911"/>
      <c r="AS84" s="1358">
        <f t="shared" si="98"/>
        <v>2.2420125</v>
      </c>
      <c r="AT84" s="911">
        <f t="shared" si="99"/>
        <v>1.0188578999999998</v>
      </c>
      <c r="AU84" s="911">
        <f t="shared" si="100"/>
        <v>0.26109796892857684</v>
      </c>
      <c r="AV84" s="911">
        <f t="shared" si="101"/>
        <v>0.91079999999999917</v>
      </c>
      <c r="AW84" s="1359">
        <f t="shared" si="102"/>
        <v>4.2581358666571711</v>
      </c>
      <c r="AX84" s="911"/>
      <c r="AY84" s="1358">
        <f t="shared" si="103"/>
        <v>2.0952681749999997</v>
      </c>
      <c r="AZ84" s="911">
        <f t="shared" si="104"/>
        <v>1.9626775800000003</v>
      </c>
      <c r="BA84" s="911">
        <f t="shared" si="105"/>
        <v>3.7111631935291265</v>
      </c>
      <c r="BB84" s="911">
        <f t="shared" si="106"/>
        <v>0.64258059928724132</v>
      </c>
      <c r="BC84" s="1359">
        <f t="shared" si="107"/>
        <v>8.0709388533122475</v>
      </c>
      <c r="BD84" s="911"/>
      <c r="BE84" s="1358">
        <f t="shared" si="108"/>
        <v>0.61606818000000008</v>
      </c>
      <c r="BF84" s="911">
        <f t="shared" si="109"/>
        <v>-3.840520319757236</v>
      </c>
      <c r="BG84" s="911">
        <f t="shared" si="110"/>
        <v>-8.57141975979515</v>
      </c>
      <c r="BH84" s="911">
        <f t="shared" si="111"/>
        <v>2.8367805992872417</v>
      </c>
      <c r="BI84" s="1359">
        <f t="shared" si="112"/>
        <v>-13.49481842856734</v>
      </c>
      <c r="BJ84" s="911"/>
      <c r="BK84" s="1358">
        <f t="shared" si="136"/>
        <v>-1.6941874949999995</v>
      </c>
      <c r="BL84" s="911">
        <f t="shared" si="137"/>
        <v>-2.8018799997572361</v>
      </c>
      <c r="BM84" s="911">
        <f t="shared" si="113"/>
        <v>-7.1608418943813641</v>
      </c>
      <c r="BN84" s="911">
        <f t="shared" si="114"/>
        <v>0</v>
      </c>
      <c r="BO84" s="1359">
        <f t="shared" si="115"/>
        <v>-16.054024694796013</v>
      </c>
      <c r="BP84" s="911"/>
      <c r="BQ84" s="1358">
        <f t="shared" si="116"/>
        <v>0</v>
      </c>
      <c r="BR84" s="911">
        <f t="shared" si="117"/>
        <v>0</v>
      </c>
      <c r="BS84" s="911">
        <f t="shared" si="118"/>
        <v>0</v>
      </c>
      <c r="BT84" s="911">
        <f t="shared" si="119"/>
        <v>0</v>
      </c>
      <c r="BU84" s="1359">
        <f t="shared" si="120"/>
        <v>0</v>
      </c>
      <c r="BV84" s="911"/>
      <c r="BW84" s="1358">
        <f t="shared" si="121"/>
        <v>0</v>
      </c>
      <c r="BX84" s="911">
        <f t="shared" si="122"/>
        <v>0</v>
      </c>
      <c r="BY84" s="911">
        <f t="shared" si="123"/>
        <v>0</v>
      </c>
      <c r="BZ84" s="911">
        <f t="shared" si="124"/>
        <v>0</v>
      </c>
      <c r="CA84" s="1359">
        <f t="shared" si="125"/>
        <v>0</v>
      </c>
      <c r="CB84" s="911"/>
      <c r="CC84" s="1358">
        <f t="shared" si="126"/>
        <v>0</v>
      </c>
      <c r="CD84" s="911">
        <f t="shared" si="127"/>
        <v>0</v>
      </c>
      <c r="CE84" s="911">
        <f t="shared" si="128"/>
        <v>0</v>
      </c>
      <c r="CF84" s="911">
        <f t="shared" si="129"/>
        <v>0</v>
      </c>
      <c r="CG84" s="1359">
        <f t="shared" si="130"/>
        <v>0</v>
      </c>
      <c r="CH84" s="911"/>
      <c r="CI84" s="1358">
        <f t="shared" si="131"/>
        <v>0</v>
      </c>
      <c r="CJ84" s="911">
        <f t="shared" si="132"/>
        <v>0</v>
      </c>
      <c r="CK84" s="911">
        <f t="shared" si="133"/>
        <v>0</v>
      </c>
      <c r="CL84" s="911">
        <f t="shared" si="134"/>
        <v>0</v>
      </c>
      <c r="CM84" s="1359">
        <f t="shared" si="135"/>
        <v>0</v>
      </c>
      <c r="CR84" s="833"/>
    </row>
    <row r="85" spans="1:117">
      <c r="A85" s="1803" t="str">
        <f t="shared" si="95"/>
        <v>Caliper</v>
      </c>
      <c r="B85" s="228"/>
      <c r="C85" s="418"/>
      <c r="D85" s="353"/>
      <c r="E85" s="353"/>
      <c r="F85" s="353"/>
      <c r="G85" s="865"/>
      <c r="H85" s="353"/>
      <c r="I85" s="1358"/>
      <c r="J85" s="911"/>
      <c r="K85" s="911"/>
      <c r="L85" s="911"/>
      <c r="M85" s="1359"/>
      <c r="N85" s="911"/>
      <c r="O85" s="1358"/>
      <c r="P85" s="911"/>
      <c r="Q85" s="911"/>
      <c r="R85" s="911"/>
      <c r="S85" s="1359"/>
      <c r="T85" s="911"/>
      <c r="U85" s="1358"/>
      <c r="V85" s="911"/>
      <c r="W85" s="911"/>
      <c r="X85" s="911"/>
      <c r="Y85" s="1359"/>
      <c r="Z85" s="911"/>
      <c r="AA85" s="1358"/>
      <c r="AB85" s="911"/>
      <c r="AC85" s="911"/>
      <c r="AD85" s="911"/>
      <c r="AE85" s="1359"/>
      <c r="AF85" s="911"/>
      <c r="AG85" s="1358">
        <f t="shared" si="96"/>
        <v>4.9382000000000019</v>
      </c>
      <c r="AH85" s="911">
        <f t="shared" si="96"/>
        <v>3.2309809999999972</v>
      </c>
      <c r="AI85" s="911">
        <f t="shared" si="96"/>
        <v>1.3737719999999973</v>
      </c>
      <c r="AJ85" s="911">
        <f t="shared" si="96"/>
        <v>10.681639999999998</v>
      </c>
      <c r="AK85" s="1359">
        <f t="shared" si="96"/>
        <v>20.354535999999989</v>
      </c>
      <c r="AL85" s="911"/>
      <c r="AM85" s="1358">
        <f t="shared" si="97"/>
        <v>1.9082000000000017</v>
      </c>
      <c r="AN85" s="911">
        <f t="shared" si="97"/>
        <v>3.5509809999999971</v>
      </c>
      <c r="AO85" s="911">
        <f t="shared" si="97"/>
        <v>1.8952759199999973</v>
      </c>
      <c r="AP85" s="911">
        <f t="shared" si="97"/>
        <v>13.579824799999997</v>
      </c>
      <c r="AQ85" s="1359">
        <f t="shared" si="97"/>
        <v>21.048442695900714</v>
      </c>
      <c r="AR85" s="911"/>
      <c r="AS85" s="1358">
        <f t="shared" si="98"/>
        <v>-2.6233740000000001</v>
      </c>
      <c r="AT85" s="911">
        <f t="shared" si="99"/>
        <v>-1.4528199999999998</v>
      </c>
      <c r="AU85" s="911">
        <f t="shared" si="100"/>
        <v>0.25814444040000006</v>
      </c>
      <c r="AV85" s="911">
        <f t="shared" si="101"/>
        <v>5.4676326383999996</v>
      </c>
      <c r="AW85" s="1359">
        <f t="shared" si="102"/>
        <v>1.6045759635263916</v>
      </c>
      <c r="AX85" s="911"/>
      <c r="AY85" s="1358">
        <f t="shared" si="103"/>
        <v>1.6772952839999999</v>
      </c>
      <c r="AZ85" s="911">
        <f t="shared" si="104"/>
        <v>1.1632271999999997</v>
      </c>
      <c r="BA85" s="911">
        <f t="shared" si="105"/>
        <v>1.2280076305919998</v>
      </c>
      <c r="BB85" s="911">
        <f t="shared" si="106"/>
        <v>0.54771839611010886</v>
      </c>
      <c r="BC85" s="1359">
        <f t="shared" si="107"/>
        <v>5.1040511947563569</v>
      </c>
      <c r="BD85" s="911"/>
      <c r="BE85" s="1358">
        <f t="shared" si="108"/>
        <v>0.32408256800041213</v>
      </c>
      <c r="BF85" s="911">
        <f t="shared" si="109"/>
        <v>3.2349599999986407</v>
      </c>
      <c r="BG85" s="911">
        <f t="shared" si="110"/>
        <v>-6.7857203513736142E-2</v>
      </c>
      <c r="BH85" s="911">
        <f t="shared" si="111"/>
        <v>-6.4073516145206124</v>
      </c>
      <c r="BI85" s="1359">
        <f t="shared" si="112"/>
        <v>-2.2269187244724211</v>
      </c>
      <c r="BJ85" s="911"/>
      <c r="BK85" s="1358">
        <f t="shared" si="136"/>
        <v>0.36920478096727061</v>
      </c>
      <c r="BL85" s="911">
        <f t="shared" si="137"/>
        <v>2.4456152689964705</v>
      </c>
      <c r="BM85" s="911">
        <f t="shared" si="113"/>
        <v>4.7390911671326901</v>
      </c>
      <c r="BN85" s="911">
        <f t="shared" si="114"/>
        <v>1.8181887809360262</v>
      </c>
      <c r="BO85" s="1359">
        <f t="shared" si="115"/>
        <v>9.6923083695815073</v>
      </c>
      <c r="BP85" s="911"/>
      <c r="BQ85" s="1358">
        <f t="shared" si="116"/>
        <v>0.94047482480898248</v>
      </c>
      <c r="BR85" s="911">
        <f t="shared" si="117"/>
        <v>2.5315711676665495</v>
      </c>
      <c r="BS85" s="911">
        <f t="shared" si="118"/>
        <v>6.6177801532953184</v>
      </c>
      <c r="BT85" s="911">
        <f t="shared" si="119"/>
        <v>6.1261702173610271</v>
      </c>
      <c r="BU85" s="1359">
        <f t="shared" si="120"/>
        <v>16.358628980185497</v>
      </c>
      <c r="BV85" s="911"/>
      <c r="BW85" s="1358">
        <f t="shared" si="121"/>
        <v>-1.2020961792714224E-2</v>
      </c>
      <c r="BX85" s="911">
        <f t="shared" si="122"/>
        <v>0.79911322506636284</v>
      </c>
      <c r="BY85" s="911">
        <f t="shared" si="123"/>
        <v>0.74120822841137701</v>
      </c>
      <c r="BZ85" s="911">
        <f t="shared" si="124"/>
        <v>0.35518328418265732</v>
      </c>
      <c r="CA85" s="1359">
        <f t="shared" si="125"/>
        <v>1.878127771706545</v>
      </c>
      <c r="CB85" s="911"/>
      <c r="CC85" s="1358">
        <f t="shared" si="126"/>
        <v>0.73022437783397542</v>
      </c>
      <c r="CD85" s="911">
        <f t="shared" si="127"/>
        <v>0.83263149805926151</v>
      </c>
      <c r="CE85" s="911">
        <f t="shared" si="128"/>
        <v>0.84770454746851409</v>
      </c>
      <c r="CF85" s="911">
        <f t="shared" si="129"/>
        <v>0.8699762801766393</v>
      </c>
      <c r="CG85" s="1359">
        <f t="shared" si="130"/>
        <v>3.2805367035384294</v>
      </c>
      <c r="CH85" s="911"/>
      <c r="CI85" s="1358">
        <f t="shared" si="131"/>
        <v>0.73752662161231508</v>
      </c>
      <c r="CJ85" s="911">
        <f t="shared" si="132"/>
        <v>0.84095781303985429</v>
      </c>
      <c r="CK85" s="911">
        <f t="shared" si="133"/>
        <v>0.85618159294319929</v>
      </c>
      <c r="CL85" s="911">
        <f t="shared" si="134"/>
        <v>0.87867604297840574</v>
      </c>
      <c r="CM85" s="1359">
        <f t="shared" si="135"/>
        <v>3.3133420705738135</v>
      </c>
      <c r="CR85" s="94"/>
      <c r="CS85" s="833"/>
      <c r="CT85" s="833"/>
      <c r="CU85" s="833"/>
      <c r="CV85" s="833"/>
      <c r="CW85" s="833"/>
      <c r="CX85" s="833"/>
      <c r="CY85" s="833"/>
      <c r="CZ85" s="833"/>
      <c r="DA85" s="833"/>
      <c r="DB85" s="833"/>
      <c r="DC85" s="833"/>
      <c r="DD85" s="833"/>
      <c r="DE85" s="833"/>
    </row>
    <row r="86" spans="1:117">
      <c r="A86" s="1806" t="str">
        <f t="shared" si="95"/>
        <v>Discovery &amp; Analytical</v>
      </c>
      <c r="B86" s="1807"/>
      <c r="C86" s="1808"/>
      <c r="D86" s="1809"/>
      <c r="E86" s="1809"/>
      <c r="F86" s="1809"/>
      <c r="G86" s="1810"/>
      <c r="H86" s="1809"/>
      <c r="I86" s="1811"/>
      <c r="J86" s="1812"/>
      <c r="K86" s="1812"/>
      <c r="L86" s="1812"/>
      <c r="M86" s="1813"/>
      <c r="N86" s="1812"/>
      <c r="O86" s="1811"/>
      <c r="P86" s="1812"/>
      <c r="Q86" s="1812"/>
      <c r="R86" s="1812"/>
      <c r="S86" s="1813"/>
      <c r="T86" s="1812"/>
      <c r="U86" s="1811"/>
      <c r="V86" s="1812"/>
      <c r="W86" s="1812"/>
      <c r="X86" s="1812"/>
      <c r="Y86" s="1813"/>
      <c r="Z86" s="1812"/>
      <c r="AA86" s="1811"/>
      <c r="AB86" s="1812"/>
      <c r="AC86" s="1812"/>
      <c r="AD86" s="1812"/>
      <c r="AE86" s="1813"/>
      <c r="AF86" s="1812"/>
      <c r="AG86" s="1811"/>
      <c r="AH86" s="1812"/>
      <c r="AI86" s="1812"/>
      <c r="AJ86" s="1812"/>
      <c r="AK86" s="1813"/>
      <c r="AL86" s="1812"/>
      <c r="AM86" s="1811"/>
      <c r="AN86" s="1812"/>
      <c r="AO86" s="1812"/>
      <c r="AP86" s="1812"/>
      <c r="AQ86" s="1813"/>
      <c r="AR86" s="1812"/>
      <c r="AS86" s="1811">
        <f t="shared" si="98"/>
        <v>5.9480080610742228</v>
      </c>
      <c r="AT86" s="1812">
        <f t="shared" si="99"/>
        <v>8.6125442272506358</v>
      </c>
      <c r="AU86" s="1812">
        <f t="shared" si="100"/>
        <v>22.619037069893785</v>
      </c>
      <c r="AV86" s="1812">
        <f t="shared" si="101"/>
        <v>38.247380999352622</v>
      </c>
      <c r="AW86" s="1813">
        <f t="shared" si="102"/>
        <v>75.426613387605812</v>
      </c>
      <c r="AX86" s="1812"/>
      <c r="AY86" s="1811">
        <f t="shared" si="103"/>
        <v>36.309831490291671</v>
      </c>
      <c r="AZ86" s="1812">
        <f t="shared" si="104"/>
        <v>25.450374550925481</v>
      </c>
      <c r="BA86" s="1812">
        <f t="shared" si="105"/>
        <v>38.593496209225435</v>
      </c>
      <c r="BB86" s="1812">
        <f t="shared" si="106"/>
        <v>47.730080767961013</v>
      </c>
      <c r="BC86" s="1813">
        <f t="shared" si="107"/>
        <v>148.07442604843783</v>
      </c>
      <c r="BD86" s="1812"/>
      <c r="BE86" s="1811">
        <f t="shared" si="108"/>
        <v>33.772776755668545</v>
      </c>
      <c r="BF86" s="1812">
        <f t="shared" si="109"/>
        <v>25.398619166274813</v>
      </c>
      <c r="BG86" s="1812">
        <f t="shared" si="110"/>
        <v>24.280158375331624</v>
      </c>
      <c r="BH86" s="1812">
        <f t="shared" si="111"/>
        <v>6.8593477686085249</v>
      </c>
      <c r="BI86" s="1813">
        <f t="shared" si="112"/>
        <v>90.310019333814168</v>
      </c>
      <c r="BJ86" s="1812"/>
      <c r="BK86" s="1811">
        <f t="shared" si="136"/>
        <v>21.031266380698657</v>
      </c>
      <c r="BL86" s="1812">
        <f t="shared" si="137"/>
        <v>10.168350074852022</v>
      </c>
      <c r="BM86" s="1812">
        <f t="shared" si="113"/>
        <v>14.070138000000014</v>
      </c>
      <c r="BN86" s="1812">
        <f t="shared" si="114"/>
        <v>20.960387999999977</v>
      </c>
      <c r="BO86" s="1813">
        <f t="shared" si="115"/>
        <v>66.229259723481675</v>
      </c>
      <c r="BP86" s="1812"/>
      <c r="BQ86" s="1811">
        <f t="shared" si="116"/>
        <v>23.222986860562511</v>
      </c>
      <c r="BR86" s="1812">
        <f t="shared" si="117"/>
        <v>29.109804783025488</v>
      </c>
      <c r="BS86" s="1812">
        <f t="shared" si="118"/>
        <v>31.350725538824477</v>
      </c>
      <c r="BT86" s="1812">
        <f t="shared" si="119"/>
        <v>42.353007899528635</v>
      </c>
      <c r="BU86" s="1813">
        <f t="shared" si="120"/>
        <v>126.03652508194125</v>
      </c>
      <c r="BV86" s="1812"/>
      <c r="BW86" s="1811">
        <f t="shared" si="121"/>
        <v>34.114851394462391</v>
      </c>
      <c r="BX86" s="1812">
        <f t="shared" si="122"/>
        <v>38.169166799381458</v>
      </c>
      <c r="BY86" s="1812">
        <f t="shared" si="123"/>
        <v>34.224821161855822</v>
      </c>
      <c r="BZ86" s="1812">
        <f t="shared" si="124"/>
        <v>35.266608929216432</v>
      </c>
      <c r="CA86" s="1813">
        <f t="shared" si="125"/>
        <v>141.7754482849158</v>
      </c>
      <c r="CB86" s="1812"/>
      <c r="CC86" s="1811">
        <f t="shared" si="126"/>
        <v>28.367123413674499</v>
      </c>
      <c r="CD86" s="1812">
        <f t="shared" si="127"/>
        <v>29.778692347557111</v>
      </c>
      <c r="CE86" s="1812">
        <f t="shared" si="128"/>
        <v>28.295099969044998</v>
      </c>
      <c r="CF86" s="1812">
        <f t="shared" si="129"/>
        <v>32.74206881844438</v>
      </c>
      <c r="CG86" s="1813">
        <f t="shared" si="130"/>
        <v>119.18298454872104</v>
      </c>
      <c r="CH86" s="1812"/>
      <c r="CI86" s="1811">
        <f t="shared" si="131"/>
        <v>22.925889428314242</v>
      </c>
      <c r="CJ86" s="1812">
        <f t="shared" si="132"/>
        <v>24.146387075680998</v>
      </c>
      <c r="CK86" s="1812">
        <f t="shared" si="133"/>
        <v>22.891722658175478</v>
      </c>
      <c r="CL86" s="1812">
        <f t="shared" si="134"/>
        <v>26.515375875879496</v>
      </c>
      <c r="CM86" s="1813">
        <f t="shared" si="135"/>
        <v>96.479375038050563</v>
      </c>
      <c r="CR86" s="833"/>
    </row>
    <row r="87" spans="1:117">
      <c r="A87" s="1551" t="str">
        <f t="shared" si="95"/>
        <v>Laboratory Services</v>
      </c>
      <c r="B87" s="228"/>
      <c r="C87" s="418"/>
      <c r="D87" s="353"/>
      <c r="E87" s="353"/>
      <c r="F87" s="353"/>
      <c r="G87" s="865"/>
      <c r="H87" s="353"/>
      <c r="I87" s="1358"/>
      <c r="J87" s="911"/>
      <c r="K87" s="911"/>
      <c r="L87" s="911"/>
      <c r="M87" s="1359"/>
      <c r="N87" s="911"/>
      <c r="O87" s="1358"/>
      <c r="P87" s="911"/>
      <c r="Q87" s="911"/>
      <c r="R87" s="911"/>
      <c r="S87" s="1359"/>
      <c r="T87" s="911"/>
      <c r="U87" s="1358"/>
      <c r="V87" s="911"/>
      <c r="W87" s="911"/>
      <c r="X87" s="911"/>
      <c r="Y87" s="1359"/>
      <c r="Z87" s="911"/>
      <c r="AA87" s="1358"/>
      <c r="AB87" s="911"/>
      <c r="AC87" s="911"/>
      <c r="AD87" s="911"/>
      <c r="AE87" s="1359"/>
      <c r="AF87" s="911"/>
      <c r="AG87" s="1358">
        <f t="shared" ref="AG87:AK92" si="138">AG73+AA73</f>
        <v>3.5075844000000003</v>
      </c>
      <c r="AH87" s="911">
        <f t="shared" si="138"/>
        <v>7.385149824</v>
      </c>
      <c r="AI87" s="911">
        <f t="shared" si="138"/>
        <v>4.2758176599999986</v>
      </c>
      <c r="AJ87" s="911">
        <f t="shared" si="138"/>
        <v>9.4727183999999998</v>
      </c>
      <c r="AK87" s="1359">
        <f t="shared" si="138"/>
        <v>24.641270284000054</v>
      </c>
      <c r="AL87" s="911"/>
      <c r="AM87" s="1358">
        <f t="shared" ref="AM87:AQ92" si="139">AM73+AG73</f>
        <v>6.9730777872000003</v>
      </c>
      <c r="AN87" s="911">
        <f t="shared" si="139"/>
        <v>15.754607565568001</v>
      </c>
      <c r="AO87" s="911">
        <f t="shared" si="139"/>
        <v>9.6633479115999954</v>
      </c>
      <c r="AP87" s="911">
        <f t="shared" si="139"/>
        <v>12.598715471999999</v>
      </c>
      <c r="AQ87" s="1359">
        <f t="shared" si="139"/>
        <v>44.989748736368028</v>
      </c>
      <c r="AR87" s="911"/>
      <c r="AS87" s="1358">
        <f t="shared" si="98"/>
        <v>14.541027858302401</v>
      </c>
      <c r="AT87" s="911">
        <f t="shared" si="99"/>
        <v>15.21649070663322</v>
      </c>
      <c r="AU87" s="911">
        <f t="shared" si="100"/>
        <v>14.144062753867194</v>
      </c>
      <c r="AV87" s="911">
        <f t="shared" si="101"/>
        <v>16.112430908112</v>
      </c>
      <c r="AW87" s="1359">
        <f t="shared" si="102"/>
        <v>60.014012226914787</v>
      </c>
      <c r="AX87" s="911"/>
      <c r="AY87" s="1358">
        <f t="shared" si="103"/>
        <v>10.233553070120708</v>
      </c>
      <c r="AZ87" s="911">
        <f t="shared" si="104"/>
        <v>14.974230709846923</v>
      </c>
      <c r="BA87" s="911">
        <f t="shared" si="105"/>
        <v>17.425097614566106</v>
      </c>
      <c r="BB87" s="911">
        <f t="shared" si="106"/>
        <v>-9.1908238416452903E-2</v>
      </c>
      <c r="BC87" s="1359">
        <f t="shared" si="107"/>
        <v>43.694559815310917</v>
      </c>
      <c r="BD87" s="911"/>
      <c r="BE87" s="1358">
        <f t="shared" si="108"/>
        <v>-0.71596709671417802</v>
      </c>
      <c r="BF87" s="911">
        <f t="shared" si="109"/>
        <v>12.516556364421231</v>
      </c>
      <c r="BG87" s="911">
        <f t="shared" si="110"/>
        <v>15.237956869184313</v>
      </c>
      <c r="BH87" s="911">
        <f t="shared" si="111"/>
        <v>-12.029784798087634</v>
      </c>
      <c r="BI87" s="1359">
        <f t="shared" si="112"/>
        <v>15.64128975892463</v>
      </c>
      <c r="BJ87" s="911"/>
      <c r="BK87" s="1358">
        <f t="shared" si="136"/>
        <v>6.8267452118717751</v>
      </c>
      <c r="BL87" s="911">
        <f t="shared" si="137"/>
        <v>13.240141493392116</v>
      </c>
      <c r="BM87" s="911">
        <f t="shared" si="113"/>
        <v>13.779231912547566</v>
      </c>
      <c r="BN87" s="911">
        <f t="shared" si="114"/>
        <v>9.7111611572427687</v>
      </c>
      <c r="BO87" s="1359">
        <f t="shared" si="115"/>
        <v>43.094851222079114</v>
      </c>
      <c r="BP87" s="911"/>
      <c r="BQ87" s="1358">
        <f t="shared" si="116"/>
        <v>11.520321215497976</v>
      </c>
      <c r="BR87" s="911">
        <f t="shared" si="117"/>
        <v>15.36145354628402</v>
      </c>
      <c r="BS87" s="911">
        <f t="shared" si="118"/>
        <v>12.900886114598773</v>
      </c>
      <c r="BT87" s="911">
        <f t="shared" si="119"/>
        <v>12.755684214480871</v>
      </c>
      <c r="BU87" s="1359">
        <f t="shared" si="120"/>
        <v>52.596974776959314</v>
      </c>
      <c r="BV87" s="911"/>
      <c r="BW87" s="1358">
        <f t="shared" si="121"/>
        <v>9.2964541938927709</v>
      </c>
      <c r="BX87" s="911">
        <f t="shared" si="122"/>
        <v>11.979634037457826</v>
      </c>
      <c r="BY87" s="911">
        <f t="shared" si="123"/>
        <v>10.977395316348838</v>
      </c>
      <c r="BZ87" s="911">
        <f t="shared" si="124"/>
        <v>8.9346096426591313</v>
      </c>
      <c r="CA87" s="1359">
        <f t="shared" si="125"/>
        <v>41.188093190358636</v>
      </c>
      <c r="CB87" s="911"/>
      <c r="CC87" s="1358">
        <f t="shared" si="126"/>
        <v>7.9688177170783137</v>
      </c>
      <c r="CD87" s="911">
        <f t="shared" si="127"/>
        <v>9.7347547895689885</v>
      </c>
      <c r="CE87" s="911">
        <f t="shared" si="128"/>
        <v>9.4097018561937666</v>
      </c>
      <c r="CF87" s="911">
        <f t="shared" si="129"/>
        <v>8.617922169984773</v>
      </c>
      <c r="CG87" s="1359">
        <f t="shared" si="130"/>
        <v>35.731196532825763</v>
      </c>
      <c r="CH87" s="911"/>
      <c r="CI87" s="1358">
        <f t="shared" si="131"/>
        <v>7.0886662770908995</v>
      </c>
      <c r="CJ87" s="911">
        <f t="shared" si="132"/>
        <v>8.6595565920244582</v>
      </c>
      <c r="CK87" s="911">
        <f t="shared" si="133"/>
        <v>8.3704055725265221</v>
      </c>
      <c r="CL87" s="911">
        <f t="shared" si="134"/>
        <v>7.6660775078392636</v>
      </c>
      <c r="CM87" s="1359">
        <f t="shared" si="135"/>
        <v>31.784705949480941</v>
      </c>
      <c r="CS87" s="833"/>
      <c r="CT87" s="833"/>
      <c r="CU87" s="833"/>
      <c r="CV87" s="833"/>
      <c r="CW87" s="833"/>
      <c r="CX87" s="833"/>
      <c r="CY87" s="833"/>
      <c r="CZ87" s="833"/>
      <c r="DA87" s="833"/>
      <c r="DB87" s="833"/>
      <c r="DC87" s="833"/>
      <c r="DD87" s="833"/>
      <c r="DE87" s="833"/>
    </row>
    <row r="88" spans="1:117">
      <c r="A88" s="1552" t="str">
        <f t="shared" si="95"/>
        <v>Environmental and Safety</v>
      </c>
      <c r="B88" s="228"/>
      <c r="C88" s="418"/>
      <c r="D88" s="353"/>
      <c r="E88" s="353"/>
      <c r="F88" s="353"/>
      <c r="G88" s="865"/>
      <c r="H88" s="353"/>
      <c r="I88" s="1358"/>
      <c r="J88" s="911"/>
      <c r="K88" s="911"/>
      <c r="L88" s="911"/>
      <c r="M88" s="1359"/>
      <c r="N88" s="911"/>
      <c r="O88" s="1358"/>
      <c r="P88" s="911"/>
      <c r="Q88" s="911"/>
      <c r="R88" s="911"/>
      <c r="S88" s="1359"/>
      <c r="T88" s="911"/>
      <c r="U88" s="1358"/>
      <c r="V88" s="911"/>
      <c r="W88" s="911"/>
      <c r="X88" s="911"/>
      <c r="Y88" s="1359"/>
      <c r="Z88" s="911"/>
      <c r="AA88" s="1358"/>
      <c r="AB88" s="911"/>
      <c r="AC88" s="911"/>
      <c r="AD88" s="911"/>
      <c r="AE88" s="1359"/>
      <c r="AF88" s="911"/>
      <c r="AG88" s="1358">
        <f t="shared" si="138"/>
        <v>3.7578996</v>
      </c>
      <c r="AH88" s="911">
        <f t="shared" si="138"/>
        <v>1.773110808</v>
      </c>
      <c r="AI88" s="911">
        <f t="shared" si="138"/>
        <v>0</v>
      </c>
      <c r="AJ88" s="911">
        <f t="shared" si="138"/>
        <v>-0.53724128999999998</v>
      </c>
      <c r="AK88" s="1359">
        <f t="shared" si="138"/>
        <v>4.9937691180000012</v>
      </c>
      <c r="AL88" s="911"/>
      <c r="AM88" s="1358">
        <f t="shared" si="139"/>
        <v>0.63132713279999964</v>
      </c>
      <c r="AN88" s="911">
        <f t="shared" si="139"/>
        <v>-3.1915994543999959E-2</v>
      </c>
      <c r="AO88" s="911">
        <f t="shared" si="139"/>
        <v>2.8354436040000004</v>
      </c>
      <c r="AP88" s="911">
        <f t="shared" si="139"/>
        <v>-3.6335584694998988</v>
      </c>
      <c r="AQ88" s="1359">
        <f t="shared" si="139"/>
        <v>-0.19870372724393004</v>
      </c>
      <c r="AR88" s="911"/>
      <c r="AS88" s="1358">
        <f t="shared" si="98"/>
        <v>-1.9916266616064005</v>
      </c>
      <c r="AT88" s="911">
        <f t="shared" si="99"/>
        <v>-1.6080783225330879</v>
      </c>
      <c r="AU88" s="911">
        <f t="shared" si="100"/>
        <v>5.9506509769280012</v>
      </c>
      <c r="AV88" s="911">
        <f t="shared" si="101"/>
        <v>4.7935999848181083</v>
      </c>
      <c r="AW88" s="1359">
        <f t="shared" si="102"/>
        <v>7.1445459776066587</v>
      </c>
      <c r="AX88" s="911"/>
      <c r="AY88" s="1358">
        <f t="shared" si="103"/>
        <v>3.0492210643614719</v>
      </c>
      <c r="AZ88" s="911">
        <f t="shared" si="104"/>
        <v>3.157084134574919</v>
      </c>
      <c r="BA88" s="911">
        <f t="shared" si="105"/>
        <v>4.1198617506972806</v>
      </c>
      <c r="BB88" s="911">
        <f t="shared" si="106"/>
        <v>12.916624915584823</v>
      </c>
      <c r="BC88" s="1359">
        <f t="shared" si="107"/>
        <v>23.009087727610265</v>
      </c>
      <c r="BD88" s="911"/>
      <c r="BE88" s="1358">
        <f t="shared" si="108"/>
        <v>6.7956771686259456</v>
      </c>
      <c r="BF88" s="911">
        <f t="shared" si="109"/>
        <v>4.4565784374245734</v>
      </c>
      <c r="BG88" s="911">
        <f t="shared" si="110"/>
        <v>-9.2899311051584448</v>
      </c>
      <c r="BH88" s="911">
        <f t="shared" si="111"/>
        <v>-8.3964246933416788</v>
      </c>
      <c r="BI88" s="1359">
        <f t="shared" si="112"/>
        <v>-4.9075920878923291</v>
      </c>
      <c r="BJ88" s="911"/>
      <c r="BK88" s="1358">
        <f t="shared" si="136"/>
        <v>6.3667228734967392</v>
      </c>
      <c r="BL88" s="911">
        <f t="shared" si="137"/>
        <v>2.0589981213183961</v>
      </c>
      <c r="BM88" s="911">
        <f t="shared" si="113"/>
        <v>-6.9716911284558325</v>
      </c>
      <c r="BN88" s="911">
        <f t="shared" si="114"/>
        <v>2.3355963556129726</v>
      </c>
      <c r="BO88" s="1359">
        <f t="shared" si="115"/>
        <v>5.1691492141631237</v>
      </c>
      <c r="BP88" s="911"/>
      <c r="BQ88" s="1358">
        <f t="shared" si="116"/>
        <v>11.080204557655696</v>
      </c>
      <c r="BR88" s="911">
        <f t="shared" si="117"/>
        <v>9.8904618566333653</v>
      </c>
      <c r="BS88" s="911">
        <f t="shared" si="118"/>
        <v>9.1102686885104429</v>
      </c>
      <c r="BT88" s="911">
        <f t="shared" si="119"/>
        <v>20.59140563228938</v>
      </c>
      <c r="BU88" s="1359">
        <f t="shared" si="120"/>
        <v>50.291651485114201</v>
      </c>
      <c r="BV88" s="911"/>
      <c r="BW88" s="1358">
        <f t="shared" si="121"/>
        <v>16.567165672336074</v>
      </c>
      <c r="BX88" s="911">
        <f t="shared" si="122"/>
        <v>16.106185254716422</v>
      </c>
      <c r="BY88" s="911">
        <f t="shared" si="123"/>
        <v>11.92199112811941</v>
      </c>
      <c r="BZ88" s="911">
        <f t="shared" si="124"/>
        <v>12.371652690093864</v>
      </c>
      <c r="CA88" s="1359">
        <f t="shared" si="125"/>
        <v>56.966994745265836</v>
      </c>
      <c r="CB88" s="911"/>
      <c r="CC88" s="1358">
        <f t="shared" si="126"/>
        <v>10.667591579828134</v>
      </c>
      <c r="CD88" s="911">
        <f t="shared" si="127"/>
        <v>10.370766466907561</v>
      </c>
      <c r="CE88" s="911">
        <f t="shared" si="128"/>
        <v>9.3859636949437188</v>
      </c>
      <c r="CF88" s="911">
        <f t="shared" si="129"/>
        <v>11.534633062779701</v>
      </c>
      <c r="CG88" s="1359">
        <f t="shared" si="130"/>
        <v>41.958954804459154</v>
      </c>
      <c r="CH88" s="911"/>
      <c r="CI88" s="1358">
        <f t="shared" si="131"/>
        <v>7.5014782880634581</v>
      </c>
      <c r="CJ88" s="911">
        <f t="shared" si="132"/>
        <v>7.2927500926443427</v>
      </c>
      <c r="CK88" s="911">
        <f t="shared" si="133"/>
        <v>6.6002342087515995</v>
      </c>
      <c r="CL88" s="911">
        <f t="shared" si="134"/>
        <v>8.1111841256501194</v>
      </c>
      <c r="CM88" s="1359">
        <f t="shared" si="135"/>
        <v>29.505646715109549</v>
      </c>
    </row>
    <row r="89" spans="1:117" s="833" customFormat="1">
      <c r="A89" s="1552" t="str">
        <f t="shared" si="95"/>
        <v>Industrial</v>
      </c>
      <c r="B89" s="353"/>
      <c r="C89" s="418"/>
      <c r="D89" s="353"/>
      <c r="E89" s="353"/>
      <c r="F89" s="353"/>
      <c r="G89" s="865"/>
      <c r="H89" s="353"/>
      <c r="I89" s="1358"/>
      <c r="J89" s="911"/>
      <c r="K89" s="911"/>
      <c r="L89" s="911"/>
      <c r="M89" s="1359"/>
      <c r="N89" s="911"/>
      <c r="O89" s="1358"/>
      <c r="P89" s="911"/>
      <c r="Q89" s="911"/>
      <c r="R89" s="911"/>
      <c r="S89" s="1359"/>
      <c r="T89" s="911"/>
      <c r="U89" s="1358"/>
      <c r="V89" s="911"/>
      <c r="W89" s="911"/>
      <c r="X89" s="911"/>
      <c r="Y89" s="1359"/>
      <c r="Z89" s="911"/>
      <c r="AA89" s="1358"/>
      <c r="AB89" s="911"/>
      <c r="AC89" s="911"/>
      <c r="AD89" s="911"/>
      <c r="AE89" s="1359"/>
      <c r="AF89" s="911"/>
      <c r="AG89" s="1358">
        <f t="shared" si="138"/>
        <v>1.7894760000000003</v>
      </c>
      <c r="AH89" s="911">
        <f t="shared" si="138"/>
        <v>-0.94769715600000004</v>
      </c>
      <c r="AI89" s="911">
        <f t="shared" si="138"/>
        <v>-3.5408331000000004</v>
      </c>
      <c r="AJ89" s="911">
        <f t="shared" si="138"/>
        <v>-5.7268813799999991</v>
      </c>
      <c r="AK89" s="1359">
        <f t="shared" si="138"/>
        <v>-8.4259356360000108</v>
      </c>
      <c r="AL89" s="911"/>
      <c r="AM89" s="1358">
        <f t="shared" si="139"/>
        <v>-5.8855747615119265</v>
      </c>
      <c r="AN89" s="911">
        <f t="shared" si="139"/>
        <v>1.3497012638879997</v>
      </c>
      <c r="AO89" s="911">
        <f t="shared" si="139"/>
        <v>-2.3973522930000004</v>
      </c>
      <c r="AP89" s="911">
        <f t="shared" si="139"/>
        <v>-3.8734543151999992</v>
      </c>
      <c r="AQ89" s="1359">
        <f t="shared" si="139"/>
        <v>-10.806680105823899</v>
      </c>
      <c r="AR89" s="911"/>
      <c r="AS89" s="1358">
        <f t="shared" si="98"/>
        <v>-7.2088348586500697</v>
      </c>
      <c r="AT89" s="911">
        <f t="shared" si="99"/>
        <v>2.3903546944157759</v>
      </c>
      <c r="AU89" s="911">
        <f t="shared" si="100"/>
        <v>2.399785053624</v>
      </c>
      <c r="AV89" s="911">
        <f t="shared" si="101"/>
        <v>3.3472892790287996</v>
      </c>
      <c r="AW89" s="1359">
        <f t="shared" si="102"/>
        <v>0.92859416841853282</v>
      </c>
      <c r="AX89" s="911"/>
      <c r="AY89" s="1358">
        <f t="shared" si="103"/>
        <v>3.6116191941698519</v>
      </c>
      <c r="AZ89" s="911">
        <f t="shared" si="104"/>
        <v>2.4215109514485653</v>
      </c>
      <c r="BA89" s="911">
        <f t="shared" si="105"/>
        <v>1.6614623661602403</v>
      </c>
      <c r="BB89" s="911">
        <f t="shared" si="106"/>
        <v>3.4811808501899515</v>
      </c>
      <c r="BC89" s="1359">
        <f t="shared" si="107"/>
        <v>11.233272202201256</v>
      </c>
      <c r="BD89" s="911"/>
      <c r="BE89" s="1358">
        <f t="shared" si="108"/>
        <v>1.8715149583282571</v>
      </c>
      <c r="BF89" s="911">
        <f t="shared" si="109"/>
        <v>-2.1946627829978436</v>
      </c>
      <c r="BG89" s="911">
        <f t="shared" si="110"/>
        <v>2.4896966445501953</v>
      </c>
      <c r="BH89" s="911">
        <f t="shared" si="111"/>
        <v>-1.1128984361382446</v>
      </c>
      <c r="BI89" s="1359">
        <f t="shared" si="112"/>
        <v>1.7303853028269174</v>
      </c>
      <c r="BJ89" s="911"/>
      <c r="BK89" s="1358">
        <f t="shared" si="136"/>
        <v>-1.7269679500761981</v>
      </c>
      <c r="BL89" s="911">
        <f t="shared" si="137"/>
        <v>-2.7481602297019156</v>
      </c>
      <c r="BM89" s="911">
        <f t="shared" si="113"/>
        <v>3.6236937053201772</v>
      </c>
      <c r="BN89" s="911">
        <f t="shared" si="114"/>
        <v>2.2424903488185643</v>
      </c>
      <c r="BO89" s="1359">
        <f t="shared" si="115"/>
        <v>1.5453833274577011</v>
      </c>
      <c r="BP89" s="911"/>
      <c r="BQ89" s="1358">
        <f t="shared" si="116"/>
        <v>3.6452314648215207</v>
      </c>
      <c r="BR89" s="911">
        <f t="shared" si="117"/>
        <v>5.4139245521609878</v>
      </c>
      <c r="BS89" s="911">
        <f t="shared" si="118"/>
        <v>2.8795028164895573</v>
      </c>
      <c r="BT89" s="911">
        <f t="shared" si="119"/>
        <v>4.8035796720798754</v>
      </c>
      <c r="BU89" s="1359">
        <f t="shared" si="120"/>
        <v>16.277329879797144</v>
      </c>
      <c r="BV89" s="911"/>
      <c r="BW89" s="1358">
        <f t="shared" si="121"/>
        <v>6.3523821769728706</v>
      </c>
      <c r="BX89" s="911">
        <f t="shared" si="122"/>
        <v>6.0951027642566533</v>
      </c>
      <c r="BY89" s="911">
        <f t="shared" si="123"/>
        <v>3.6412777449647269</v>
      </c>
      <c r="BZ89" s="911">
        <f t="shared" si="124"/>
        <v>2.1295546079104364</v>
      </c>
      <c r="CA89" s="1359">
        <f t="shared" si="125"/>
        <v>18.218317294104722</v>
      </c>
      <c r="CB89" s="911"/>
      <c r="CC89" s="1358">
        <f t="shared" si="126"/>
        <v>3.6741358849394699</v>
      </c>
      <c r="CD89" s="911">
        <f t="shared" si="127"/>
        <v>4.003663770969184</v>
      </c>
      <c r="CE89" s="911">
        <f t="shared" si="128"/>
        <v>3.750516077313669</v>
      </c>
      <c r="CF89" s="911">
        <f t="shared" si="129"/>
        <v>4.3499522415000911</v>
      </c>
      <c r="CG89" s="1359">
        <f t="shared" si="130"/>
        <v>15.778267974722429</v>
      </c>
      <c r="CH89" s="911"/>
      <c r="CI89" s="1358">
        <f t="shared" si="131"/>
        <v>2.8827315234656981</v>
      </c>
      <c r="CJ89" s="911">
        <f t="shared" si="132"/>
        <v>3.141279507173306</v>
      </c>
      <c r="CK89" s="911">
        <f t="shared" si="133"/>
        <v>2.9426595161205222</v>
      </c>
      <c r="CL89" s="911">
        <f t="shared" si="134"/>
        <v>3.4129778660456846</v>
      </c>
      <c r="CM89" s="1359">
        <f t="shared" si="135"/>
        <v>12.379648412805222</v>
      </c>
      <c r="CR89" s="226"/>
      <c r="CS89" s="226"/>
      <c r="CT89" s="226"/>
      <c r="CU89" s="226"/>
      <c r="CV89" s="226"/>
      <c r="CW89" s="226"/>
      <c r="CX89" s="226"/>
      <c r="CY89" s="226"/>
      <c r="CZ89" s="226"/>
      <c r="DA89" s="226"/>
      <c r="DB89" s="226"/>
      <c r="DC89" s="226"/>
      <c r="DD89" s="226"/>
      <c r="DE89" s="226"/>
      <c r="DF89" s="226"/>
      <c r="DG89" s="226"/>
      <c r="DH89" s="226"/>
      <c r="DI89" s="226"/>
      <c r="DJ89" s="226"/>
      <c r="DK89" s="226"/>
      <c r="DL89" s="226"/>
      <c r="DM89" s="226"/>
    </row>
    <row r="90" spans="1:117">
      <c r="A90" s="1552" t="str">
        <f t="shared" si="95"/>
        <v>Pharma</v>
      </c>
      <c r="B90" s="353"/>
      <c r="C90" s="418"/>
      <c r="D90" s="353"/>
      <c r="E90" s="353"/>
      <c r="F90" s="353"/>
      <c r="G90" s="865"/>
      <c r="H90" s="353"/>
      <c r="I90" s="1358"/>
      <c r="J90" s="911"/>
      <c r="K90" s="911"/>
      <c r="L90" s="911"/>
      <c r="M90" s="1359"/>
      <c r="N90" s="911"/>
      <c r="O90" s="1358"/>
      <c r="P90" s="911"/>
      <c r="Q90" s="911"/>
      <c r="R90" s="911"/>
      <c r="S90" s="1359"/>
      <c r="T90" s="911"/>
      <c r="U90" s="1358"/>
      <c r="V90" s="911"/>
      <c r="W90" s="911"/>
      <c r="X90" s="911"/>
      <c r="Y90" s="1359"/>
      <c r="Z90" s="911"/>
      <c r="AA90" s="1358"/>
      <c r="AB90" s="911"/>
      <c r="AC90" s="911"/>
      <c r="AD90" s="911"/>
      <c r="AE90" s="1359"/>
      <c r="AF90" s="911"/>
      <c r="AG90" s="1358">
        <f t="shared" si="138"/>
        <v>1.7894760000000003</v>
      </c>
      <c r="AH90" s="911">
        <f t="shared" si="138"/>
        <v>-3.6554033160000001</v>
      </c>
      <c r="AI90" s="911">
        <f t="shared" si="138"/>
        <v>0.59431639614198972</v>
      </c>
      <c r="AJ90" s="911">
        <f t="shared" si="138"/>
        <v>2.6031279000000001</v>
      </c>
      <c r="AK90" s="1359">
        <f t="shared" si="138"/>
        <v>1.5864940007324893</v>
      </c>
      <c r="AL90" s="911"/>
      <c r="AM90" s="1358">
        <f t="shared" si="139"/>
        <v>-2.3978978399999997</v>
      </c>
      <c r="AN90" s="911">
        <f t="shared" si="139"/>
        <v>-3.2582730792000358E-2</v>
      </c>
      <c r="AO90" s="911">
        <f t="shared" si="139"/>
        <v>4.0247588171419899</v>
      </c>
      <c r="AP90" s="911">
        <f t="shared" si="139"/>
        <v>3.0664846662</v>
      </c>
      <c r="AQ90" s="1359">
        <f t="shared" si="139"/>
        <v>4.0834011219300157</v>
      </c>
      <c r="AR90" s="911"/>
      <c r="AS90" s="1358">
        <f t="shared" si="98"/>
        <v>-1.7785916752137392</v>
      </c>
      <c r="AT90" s="911">
        <f t="shared" si="99"/>
        <v>4.180558232374656</v>
      </c>
      <c r="AU90" s="911">
        <f t="shared" si="100"/>
        <v>4.6867466676239999</v>
      </c>
      <c r="AV90" s="911">
        <f t="shared" si="101"/>
        <v>3.4028920909727995</v>
      </c>
      <c r="AW90" s="1359">
        <f t="shared" si="102"/>
        <v>10.029720072743737</v>
      </c>
      <c r="AX90" s="911"/>
      <c r="AY90" s="1358">
        <f t="shared" si="103"/>
        <v>4.767834633267257</v>
      </c>
      <c r="AZ90" s="911">
        <f t="shared" si="104"/>
        <v>5.2148470010082342</v>
      </c>
      <c r="BA90" s="911">
        <f t="shared" si="105"/>
        <v>3.6872529638414404</v>
      </c>
      <c r="BB90" s="911">
        <f t="shared" si="106"/>
        <v>6.9141725966951029</v>
      </c>
      <c r="BC90" s="1359">
        <f t="shared" si="107"/>
        <v>20.739368891477596</v>
      </c>
      <c r="BD90" s="911"/>
      <c r="BE90" s="1358">
        <f t="shared" si="108"/>
        <v>5.3314585787670516</v>
      </c>
      <c r="BF90" s="911">
        <f t="shared" si="109"/>
        <v>6.1240988003016756</v>
      </c>
      <c r="BG90" s="911">
        <f t="shared" si="110"/>
        <v>3.8773632039618176</v>
      </c>
      <c r="BH90" s="911">
        <f t="shared" si="111"/>
        <v>5.0080429626221026</v>
      </c>
      <c r="BI90" s="1359">
        <f t="shared" si="112"/>
        <v>20.351173409701538</v>
      </c>
      <c r="BJ90" s="911"/>
      <c r="BK90" s="1358">
        <f t="shared" si="136"/>
        <v>4.3728340176751148</v>
      </c>
      <c r="BL90" s="911">
        <f t="shared" si="137"/>
        <v>3.0201645228997247</v>
      </c>
      <c r="BM90" s="911">
        <f t="shared" si="113"/>
        <v>4.054427431152142</v>
      </c>
      <c r="BN90" s="911">
        <f t="shared" si="114"/>
        <v>8.3189158101333813</v>
      </c>
      <c r="BO90" s="1359">
        <f t="shared" si="115"/>
        <v>19.526908011513541</v>
      </c>
      <c r="BP90" s="911"/>
      <c r="BQ90" s="1358">
        <f t="shared" si="116"/>
        <v>5.2938234352111406</v>
      </c>
      <c r="BR90" s="911">
        <f t="shared" si="117"/>
        <v>5.8743300212484488</v>
      </c>
      <c r="BS90" s="911">
        <f t="shared" si="118"/>
        <v>5.512099489471658</v>
      </c>
      <c r="BT90" s="911">
        <f t="shared" si="119"/>
        <v>9.7115849892049653</v>
      </c>
      <c r="BU90" s="1359">
        <f t="shared" si="120"/>
        <v>25.767968733907306</v>
      </c>
      <c r="BV90" s="911"/>
      <c r="BW90" s="1358">
        <f t="shared" si="121"/>
        <v>5.6966524038659934</v>
      </c>
      <c r="BX90" s="911">
        <f t="shared" si="122"/>
        <v>6.2861432986587271</v>
      </c>
      <c r="BY90" s="911">
        <f t="shared" si="123"/>
        <v>4.7448306320890064</v>
      </c>
      <c r="BZ90" s="911">
        <f t="shared" si="124"/>
        <v>4.5610207551702011</v>
      </c>
      <c r="CA90" s="1359">
        <f t="shared" si="125"/>
        <v>21.129613394481673</v>
      </c>
      <c r="CB90" s="911"/>
      <c r="CC90" s="1358">
        <f t="shared" si="126"/>
        <v>3.578337863399637</v>
      </c>
      <c r="CD90" s="911">
        <f t="shared" si="127"/>
        <v>3.8992737646709079</v>
      </c>
      <c r="CE90" s="911">
        <f t="shared" si="128"/>
        <v>3.65272654769046</v>
      </c>
      <c r="CF90" s="911">
        <f t="shared" si="129"/>
        <v>4.2365332413382788</v>
      </c>
      <c r="CG90" s="1359">
        <f t="shared" si="130"/>
        <v>15.366871417099308</v>
      </c>
      <c r="CH90" s="911"/>
      <c r="CI90" s="1358">
        <f t="shared" si="131"/>
        <v>3.6034144043321228</v>
      </c>
      <c r="CJ90" s="911">
        <f t="shared" si="132"/>
        <v>3.9265993839666331</v>
      </c>
      <c r="CK90" s="911">
        <f t="shared" si="133"/>
        <v>3.6783243951506526</v>
      </c>
      <c r="CL90" s="911">
        <f t="shared" si="134"/>
        <v>4.2662223325571063</v>
      </c>
      <c r="CM90" s="1359">
        <f t="shared" si="135"/>
        <v>15.474560516006552</v>
      </c>
      <c r="DF90" s="833"/>
      <c r="DG90" s="833"/>
      <c r="DH90" s="833"/>
      <c r="DI90" s="833"/>
      <c r="DJ90" s="833"/>
      <c r="DK90" s="833"/>
      <c r="DL90" s="833"/>
      <c r="DM90" s="833"/>
    </row>
    <row r="91" spans="1:117">
      <c r="A91" s="1552" t="str">
        <f t="shared" si="95"/>
        <v>Academic</v>
      </c>
      <c r="B91" s="353"/>
      <c r="C91" s="418"/>
      <c r="D91" s="353"/>
      <c r="E91" s="353"/>
      <c r="F91" s="353"/>
      <c r="G91" s="865"/>
      <c r="H91" s="353"/>
      <c r="I91" s="1358"/>
      <c r="J91" s="911"/>
      <c r="K91" s="911"/>
      <c r="L91" s="911"/>
      <c r="M91" s="1359"/>
      <c r="N91" s="911"/>
      <c r="O91" s="1358"/>
      <c r="P91" s="911"/>
      <c r="Q91" s="911"/>
      <c r="R91" s="911"/>
      <c r="S91" s="1359"/>
      <c r="T91" s="911"/>
      <c r="U91" s="1358"/>
      <c r="V91" s="911"/>
      <c r="W91" s="911"/>
      <c r="X91" s="911"/>
      <c r="Y91" s="1359"/>
      <c r="Z91" s="911"/>
      <c r="AA91" s="1358"/>
      <c r="AB91" s="911"/>
      <c r="AC91" s="911"/>
      <c r="AD91" s="911"/>
      <c r="AE91" s="1359"/>
      <c r="AF91" s="911"/>
      <c r="AG91" s="1358">
        <f t="shared" si="138"/>
        <v>2.3671623999999314</v>
      </c>
      <c r="AH91" s="911">
        <f t="shared" si="138"/>
        <v>-6.071423676000216</v>
      </c>
      <c r="AI91" s="911">
        <f t="shared" si="138"/>
        <v>0</v>
      </c>
      <c r="AJ91" s="911">
        <f t="shared" si="138"/>
        <v>8.9849270000003603E-2</v>
      </c>
      <c r="AK91" s="1359">
        <f t="shared" si="138"/>
        <v>-3.6144120060002414</v>
      </c>
      <c r="AL91" s="911"/>
      <c r="AM91" s="1358">
        <f t="shared" si="139"/>
        <v>-1.3861694000000644</v>
      </c>
      <c r="AN91" s="911">
        <f t="shared" si="139"/>
        <v>-8.0343558349120361</v>
      </c>
      <c r="AO91" s="911">
        <f t="shared" si="139"/>
        <v>-3.6644466201999841</v>
      </c>
      <c r="AP91" s="911">
        <f t="shared" si="139"/>
        <v>0.91707031270000416</v>
      </c>
      <c r="AQ91" s="1359">
        <f t="shared" si="139"/>
        <v>-12.167901542412061</v>
      </c>
      <c r="AR91" s="911"/>
      <c r="AS91" s="1358">
        <f t="shared" si="98"/>
        <v>-3.0477054215999964</v>
      </c>
      <c r="AT91" s="911">
        <f t="shared" si="99"/>
        <v>-8.1411465274649988</v>
      </c>
      <c r="AU91" s="911">
        <f t="shared" si="100"/>
        <v>-4.2845783272383846</v>
      </c>
      <c r="AV91" s="911">
        <f t="shared" si="101"/>
        <v>3.4172501273937019</v>
      </c>
      <c r="AW91" s="1359">
        <f t="shared" si="102"/>
        <v>-12.056180148909686</v>
      </c>
      <c r="AX91" s="911"/>
      <c r="AY91" s="1358">
        <f t="shared" si="103"/>
        <v>2.1933219928599978</v>
      </c>
      <c r="AZ91" s="911">
        <f t="shared" si="104"/>
        <v>-1.3578785128303972</v>
      </c>
      <c r="BA91" s="911">
        <f t="shared" si="105"/>
        <v>-2.1580583404936329</v>
      </c>
      <c r="BB91" s="911">
        <f t="shared" si="106"/>
        <v>4.3128161726415764</v>
      </c>
      <c r="BC91" s="1359">
        <f t="shared" si="107"/>
        <v>3.9207492446857493</v>
      </c>
      <c r="BD91" s="911"/>
      <c r="BE91" s="1358">
        <f t="shared" si="108"/>
        <v>2.6200997909137547</v>
      </c>
      <c r="BF91" s="911">
        <f t="shared" si="109"/>
        <v>2.2173544936324796</v>
      </c>
      <c r="BG91" s="911">
        <f t="shared" si="110"/>
        <v>-1.2241896002303649</v>
      </c>
      <c r="BH91" s="911">
        <f t="shared" si="111"/>
        <v>6.1158941622149561</v>
      </c>
      <c r="BI91" s="1359">
        <f t="shared" si="112"/>
        <v>9.8036950262624618</v>
      </c>
      <c r="BJ91" s="911"/>
      <c r="BK91" s="1358">
        <f t="shared" si="136"/>
        <v>-1.7254803445346731</v>
      </c>
      <c r="BL91" s="911">
        <f t="shared" si="137"/>
        <v>-2.9153391255411383</v>
      </c>
      <c r="BM91" s="911">
        <f t="shared" si="113"/>
        <v>3.0200404876773317</v>
      </c>
      <c r="BN91" s="911">
        <f t="shared" si="114"/>
        <v>4.5073754524256424</v>
      </c>
      <c r="BO91" s="1359">
        <f t="shared" si="115"/>
        <v>1.3708992058612581</v>
      </c>
      <c r="BP91" s="911"/>
      <c r="BQ91" s="1358">
        <f t="shared" si="116"/>
        <v>2.2117541075475668</v>
      </c>
      <c r="BR91" s="911">
        <f t="shared" si="117"/>
        <v>4.2793013592764559</v>
      </c>
      <c r="BS91" s="911">
        <f t="shared" si="118"/>
        <v>5.4601336741589863</v>
      </c>
      <c r="BT91" s="911">
        <f t="shared" si="119"/>
        <v>5.2315396165108679</v>
      </c>
      <c r="BU91" s="1359">
        <f t="shared" si="120"/>
        <v>16.523043246104478</v>
      </c>
      <c r="BV91" s="911"/>
      <c r="BW91" s="1358">
        <f t="shared" si="121"/>
        <v>6.3638875489975382</v>
      </c>
      <c r="BX91" s="911">
        <f t="shared" si="122"/>
        <v>5.9079347379091161</v>
      </c>
      <c r="BY91" s="911">
        <f t="shared" si="123"/>
        <v>4.3825240925043802</v>
      </c>
      <c r="BZ91" s="911">
        <f t="shared" si="124"/>
        <v>7.067007001874698</v>
      </c>
      <c r="CA91" s="1359">
        <f t="shared" si="125"/>
        <v>23.721353381285684</v>
      </c>
      <c r="CB91" s="911"/>
      <c r="CC91" s="1358">
        <f t="shared" si="126"/>
        <v>1.954315869896929</v>
      </c>
      <c r="CD91" s="911">
        <f t="shared" si="127"/>
        <v>1.9875761789245541</v>
      </c>
      <c r="CE91" s="911">
        <f t="shared" si="128"/>
        <v>2.4593277479247648</v>
      </c>
      <c r="CF91" s="911">
        <f t="shared" si="129"/>
        <v>2.9441010029188113</v>
      </c>
      <c r="CG91" s="1359">
        <f t="shared" si="130"/>
        <v>9.3453207996650676</v>
      </c>
      <c r="CH91" s="911"/>
      <c r="CI91" s="1358">
        <f t="shared" si="131"/>
        <v>1.3267345683651273</v>
      </c>
      <c r="CJ91" s="911">
        <f t="shared" si="132"/>
        <v>1.3493141331228875</v>
      </c>
      <c r="CK91" s="911">
        <f t="shared" si="133"/>
        <v>1.6695740890050836</v>
      </c>
      <c r="CL91" s="911">
        <f t="shared" si="134"/>
        <v>1.9986741311868037</v>
      </c>
      <c r="CM91" s="1359">
        <f t="shared" si="135"/>
        <v>6.3442969216799074</v>
      </c>
    </row>
    <row r="92" spans="1:117" s="856" customFormat="1">
      <c r="A92" s="1276" t="str">
        <f t="shared" si="95"/>
        <v>Total Perkin Elmer</v>
      </c>
      <c r="B92" s="1277"/>
      <c r="C92" s="1278"/>
      <c r="D92" s="1277"/>
      <c r="E92" s="1277"/>
      <c r="F92" s="1277"/>
      <c r="G92" s="1279"/>
      <c r="H92" s="1277"/>
      <c r="I92" s="1280"/>
      <c r="J92" s="1281"/>
      <c r="K92" s="1281"/>
      <c r="L92" s="1281"/>
      <c r="M92" s="1275"/>
      <c r="N92" s="1281"/>
      <c r="O92" s="1280">
        <f>O78+I78</f>
        <v>15.907376530502081</v>
      </c>
      <c r="P92" s="1281">
        <f>P78+J78</f>
        <v>-14.974951530501976</v>
      </c>
      <c r="Q92" s="1281">
        <f>Q78+K78</f>
        <v>-28.668970000000012</v>
      </c>
      <c r="R92" s="1281">
        <f>R78+L78</f>
        <v>-7.468550000000036</v>
      </c>
      <c r="S92" s="1275">
        <f>S78+M78</f>
        <v>-35.205094999999901</v>
      </c>
      <c r="T92" s="1281"/>
      <c r="U92" s="1280">
        <f>U78+O78</f>
        <v>6.7745320561274767</v>
      </c>
      <c r="V92" s="1281">
        <f>V78+P78</f>
        <v>2.9874832346948708</v>
      </c>
      <c r="W92" s="1281">
        <f>W78+Q78</f>
        <v>1.4421099999999853</v>
      </c>
      <c r="X92" s="1281">
        <f>X78+R78</f>
        <v>13.166596000000013</v>
      </c>
      <c r="Y92" s="1275">
        <f>Y78+S78</f>
        <v>11.767275000000225</v>
      </c>
      <c r="Z92" s="1281"/>
      <c r="AA92" s="1280">
        <f>AA78+U78</f>
        <v>45.048218546813374</v>
      </c>
      <c r="AB92" s="1281">
        <f>AB78+V78</f>
        <v>74.306787587014597</v>
      </c>
      <c r="AC92" s="1281">
        <f>AC78+W78</f>
        <v>49.324105923536358</v>
      </c>
      <c r="AD92" s="1281">
        <f>AD78+X78</f>
        <v>24.656568621997039</v>
      </c>
      <c r="AE92" s="1275">
        <f>AE78+Y78</f>
        <v>180.73048314210973</v>
      </c>
      <c r="AF92" s="1281"/>
      <c r="AG92" s="1280">
        <f t="shared" si="138"/>
        <v>24.66708361552087</v>
      </c>
      <c r="AH92" s="1281">
        <f t="shared" si="138"/>
        <v>3.2522763965706076</v>
      </c>
      <c r="AI92" s="1281">
        <f t="shared" si="138"/>
        <v>-4.6761272716820752</v>
      </c>
      <c r="AJ92" s="1281">
        <f t="shared" si="138"/>
        <v>-4.3805023242735341</v>
      </c>
      <c r="AK92" s="1275">
        <f t="shared" si="138"/>
        <v>10.563172640169881</v>
      </c>
      <c r="AL92" s="1281"/>
      <c r="AM92" s="1280">
        <f t="shared" si="139"/>
        <v>-21.573620730586242</v>
      </c>
      <c r="AN92" s="1281">
        <f t="shared" si="139"/>
        <v>-7.4119650773079506</v>
      </c>
      <c r="AO92" s="1281">
        <f t="shared" si="139"/>
        <v>-3.1431215306047289</v>
      </c>
      <c r="AP92" s="1281">
        <f t="shared" si="139"/>
        <v>21.996160166433484</v>
      </c>
      <c r="AQ92" s="1275">
        <f t="shared" si="139"/>
        <v>-18.441393185544751</v>
      </c>
      <c r="AR92" s="1281"/>
      <c r="AS92" s="1280">
        <f t="shared" si="98"/>
        <v>8.3776949247474768</v>
      </c>
      <c r="AT92" s="1281">
        <f t="shared" si="99"/>
        <v>12.5416304332891</v>
      </c>
      <c r="AU92" s="1281">
        <f t="shared" si="100"/>
        <v>39.238481534159206</v>
      </c>
      <c r="AV92" s="1281">
        <f t="shared" si="101"/>
        <v>59.996874356933283</v>
      </c>
      <c r="AW92" s="1275">
        <f t="shared" si="102"/>
        <v>120.30288150703528</v>
      </c>
      <c r="AX92" s="1281"/>
      <c r="AY92" s="1280">
        <f t="shared" si="103"/>
        <v>46.347271427104872</v>
      </c>
      <c r="AZ92" s="1281">
        <f t="shared" si="104"/>
        <v>45.800336987420742</v>
      </c>
      <c r="BA92" s="1281">
        <f t="shared" si="105"/>
        <v>50.025738491928855</v>
      </c>
      <c r="BB92" s="1281">
        <f t="shared" si="106"/>
        <v>66.193155887900332</v>
      </c>
      <c r="BC92" s="1275">
        <f t="shared" si="107"/>
        <v>208.51586253424463</v>
      </c>
      <c r="BD92" s="1281"/>
      <c r="BE92" s="1280">
        <f t="shared" si="108"/>
        <v>53.948883307061038</v>
      </c>
      <c r="BF92" s="1281">
        <f t="shared" si="109"/>
        <v>65.979721879545124</v>
      </c>
      <c r="BG92" s="1281">
        <f t="shared" si="110"/>
        <v>30.413901518581053</v>
      </c>
      <c r="BH92" s="1281">
        <f t="shared" si="111"/>
        <v>18.226423578549408</v>
      </c>
      <c r="BI92" s="1275">
        <f t="shared" si="112"/>
        <v>168.5555646769339</v>
      </c>
      <c r="BJ92" s="1281"/>
      <c r="BK92" s="1280">
        <f t="shared" si="136"/>
        <v>41.184459226985084</v>
      </c>
      <c r="BL92" s="1281">
        <f t="shared" si="137"/>
        <v>33.92473038893786</v>
      </c>
      <c r="BM92" s="1281">
        <f t="shared" si="113"/>
        <v>26.759133169692493</v>
      </c>
      <c r="BN92" s="1281">
        <f t="shared" si="114"/>
        <v>37.286597985498524</v>
      </c>
      <c r="BO92" s="1275">
        <f t="shared" si="115"/>
        <v>139.15157712937841</v>
      </c>
      <c r="BP92" s="1281"/>
      <c r="BQ92" s="1280">
        <f t="shared" si="116"/>
        <v>39.634176847153896</v>
      </c>
      <c r="BR92" s="1281">
        <f t="shared" si="117"/>
        <v>48.33545317721768</v>
      </c>
      <c r="BS92" s="1281">
        <f t="shared" si="118"/>
        <v>51.037896718734814</v>
      </c>
      <c r="BT92" s="1281">
        <f t="shared" si="119"/>
        <v>60.35164922938155</v>
      </c>
      <c r="BU92" s="1275">
        <f t="shared" si="120"/>
        <v>199.35905379099461</v>
      </c>
      <c r="BV92" s="1281"/>
      <c r="BW92" s="1280">
        <f t="shared" si="121"/>
        <v>61.756284768708596</v>
      </c>
      <c r="BX92" s="1281">
        <f t="shared" si="122"/>
        <v>82.307468500074037</v>
      </c>
      <c r="BY92" s="1281">
        <f t="shared" si="123"/>
        <v>83.082433101692061</v>
      </c>
      <c r="BZ92" s="1281">
        <f t="shared" si="124"/>
        <v>82.613330752318063</v>
      </c>
      <c r="CA92" s="1275">
        <f t="shared" si="125"/>
        <v>309.75925297819106</v>
      </c>
      <c r="CB92" s="1281"/>
      <c r="CC92" s="1280">
        <f t="shared" si="126"/>
        <v>87.567319944765018</v>
      </c>
      <c r="CD92" s="1281">
        <f t="shared" si="127"/>
        <v>102.58957345609656</v>
      </c>
      <c r="CE92" s="1281">
        <f t="shared" si="128"/>
        <v>104.39482810251647</v>
      </c>
      <c r="CF92" s="1281">
        <f t="shared" si="129"/>
        <v>113.7495274599039</v>
      </c>
      <c r="CG92" s="1275">
        <f t="shared" si="130"/>
        <v>408.30124896328209</v>
      </c>
      <c r="CH92" s="1281"/>
      <c r="CI92" s="1280">
        <f t="shared" si="131"/>
        <v>86.005007356588351</v>
      </c>
      <c r="CJ92" s="1281">
        <f t="shared" si="132"/>
        <v>96.827695234801467</v>
      </c>
      <c r="CK92" s="1281">
        <f t="shared" si="133"/>
        <v>98.062760345754242</v>
      </c>
      <c r="CL92" s="1281">
        <f t="shared" si="134"/>
        <v>104.95540185779916</v>
      </c>
      <c r="CM92" s="1275">
        <f t="shared" si="135"/>
        <v>385.85086479494299</v>
      </c>
      <c r="CR92" s="228"/>
      <c r="CS92" s="228"/>
      <c r="CT92" s="228"/>
      <c r="CU92" s="228"/>
      <c r="CV92" s="228"/>
      <c r="CW92" s="228"/>
      <c r="CX92" s="228"/>
      <c r="CY92" s="228"/>
      <c r="CZ92" s="228"/>
      <c r="DA92" s="228"/>
      <c r="DB92" s="228"/>
      <c r="DC92" s="228"/>
      <c r="DD92" s="228"/>
      <c r="DE92" s="228"/>
      <c r="DF92" s="228"/>
      <c r="DG92" s="228"/>
      <c r="DH92" s="228"/>
      <c r="DI92" s="228"/>
      <c r="DJ92" s="228"/>
      <c r="DK92" s="228"/>
      <c r="DL92" s="228"/>
      <c r="DM92" s="228"/>
    </row>
    <row r="93" spans="1:117">
      <c r="DF93" s="833"/>
      <c r="DG93" s="833"/>
      <c r="DH93" s="833"/>
      <c r="DI93" s="833"/>
      <c r="DJ93" s="833"/>
      <c r="DK93" s="833"/>
      <c r="DL93" s="833"/>
      <c r="DM93" s="833"/>
    </row>
    <row r="94" spans="1:117">
      <c r="A94" s="1253" t="s">
        <v>75</v>
      </c>
      <c r="B94" s="1254"/>
      <c r="C94" s="1255"/>
      <c r="D94" s="1254"/>
      <c r="E94" s="1254"/>
      <c r="F94" s="1254"/>
      <c r="G94" s="1257"/>
      <c r="H94" s="1254"/>
      <c r="I94" s="1255"/>
      <c r="J94" s="1254"/>
      <c r="K94" s="1254"/>
      <c r="L94" s="1254"/>
      <c r="M94" s="1257"/>
      <c r="N94" s="1254"/>
      <c r="O94" s="1255"/>
      <c r="P94" s="1254"/>
      <c r="Q94" s="1254"/>
      <c r="R94" s="1254"/>
      <c r="S94" s="1257"/>
      <c r="T94" s="1254"/>
      <c r="U94" s="1255"/>
      <c r="V94" s="1254"/>
      <c r="W94" s="1254"/>
      <c r="X94" s="1254"/>
      <c r="Y94" s="1257"/>
      <c r="Z94" s="1254"/>
      <c r="AA94" s="1255"/>
      <c r="AB94" s="1254"/>
      <c r="AC94" s="1254"/>
      <c r="AD94" s="1254"/>
      <c r="AE94" s="1257"/>
      <c r="AF94" s="1254"/>
      <c r="AG94" s="1255"/>
      <c r="AH94" s="1254"/>
      <c r="AI94" s="1254"/>
      <c r="AJ94" s="1254"/>
      <c r="AK94" s="1257"/>
      <c r="AL94" s="1254"/>
      <c r="AM94" s="1255"/>
      <c r="AN94" s="1254"/>
      <c r="AO94" s="1254"/>
      <c r="AP94" s="1254"/>
      <c r="AQ94" s="1257"/>
      <c r="AR94" s="1254"/>
      <c r="AS94" s="1255"/>
      <c r="AT94" s="1254"/>
      <c r="AU94" s="1254"/>
      <c r="AV94" s="1254"/>
      <c r="AW94" s="1257"/>
      <c r="AX94" s="1254"/>
      <c r="AY94" s="1255"/>
      <c r="AZ94" s="1254"/>
      <c r="BA94" s="1254"/>
      <c r="BB94" s="1254"/>
      <c r="BC94" s="1257"/>
      <c r="BD94" s="1254"/>
      <c r="BE94" s="1255"/>
      <c r="BF94" s="1254"/>
      <c r="BG94" s="1254"/>
      <c r="BH94" s="1254"/>
      <c r="BI94" s="1257"/>
      <c r="BJ94" s="1254"/>
      <c r="BK94" s="1255"/>
      <c r="BL94" s="1254"/>
      <c r="BM94" s="1254"/>
      <c r="BN94" s="1254"/>
      <c r="BO94" s="1257"/>
      <c r="BP94" s="1254"/>
      <c r="BQ94" s="1255"/>
      <c r="BR94" s="1254"/>
      <c r="BS94" s="1254"/>
      <c r="BT94" s="1254"/>
      <c r="BU94" s="1257"/>
      <c r="BV94" s="1254"/>
      <c r="BW94" s="1255"/>
      <c r="BX94" s="1254"/>
      <c r="BY94" s="1254"/>
      <c r="BZ94" s="1254"/>
      <c r="CA94" s="1257"/>
      <c r="CB94" s="1254"/>
      <c r="CC94" s="1255"/>
      <c r="CD94" s="1254"/>
      <c r="CE94" s="1254"/>
      <c r="CF94" s="1254"/>
      <c r="CG94" s="1257"/>
      <c r="CH94" s="1254"/>
      <c r="CI94" s="1255"/>
      <c r="CJ94" s="1254"/>
      <c r="CK94" s="1254"/>
      <c r="CL94" s="1254"/>
      <c r="CM94" s="1257"/>
      <c r="CR94" s="833"/>
    </row>
    <row r="95" spans="1:117">
      <c r="A95" s="1258" t="s">
        <v>70</v>
      </c>
      <c r="B95" s="892"/>
      <c r="C95" s="893"/>
      <c r="D95" s="892"/>
      <c r="E95" s="892"/>
      <c r="F95" s="892"/>
      <c r="G95" s="895"/>
      <c r="H95" s="892"/>
      <c r="I95" s="893"/>
      <c r="J95" s="892"/>
      <c r="K95" s="892"/>
      <c r="L95" s="892"/>
      <c r="M95" s="895"/>
      <c r="N95" s="892"/>
      <c r="O95" s="893"/>
      <c r="P95" s="892"/>
      <c r="Q95" s="892"/>
      <c r="R95" s="892"/>
      <c r="S95" s="895"/>
      <c r="T95" s="892"/>
      <c r="U95" s="893"/>
      <c r="V95" s="892"/>
      <c r="W95" s="892"/>
      <c r="X95" s="892"/>
      <c r="Y95" s="895"/>
      <c r="Z95" s="892"/>
      <c r="AA95" s="893"/>
      <c r="AB95" s="892"/>
      <c r="AC95" s="892"/>
      <c r="AD95" s="892"/>
      <c r="AE95" s="895"/>
      <c r="AF95" s="892"/>
      <c r="AG95" s="1263"/>
      <c r="AH95" s="1264"/>
      <c r="AI95" s="1264"/>
      <c r="AJ95" s="1264"/>
      <c r="AK95" s="1265"/>
      <c r="AL95" s="892"/>
      <c r="AM95" s="1263"/>
      <c r="AN95" s="1264"/>
      <c r="AO95" s="1264"/>
      <c r="AP95" s="1264"/>
      <c r="AQ95" s="1265"/>
      <c r="AR95" s="892"/>
      <c r="AS95" s="1263"/>
      <c r="AT95" s="1264"/>
      <c r="AU95" s="1264"/>
      <c r="AV95" s="1264"/>
      <c r="AW95" s="1265"/>
      <c r="AX95" s="892"/>
      <c r="AY95" s="1263"/>
      <c r="AZ95" s="1264"/>
      <c r="BA95" s="1264"/>
      <c r="BB95" s="1264"/>
      <c r="BC95" s="1265"/>
      <c r="BD95" s="892"/>
      <c r="BE95" s="1263"/>
      <c r="BF95" s="1264"/>
      <c r="BG95" s="1264"/>
      <c r="BH95" s="1264"/>
      <c r="BI95" s="1265"/>
      <c r="BJ95" s="892"/>
      <c r="BK95" s="1263"/>
      <c r="BL95" s="1264"/>
      <c r="BM95" s="1264"/>
      <c r="BN95" s="1264"/>
      <c r="BO95" s="1265"/>
      <c r="BP95" s="892"/>
      <c r="BQ95" s="1263"/>
      <c r="BR95" s="1264"/>
      <c r="BS95" s="1264"/>
      <c r="BT95" s="1264"/>
      <c r="BU95" s="1265"/>
      <c r="BV95" s="892"/>
      <c r="BW95" s="1263"/>
      <c r="BX95" s="1264"/>
      <c r="BY95" s="1264"/>
      <c r="BZ95" s="1264"/>
      <c r="CA95" s="1265"/>
      <c r="CB95" s="892"/>
      <c r="CC95" s="1263"/>
      <c r="CD95" s="1264"/>
      <c r="CE95" s="1264"/>
      <c r="CF95" s="1264"/>
      <c r="CG95" s="1265"/>
      <c r="CH95" s="892"/>
      <c r="CI95" s="1263"/>
      <c r="CJ95" s="1264"/>
      <c r="CK95" s="1264"/>
      <c r="CL95" s="1264"/>
      <c r="CM95" s="1265"/>
      <c r="CS95" s="833"/>
      <c r="CT95" s="833"/>
      <c r="CU95" s="833"/>
      <c r="CV95" s="833"/>
      <c r="CW95" s="833"/>
      <c r="CX95" s="833"/>
      <c r="CY95" s="833"/>
      <c r="CZ95" s="833"/>
      <c r="DA95" s="833"/>
      <c r="DB95" s="833"/>
      <c r="DC95" s="833"/>
      <c r="DD95" s="833"/>
      <c r="DE95" s="833"/>
    </row>
    <row r="96" spans="1:117">
      <c r="A96" s="946" t="s">
        <v>120</v>
      </c>
      <c r="B96" s="227"/>
      <c r="C96" s="463"/>
      <c r="D96" s="227"/>
      <c r="E96" s="227"/>
      <c r="F96" s="227"/>
      <c r="G96" s="891"/>
      <c r="H96" s="227"/>
      <c r="I96" s="1249">
        <f>IS!I15-IS!C15</f>
        <v>28.510000000000005</v>
      </c>
      <c r="J96" s="951">
        <f>IS!J15-IS!D15</f>
        <v>31.635999999999981</v>
      </c>
      <c r="K96" s="951">
        <f>IS!K15-IS!E15</f>
        <v>23.080000000000013</v>
      </c>
      <c r="L96" s="951">
        <f>IS!L15-IS!F15</f>
        <v>-1.9009999999999962</v>
      </c>
      <c r="M96" s="1250">
        <f>IS!M15-IS!G15</f>
        <v>81.324999999999932</v>
      </c>
      <c r="N96" s="951"/>
      <c r="O96" s="1249">
        <f>IS!O15-IS!I15</f>
        <v>-2.936000000000007</v>
      </c>
      <c r="P96" s="951">
        <f>IS!P15-IS!J15</f>
        <v>-17.934999999999988</v>
      </c>
      <c r="Q96" s="951">
        <f>IS!Q15-IS!K15</f>
        <v>-17.622000000000014</v>
      </c>
      <c r="R96" s="951">
        <f>IS!R15-IS!L15</f>
        <v>-18.07099999999997</v>
      </c>
      <c r="S96" s="1250">
        <f>IS!S15-IS!M15</f>
        <v>-56.563999999999851</v>
      </c>
      <c r="T96" s="951"/>
      <c r="U96" s="1249">
        <f>IS!U15-IS!O15</f>
        <v>-7.228999999999985</v>
      </c>
      <c r="V96" s="951">
        <f>IS!V15-IS!P15</f>
        <v>1.8460000000000036</v>
      </c>
      <c r="W96" s="951">
        <f>IS!W15-IS!Q15</f>
        <v>8.0540000000000163</v>
      </c>
      <c r="X96" s="951">
        <f>IS!X15-IS!R15</f>
        <v>20.225999999999956</v>
      </c>
      <c r="Y96" s="1250">
        <f>IS!Y15-IS!S15</f>
        <v>22.896999999999935</v>
      </c>
      <c r="Z96" s="951"/>
      <c r="AA96" s="1249">
        <f>IS!AA15-IS!U15</f>
        <v>8.0639999999999787</v>
      </c>
      <c r="AB96" s="951">
        <f>IS!AB15-IS!V15</f>
        <v>9.4549999999999699</v>
      </c>
      <c r="AC96" s="951">
        <f>IS!AC15-IS!W15</f>
        <v>9.5139999999999958</v>
      </c>
      <c r="AD96" s="951">
        <f>IS!AD15-IS!X15</f>
        <v>25.084000000000188</v>
      </c>
      <c r="AE96" s="1250">
        <f>IS!AE15-IS!Y15</f>
        <v>52.117000000000189</v>
      </c>
      <c r="AF96" s="951"/>
      <c r="AG96" s="1249">
        <f>IS!AG15-IS!AA15</f>
        <v>20.903999999999996</v>
      </c>
      <c r="AH96" s="951">
        <f>IS!AH15-IS!AB15</f>
        <v>7.9960000000000377</v>
      </c>
      <c r="AI96" s="951">
        <f>IS!AI15-IS!AC15</f>
        <v>12.420999999999992</v>
      </c>
      <c r="AJ96" s="951">
        <f>IS!AJ15-IS!AD15</f>
        <v>-1.3760000000001753</v>
      </c>
      <c r="AK96" s="1250">
        <f>IS!AK15-IS!AE15</f>
        <v>39.944999999999823</v>
      </c>
      <c r="AL96" s="951"/>
      <c r="AM96" s="1249">
        <f>IS!AM15-IS!AG15</f>
        <v>-3.8839999999999577</v>
      </c>
      <c r="AN96" s="951">
        <f>IS!AN15-IS!AH15</f>
        <v>-0.6290000000000191</v>
      </c>
      <c r="AO96" s="951">
        <f>IS!AO15-IS!AI15</f>
        <v>-2.9960000000000093</v>
      </c>
      <c r="AP96" s="951">
        <f>IS!AP15-IS!AJ15</f>
        <v>1.3170000000000357</v>
      </c>
      <c r="AQ96" s="1250">
        <f>IS!AQ15-IS!AK15</f>
        <v>-6.1920000000000073</v>
      </c>
      <c r="AR96" s="951"/>
      <c r="AS96" s="1249">
        <f>IS!AS15-IS!AM15</f>
        <v>-0.63100000000000023</v>
      </c>
      <c r="AT96" s="951">
        <f>IS!AT15-IS!AN15</f>
        <v>-1.1370000000000005</v>
      </c>
      <c r="AU96" s="951">
        <f>IS!AU15-IS!AO15</f>
        <v>-0.19999999999998863</v>
      </c>
      <c r="AV96" s="951">
        <f>IS!AV15-IS!AP15</f>
        <v>-4.2010000000000502</v>
      </c>
      <c r="AW96" s="1250">
        <f>IS!AW15-IS!AQ15</f>
        <v>-6.1689999999999827</v>
      </c>
      <c r="AX96" s="951"/>
      <c r="AY96" s="1249">
        <f>IS!AY15-IS!AS15</f>
        <v>-7.1370000000000289</v>
      </c>
      <c r="AZ96" s="951">
        <f>IS!AZ15-IS!AT15</f>
        <v>-3.0889999999999986</v>
      </c>
      <c r="BA96" s="951">
        <f>IS!BA15-IS!AU15</f>
        <v>2.1999999999999886</v>
      </c>
      <c r="BB96" s="951">
        <f>IS!BB15-IS!AV15</f>
        <v>-4.4479999999999791</v>
      </c>
      <c r="BC96" s="1250">
        <f>IS!BC15-IS!AW15</f>
        <v>-12.474000000000046</v>
      </c>
      <c r="BD96" s="951"/>
      <c r="BE96" s="1249">
        <f>IS!BE15-IS!AY15</f>
        <v>-1.5</v>
      </c>
      <c r="BF96" s="951">
        <f>IS!BF15-IS!AZ15</f>
        <v>2.3000000000000114</v>
      </c>
      <c r="BG96" s="951">
        <f>IS!BG15-IS!BA15</f>
        <v>-8.5</v>
      </c>
      <c r="BH96" s="951">
        <f>IS!BH15-IS!BB15</f>
        <v>-5.3999999999999773</v>
      </c>
      <c r="BI96" s="1250">
        <f>IS!BI15-IS!BC15</f>
        <v>-13.099999999999909</v>
      </c>
      <c r="BJ96" s="951"/>
      <c r="BK96" s="1249">
        <f>IS!BK15-IS!BE15</f>
        <v>-0.90700000000001069</v>
      </c>
      <c r="BL96" s="951">
        <f>IS!BL15-IS!BF15</f>
        <v>-2.6999999999999886</v>
      </c>
      <c r="BM96" s="951">
        <f>IS!BM15-IS!BG15</f>
        <v>5.7000000000000171</v>
      </c>
      <c r="BN96" s="951">
        <f>IS!BN15-IS!BH15</f>
        <v>12.499999999999972</v>
      </c>
      <c r="BO96" s="1250">
        <f>IS!BO15-IS!BI15</f>
        <v>14.592999999999961</v>
      </c>
      <c r="BP96" s="951"/>
      <c r="BQ96" s="1249">
        <f>IS!BQ15-IS!BK15</f>
        <v>31.121224828572082</v>
      </c>
      <c r="BR96" s="951">
        <f>IS!BR15-IS!BL15</f>
        <v>34.584353033250267</v>
      </c>
      <c r="BS96" s="951">
        <f>IS!BS15-IS!BM15</f>
        <v>31.785470188490251</v>
      </c>
      <c r="BT96" s="951">
        <f>IS!BT15-IS!BN15</f>
        <v>28.376618983969195</v>
      </c>
      <c r="BU96" s="1250">
        <f>IS!BU15-IS!BO15</f>
        <v>125.86766703428179</v>
      </c>
      <c r="BV96" s="951"/>
      <c r="BW96" s="1249">
        <f>IS!BW15-IS!BQ15</f>
        <v>8.3838145980741672</v>
      </c>
      <c r="BX96" s="951">
        <f>IS!BX15-IS!BR15</f>
        <v>9.6153236694138116</v>
      </c>
      <c r="BY96" s="951">
        <f>IS!BY15-IS!BS15</f>
        <v>10.370048337972236</v>
      </c>
      <c r="BZ96" s="951">
        <f>IS!BZ15-IS!BT15</f>
        <v>10.651467533807335</v>
      </c>
      <c r="CA96" s="1250">
        <f>IS!CA15-IS!BU15</f>
        <v>39.020654139267549</v>
      </c>
      <c r="CB96" s="951"/>
      <c r="CC96" s="1249">
        <f>IS!CC15-IS!BW15</f>
        <v>10.209376410394128</v>
      </c>
      <c r="CD96" s="951">
        <f>IS!CD15-IS!BX15</f>
        <v>10.825077242603555</v>
      </c>
      <c r="CE96" s="951">
        <f>IS!CE15-IS!BY15</f>
        <v>10.297041820425221</v>
      </c>
      <c r="CF96" s="951">
        <f>IS!CF15-IS!BZ15</f>
        <v>9.4744774692857732</v>
      </c>
      <c r="CG96" s="1250">
        <f>IS!CG15-IS!CA15</f>
        <v>40.805972942708649</v>
      </c>
      <c r="CH96" s="951"/>
      <c r="CI96" s="1249">
        <f>IS!CI15-IS!CC15</f>
        <v>7.4888863364958809</v>
      </c>
      <c r="CJ96" s="951">
        <f>IS!CJ15-IS!CD15</f>
        <v>7.6567045910655054</v>
      </c>
      <c r="CK96" s="951">
        <f>IS!CK15-IS!CE15</f>
        <v>8.2635968237568989</v>
      </c>
      <c r="CL96" s="951">
        <f>IS!CL15-IS!CF15</f>
        <v>8.0726863377575739</v>
      </c>
      <c r="CM96" s="1250">
        <f>IS!CM15-IS!CG15</f>
        <v>31.481874089075859</v>
      </c>
    </row>
    <row r="97" spans="1:109">
      <c r="A97" s="946" t="s">
        <v>119</v>
      </c>
      <c r="B97" s="227"/>
      <c r="C97" s="463"/>
      <c r="D97" s="227"/>
      <c r="E97" s="227"/>
      <c r="F97" s="227"/>
      <c r="G97" s="891"/>
      <c r="H97" s="227"/>
      <c r="I97" s="1249">
        <f>IS!I14-IS!C14</f>
        <v>0.1059999999999981</v>
      </c>
      <c r="J97" s="951">
        <f>IS!J14-IS!D14</f>
        <v>1.5079999999999991</v>
      </c>
      <c r="K97" s="951">
        <f>IS!K14-IS!E14</f>
        <v>-1.4989999999999988</v>
      </c>
      <c r="L97" s="951">
        <f>IS!L14-IS!F14</f>
        <v>-1.4439999999999991</v>
      </c>
      <c r="M97" s="1250">
        <f>IS!M14-IS!G14</f>
        <v>-1.3290000000000077</v>
      </c>
      <c r="N97" s="951"/>
      <c r="O97" s="1249">
        <f>IS!O14-IS!I14</f>
        <v>-1.6129999999999995</v>
      </c>
      <c r="P97" s="951">
        <f>IS!P14-IS!J14</f>
        <v>-3.0119999999999969</v>
      </c>
      <c r="Q97" s="951">
        <f>IS!Q14-IS!K14</f>
        <v>-2.8910000000000018</v>
      </c>
      <c r="R97" s="951">
        <f>IS!R14-IS!L14</f>
        <v>-9.8759999999999977</v>
      </c>
      <c r="S97" s="1250">
        <f>IS!S14-IS!M14</f>
        <v>-17.391999999999996</v>
      </c>
      <c r="T97" s="951"/>
      <c r="U97" s="1249">
        <f>IS!U14-IS!O14</f>
        <v>-3.0730000000000004</v>
      </c>
      <c r="V97" s="951">
        <f>IS!V14-IS!P14</f>
        <v>-2.7899999999999991</v>
      </c>
      <c r="W97" s="951">
        <f>IS!W14-IS!Q14</f>
        <v>0.6130000000000031</v>
      </c>
      <c r="X97" s="951">
        <f>IS!X14-IS!R14</f>
        <v>9.6800000000000033</v>
      </c>
      <c r="Y97" s="1250">
        <f>IS!Y14-IS!S14</f>
        <v>4.4300000000000068</v>
      </c>
      <c r="Z97" s="951"/>
      <c r="AA97" s="1249">
        <f>IS!AA14-IS!U14</f>
        <v>3.2239999999999966</v>
      </c>
      <c r="AB97" s="951">
        <f>IS!AB14-IS!V14</f>
        <v>5.3099999999999987</v>
      </c>
      <c r="AC97" s="951">
        <f>IS!AC14-IS!W14</f>
        <v>6.5879999999999974</v>
      </c>
      <c r="AD97" s="951">
        <f>IS!AD14-IS!X14</f>
        <v>5.9880000000000031</v>
      </c>
      <c r="AE97" s="1250">
        <f>IS!AE14-IS!Y14</f>
        <v>21.109999999999985</v>
      </c>
      <c r="AF97" s="951"/>
      <c r="AG97" s="1249">
        <f>IS!AG14-IS!AA14</f>
        <v>6.6390000000000029</v>
      </c>
      <c r="AH97" s="951">
        <f>IS!AH14-IS!AB14</f>
        <v>5.9370000000000047</v>
      </c>
      <c r="AI97" s="951">
        <f>IS!AI14-IS!AC14</f>
        <v>2.3060000000000009</v>
      </c>
      <c r="AJ97" s="951">
        <f>IS!AJ14-IS!AD14</f>
        <v>2.635999999999985</v>
      </c>
      <c r="AK97" s="1250">
        <f>IS!AK14-IS!AE14</f>
        <v>17.518000000000001</v>
      </c>
      <c r="AL97" s="951"/>
      <c r="AM97" s="1249">
        <f>IS!AM14-IS!AG14</f>
        <v>1.5529999999999973</v>
      </c>
      <c r="AN97" s="951">
        <f>IS!AN14-IS!AH14</f>
        <v>0.53499999999999659</v>
      </c>
      <c r="AO97" s="951">
        <f>IS!AO14-IS!AI14</f>
        <v>-1.1080000000000005</v>
      </c>
      <c r="AP97" s="951">
        <f>IS!AP14-IS!AJ14</f>
        <v>-0.33599999999999852</v>
      </c>
      <c r="AQ97" s="1250">
        <f>IS!AQ14-IS!AK14</f>
        <v>0.64400000000000546</v>
      </c>
      <c r="AR97" s="951"/>
      <c r="AS97" s="1249">
        <f>IS!AS14-IS!AM14</f>
        <v>-4.8979999999999961</v>
      </c>
      <c r="AT97" s="951">
        <f>IS!AT14-IS!AN14</f>
        <v>-4.0520000000000032</v>
      </c>
      <c r="AU97" s="951">
        <f>IS!AU14-IS!AO14</f>
        <v>-0.89999999999999858</v>
      </c>
      <c r="AV97" s="951">
        <f>IS!AV14-IS!AP14</f>
        <v>-2.4359999999999928</v>
      </c>
      <c r="AW97" s="1250">
        <f>IS!AW14-IS!AQ14</f>
        <v>-12.286000000000001</v>
      </c>
      <c r="AX97" s="951"/>
      <c r="AY97" s="1249">
        <f>IS!AY14-IS!AS14</f>
        <v>0.12099999999999511</v>
      </c>
      <c r="AZ97" s="951">
        <f>IS!AZ14-IS!AT14</f>
        <v>-0.85200000000000031</v>
      </c>
      <c r="BA97" s="951">
        <f>IS!BA14-IS!AU14</f>
        <v>-3.3000000000000007</v>
      </c>
      <c r="BB97" s="951">
        <f>IS!BB14-IS!AV14</f>
        <v>-4.2660000000000018</v>
      </c>
      <c r="BC97" s="1250">
        <f>IS!BC14-IS!AW14</f>
        <v>-8.2970000000000113</v>
      </c>
      <c r="BD97" s="951"/>
      <c r="BE97" s="1249">
        <f>IS!BE14-IS!AY14</f>
        <v>0.50000000000000355</v>
      </c>
      <c r="BF97" s="951">
        <f>IS!BF14-IS!AZ14</f>
        <v>2.3000000000000007</v>
      </c>
      <c r="BG97" s="951">
        <f>IS!BG14-IS!BA14</f>
        <v>2.3999999999999986</v>
      </c>
      <c r="BH97" s="951">
        <f>IS!BH14-IS!BB14</f>
        <v>6.6999999999999993</v>
      </c>
      <c r="BI97" s="1250">
        <f>IS!BI14-IS!BC14</f>
        <v>11.90000000000002</v>
      </c>
      <c r="BJ97" s="951"/>
      <c r="BK97" s="1249">
        <f>IS!BK14-IS!BE14</f>
        <v>3.487999999999996</v>
      </c>
      <c r="BL97" s="951">
        <f>IS!BL14-IS!BF14</f>
        <v>1.8000000000000007</v>
      </c>
      <c r="BM97" s="951">
        <f>IS!BM14-IS!BG14</f>
        <v>5.3999999999999986</v>
      </c>
      <c r="BN97" s="951">
        <f>IS!BN14-IS!BH14</f>
        <v>4.8000000000000043</v>
      </c>
      <c r="BO97" s="1250">
        <f>IS!BO14-IS!BI14</f>
        <v>15.488</v>
      </c>
      <c r="BP97" s="951"/>
      <c r="BQ97" s="1249">
        <f>IS!BQ14-IS!BK14</f>
        <v>10.196589710907801</v>
      </c>
      <c r="BR97" s="951">
        <f>IS!BR14-IS!BL14</f>
        <v>10.551253648935571</v>
      </c>
      <c r="BS97" s="951">
        <f>IS!BS14-IS!BM14</f>
        <v>10.107951965115511</v>
      </c>
      <c r="BT97" s="951">
        <f>IS!BT14-IS!BN14</f>
        <v>9.5924737285122319</v>
      </c>
      <c r="BU97" s="1250">
        <f>IS!BU14-IS!BO14</f>
        <v>40.448269053471108</v>
      </c>
      <c r="BV97" s="951"/>
      <c r="BW97" s="1249">
        <f>IS!BW14-IS!BQ14</f>
        <v>1.7756043140597626</v>
      </c>
      <c r="BX97" s="951">
        <f>IS!BX14-IS!BR14</f>
        <v>1.9923565716474698</v>
      </c>
      <c r="BY97" s="951">
        <f>IS!BY14-IS!BS14</f>
        <v>2.2979745498145192</v>
      </c>
      <c r="BZ97" s="951">
        <f>IS!BZ14-IS!BT14</f>
        <v>2.3913363376900492</v>
      </c>
      <c r="CA97" s="1250">
        <f>IS!CA14-IS!BU14</f>
        <v>8.4572717732118008</v>
      </c>
      <c r="CB97" s="951"/>
      <c r="CC97" s="1249">
        <f>IS!CC14-IS!BW14</f>
        <v>2.1963345601867346</v>
      </c>
      <c r="CD97" s="951">
        <f>IS!CD14-IS!BX14</f>
        <v>2.2312340549961434</v>
      </c>
      <c r="CE97" s="951">
        <f>IS!CE14-IS!BY14</f>
        <v>2.2056354607731237</v>
      </c>
      <c r="CF97" s="951">
        <f>IS!CF14-IS!BZ14</f>
        <v>1.9922233089647179</v>
      </c>
      <c r="CG97" s="1250">
        <f>IS!CG14-IS!CA14</f>
        <v>8.6254273849206982</v>
      </c>
      <c r="CH97" s="951"/>
      <c r="CI97" s="1249">
        <f>IS!CI14-IS!CC14</f>
        <v>1.4231388435698662</v>
      </c>
      <c r="CJ97" s="951">
        <f>IS!CJ14-IS!CD14</f>
        <v>1.3498428140856618</v>
      </c>
      <c r="CK97" s="951">
        <f>IS!CK14-IS!CE14</f>
        <v>1.5983634740368373</v>
      </c>
      <c r="CL97" s="951">
        <f>IS!CL14-IS!CF14</f>
        <v>1.541028618578494</v>
      </c>
      <c r="CM97" s="1250">
        <f>IS!CM14-IS!CG14</f>
        <v>5.9123737502708593</v>
      </c>
    </row>
    <row r="98" spans="1:109">
      <c r="A98" s="1266" t="s">
        <v>76</v>
      </c>
      <c r="B98" s="1267"/>
      <c r="C98" s="1268"/>
      <c r="D98" s="1267"/>
      <c r="E98" s="1267"/>
      <c r="F98" s="1267"/>
      <c r="G98" s="1269"/>
      <c r="H98" s="1267"/>
      <c r="I98" s="1270">
        <v>-10.077231882766089</v>
      </c>
      <c r="J98" s="1271">
        <v>2.2014001048871386</v>
      </c>
      <c r="K98" s="1271">
        <v>-8.6860322062618884</v>
      </c>
      <c r="L98" s="1271">
        <v>11.474115869690028</v>
      </c>
      <c r="M98" s="1272">
        <v>-1.2548965390216722</v>
      </c>
      <c r="N98" s="1271"/>
      <c r="O98" s="1270">
        <v>16.855218111637232</v>
      </c>
      <c r="P98" s="1271">
        <v>-13.450156112819968</v>
      </c>
      <c r="Q98" s="1271">
        <v>24.653932269710658</v>
      </c>
      <c r="R98" s="1271">
        <v>126.82529363291916</v>
      </c>
      <c r="S98" s="1272">
        <v>133.53010971168567</v>
      </c>
      <c r="T98" s="1271"/>
      <c r="U98" s="1270">
        <v>38.471660007676803</v>
      </c>
      <c r="V98" s="1271">
        <v>77.03837846869088</v>
      </c>
      <c r="W98" s="1271">
        <v>16.748479827501068</v>
      </c>
      <c r="X98" s="1271">
        <v>-75.037145075268484</v>
      </c>
      <c r="Y98" s="1272">
        <v>39.74828402501069</v>
      </c>
      <c r="Z98" s="1271"/>
      <c r="AA98" s="1270">
        <v>11.730887696509555</v>
      </c>
      <c r="AB98" s="1271">
        <v>-15.832198845097192</v>
      </c>
      <c r="AC98" s="1271">
        <v>-8.1320637599465275</v>
      </c>
      <c r="AD98" s="1271">
        <v>-44.5528545537261</v>
      </c>
      <c r="AE98" s="1272">
        <v>-56.011413029131873</v>
      </c>
      <c r="AF98" s="1271"/>
      <c r="AG98" s="1270">
        <v>-38.681952733623426</v>
      </c>
      <c r="AH98" s="1271">
        <v>-34.296052928384505</v>
      </c>
      <c r="AI98" s="1271">
        <v>-40.902426346245562</v>
      </c>
      <c r="AJ98" s="1271">
        <v>-5.1672813583006665</v>
      </c>
      <c r="AK98" s="1272">
        <v>-128.02348644308415</v>
      </c>
      <c r="AL98" s="1271"/>
      <c r="AM98" s="1270">
        <v>-15.635447695949889</v>
      </c>
      <c r="AN98" s="1271">
        <v>-2.8104295497035992</v>
      </c>
      <c r="AO98" s="1271">
        <v>4.7818341528809238</v>
      </c>
      <c r="AP98" s="1271">
        <v>4.4060375931289704</v>
      </c>
      <c r="AQ98" s="1272">
        <v>-9.4819508610335603</v>
      </c>
      <c r="AR98" s="1271"/>
      <c r="AS98" s="1270">
        <v>2.1728918159613695</v>
      </c>
      <c r="AT98" s="1271">
        <v>-10.490350645048142</v>
      </c>
      <c r="AU98" s="1271">
        <v>17.495002283965245</v>
      </c>
      <c r="AV98" s="1271">
        <v>49.625233874836844</v>
      </c>
      <c r="AW98" s="1272">
        <v>59.232370128296722</v>
      </c>
      <c r="AX98" s="1271"/>
      <c r="AY98" s="1270">
        <v>61.876726641237909</v>
      </c>
      <c r="AZ98" s="1271">
        <v>68.245691966621976</v>
      </c>
      <c r="BA98" s="1271">
        <v>34.97827523930367</v>
      </c>
      <c r="BB98" s="1271">
        <v>33.858349614771825</v>
      </c>
      <c r="BC98" s="1272">
        <v>198.2208955946511</v>
      </c>
      <c r="BD98" s="1271"/>
      <c r="BE98" s="1270">
        <v>18.197300300066551</v>
      </c>
      <c r="BF98" s="1271">
        <v>20.901883572985486</v>
      </c>
      <c r="BG98" s="1271">
        <v>23.011746384533545</v>
      </c>
      <c r="BH98" s="1271">
        <v>7.9249853269382031</v>
      </c>
      <c r="BI98" s="1272">
        <v>69.857858730323159</v>
      </c>
      <c r="BJ98" s="1271"/>
      <c r="BK98" s="1270">
        <v>6.8691954846448926</v>
      </c>
      <c r="BL98" s="1271">
        <v>8.2246944836811835</v>
      </c>
      <c r="BM98" s="1271">
        <v>0.26496027349482532</v>
      </c>
      <c r="BN98" s="1271">
        <v>-4.7554089493798557</v>
      </c>
      <c r="BO98" s="1272">
        <v>10.752238686676023</v>
      </c>
      <c r="BP98" s="1271"/>
      <c r="BQ98" s="1270">
        <v>-28.771457530852519</v>
      </c>
      <c r="BR98" s="1271">
        <v>-23.912667009454871</v>
      </c>
      <c r="BS98" s="1271">
        <v>-20.104485059865034</v>
      </c>
      <c r="BT98" s="1271">
        <v>-24.374797574447204</v>
      </c>
      <c r="BU98" s="1272">
        <v>-97.163671319221024</v>
      </c>
      <c r="BV98" s="1271"/>
      <c r="BW98" s="1270">
        <v>23.580672730487493</v>
      </c>
      <c r="BX98" s="1271">
        <v>28.802331033429468</v>
      </c>
      <c r="BY98" s="1271">
        <v>31.133683912673099</v>
      </c>
      <c r="BZ98" s="1271">
        <v>35.129570069456072</v>
      </c>
      <c r="CA98" s="1272">
        <v>118.64625774604571</v>
      </c>
      <c r="CB98" s="1271"/>
      <c r="CC98" s="1270">
        <v>27.434762140375426</v>
      </c>
      <c r="CD98" s="1271">
        <v>31.838812965882774</v>
      </c>
      <c r="CE98" s="1271">
        <v>31.495678596343566</v>
      </c>
      <c r="CF98" s="1271">
        <v>32.9617211119903</v>
      </c>
      <c r="CG98" s="1272">
        <v>123.73097481459246</v>
      </c>
      <c r="CH98" s="1271"/>
      <c r="CI98" s="1270">
        <v>22.996629616969251</v>
      </c>
      <c r="CJ98" s="1271">
        <v>26.100103565904362</v>
      </c>
      <c r="CK98" s="1271">
        <v>28.114934040485274</v>
      </c>
      <c r="CL98" s="1271">
        <v>30.863257247118987</v>
      </c>
      <c r="CM98" s="1272">
        <v>108.07492447047727</v>
      </c>
      <c r="CR98" s="833"/>
    </row>
    <row r="99" spans="1:109">
      <c r="A99" s="1258" t="s">
        <v>77</v>
      </c>
      <c r="B99" s="892"/>
      <c r="C99" s="893"/>
      <c r="D99" s="892"/>
      <c r="E99" s="892"/>
      <c r="F99" s="892"/>
      <c r="G99" s="895"/>
      <c r="H99" s="892"/>
      <c r="I99" s="893"/>
      <c r="J99" s="892"/>
      <c r="K99" s="892"/>
      <c r="L99" s="892"/>
      <c r="M99" s="895"/>
      <c r="N99" s="892"/>
      <c r="O99" s="893"/>
      <c r="P99" s="892"/>
      <c r="Q99" s="892"/>
      <c r="R99" s="892"/>
      <c r="S99" s="895"/>
      <c r="T99" s="892"/>
      <c r="U99" s="893"/>
      <c r="V99" s="892"/>
      <c r="W99" s="892"/>
      <c r="X99" s="892"/>
      <c r="Y99" s="895"/>
      <c r="Z99" s="892"/>
      <c r="AA99" s="893"/>
      <c r="AB99" s="892"/>
      <c r="AC99" s="892"/>
      <c r="AD99" s="892"/>
      <c r="AE99" s="895"/>
      <c r="AF99" s="892"/>
      <c r="AG99" s="893"/>
      <c r="AH99" s="892"/>
      <c r="AI99" s="892"/>
      <c r="AJ99" s="892"/>
      <c r="AK99" s="895"/>
      <c r="AL99" s="892"/>
      <c r="AM99" s="893"/>
      <c r="AN99" s="892"/>
      <c r="AO99" s="892"/>
      <c r="AP99" s="892"/>
      <c r="AQ99" s="895"/>
      <c r="AR99" s="892"/>
      <c r="AS99" s="893"/>
      <c r="AT99" s="892"/>
      <c r="AU99" s="892"/>
      <c r="AV99" s="892"/>
      <c r="AW99" s="895"/>
      <c r="AX99" s="892"/>
      <c r="AY99" s="893"/>
      <c r="AZ99" s="892"/>
      <c r="BA99" s="892"/>
      <c r="BB99" s="892"/>
      <c r="BC99" s="895"/>
      <c r="BD99" s="892"/>
      <c r="BE99" s="893"/>
      <c r="BF99" s="892"/>
      <c r="BG99" s="892"/>
      <c r="BH99" s="892"/>
      <c r="BI99" s="895"/>
      <c r="BJ99" s="892"/>
      <c r="BK99" s="893"/>
      <c r="BL99" s="892"/>
      <c r="BM99" s="892"/>
      <c r="BN99" s="892"/>
      <c r="BO99" s="895"/>
      <c r="BP99" s="892"/>
      <c r="BQ99" s="893"/>
      <c r="BR99" s="892"/>
      <c r="BS99" s="892"/>
      <c r="BT99" s="892"/>
      <c r="BU99" s="895"/>
      <c r="BV99" s="892"/>
      <c r="BW99" s="893"/>
      <c r="BX99" s="892"/>
      <c r="BY99" s="892"/>
      <c r="BZ99" s="892"/>
      <c r="CA99" s="895"/>
      <c r="CB99" s="892"/>
      <c r="CC99" s="893"/>
      <c r="CD99" s="892"/>
      <c r="CE99" s="892"/>
      <c r="CF99" s="892"/>
      <c r="CG99" s="895"/>
      <c r="CH99" s="892"/>
      <c r="CI99" s="893"/>
      <c r="CJ99" s="892"/>
      <c r="CK99" s="892"/>
      <c r="CL99" s="892"/>
      <c r="CM99" s="895"/>
      <c r="CS99" s="833"/>
      <c r="CT99" s="833"/>
      <c r="CU99" s="833"/>
      <c r="CV99" s="833"/>
      <c r="CW99" s="833"/>
      <c r="CX99" s="833"/>
      <c r="CY99" s="833"/>
      <c r="CZ99" s="833"/>
      <c r="DA99" s="833"/>
      <c r="DB99" s="833"/>
      <c r="DC99" s="833"/>
      <c r="DD99" s="833"/>
      <c r="DE99" s="833"/>
    </row>
    <row r="100" spans="1:109">
      <c r="A100" s="946" t="s">
        <v>120</v>
      </c>
      <c r="B100" s="227"/>
      <c r="C100" s="463"/>
      <c r="D100" s="227"/>
      <c r="E100" s="227"/>
      <c r="F100" s="227"/>
      <c r="G100" s="891"/>
      <c r="H100" s="227"/>
      <c r="I100" s="1249">
        <f>I96+C96</f>
        <v>28.510000000000005</v>
      </c>
      <c r="J100" s="951">
        <f t="shared" ref="J100:M100" si="140">J96+D96</f>
        <v>31.635999999999981</v>
      </c>
      <c r="K100" s="951">
        <f t="shared" si="140"/>
        <v>23.080000000000013</v>
      </c>
      <c r="L100" s="951">
        <f t="shared" si="140"/>
        <v>-1.9009999999999962</v>
      </c>
      <c r="M100" s="1250">
        <f t="shared" si="140"/>
        <v>81.324999999999932</v>
      </c>
      <c r="N100" s="951"/>
      <c r="O100" s="1249">
        <f>O96+I96</f>
        <v>25.573999999999998</v>
      </c>
      <c r="P100" s="951">
        <f t="shared" ref="P100:P102" si="141">P96+J96</f>
        <v>13.700999999999993</v>
      </c>
      <c r="Q100" s="951">
        <f t="shared" ref="Q100:Q102" si="142">Q96+K96</f>
        <v>5.4579999999999984</v>
      </c>
      <c r="R100" s="951">
        <f t="shared" ref="R100:R102" si="143">R96+L96</f>
        <v>-19.971999999999966</v>
      </c>
      <c r="S100" s="1250">
        <f t="shared" ref="S100:S102" si="144">S96+M96</f>
        <v>24.761000000000081</v>
      </c>
      <c r="T100" s="951"/>
      <c r="U100" s="1249">
        <f>U96+O96</f>
        <v>-10.164999999999992</v>
      </c>
      <c r="V100" s="951">
        <f t="shared" ref="V100:V102" si="145">V96+P96</f>
        <v>-16.088999999999984</v>
      </c>
      <c r="W100" s="951">
        <f t="shared" ref="W100:W102" si="146">W96+Q96</f>
        <v>-9.5679999999999978</v>
      </c>
      <c r="X100" s="951">
        <f t="shared" ref="X100:X102" si="147">X96+R96</f>
        <v>2.1549999999999869</v>
      </c>
      <c r="Y100" s="1250">
        <f t="shared" ref="Y100:Y102" si="148">Y96+S96</f>
        <v>-33.666999999999916</v>
      </c>
      <c r="Z100" s="951"/>
      <c r="AA100" s="1249">
        <f>AA96+U96</f>
        <v>0.83499999999999375</v>
      </c>
      <c r="AB100" s="951">
        <f t="shared" ref="AB100:AB102" si="149">AB96+V96</f>
        <v>11.300999999999974</v>
      </c>
      <c r="AC100" s="951">
        <f t="shared" ref="AC100:AC102" si="150">AC96+W96</f>
        <v>17.568000000000012</v>
      </c>
      <c r="AD100" s="951">
        <f t="shared" ref="AD100:AD102" si="151">AD96+X96</f>
        <v>45.310000000000144</v>
      </c>
      <c r="AE100" s="1250">
        <f t="shared" ref="AE100:AE102" si="152">AE96+Y96</f>
        <v>75.014000000000124</v>
      </c>
      <c r="AF100" s="951"/>
      <c r="AG100" s="1249">
        <f>AG96+AA96</f>
        <v>28.967999999999975</v>
      </c>
      <c r="AH100" s="951">
        <f t="shared" ref="AH100:AH102" si="153">AH96+AB96</f>
        <v>17.451000000000008</v>
      </c>
      <c r="AI100" s="951">
        <f t="shared" ref="AI100:AI102" si="154">AI96+AC96</f>
        <v>21.934999999999988</v>
      </c>
      <c r="AJ100" s="951">
        <f t="shared" ref="AJ100:AJ102" si="155">AJ96+AD96</f>
        <v>23.708000000000013</v>
      </c>
      <c r="AK100" s="1250">
        <f t="shared" ref="AK100:AK102" si="156">AK96+AE96</f>
        <v>92.062000000000012</v>
      </c>
      <c r="AL100" s="951"/>
      <c r="AM100" s="1249">
        <f>AM96+AG96</f>
        <v>17.020000000000039</v>
      </c>
      <c r="AN100" s="951">
        <f t="shared" ref="AN100:AN102" si="157">AN96+AH96</f>
        <v>7.3670000000000186</v>
      </c>
      <c r="AO100" s="951">
        <f t="shared" ref="AO100:AO102" si="158">AO96+AI96</f>
        <v>9.4249999999999829</v>
      </c>
      <c r="AP100" s="951">
        <f t="shared" ref="AP100:AP102" si="159">AP96+AJ96</f>
        <v>-5.9000000000139607E-2</v>
      </c>
      <c r="AQ100" s="1250">
        <f t="shared" ref="AQ100:AQ102" si="160">AQ96+AK96</f>
        <v>33.752999999999815</v>
      </c>
      <c r="AR100" s="951"/>
      <c r="AS100" s="1249">
        <f>AS96+AM96</f>
        <v>-4.5149999999999579</v>
      </c>
      <c r="AT100" s="951">
        <f t="shared" ref="AT100:AT102" si="161">AT96+AN96</f>
        <v>-1.7660000000000196</v>
      </c>
      <c r="AU100" s="951">
        <f t="shared" ref="AU100:AU102" si="162">AU96+AO96</f>
        <v>-3.195999999999998</v>
      </c>
      <c r="AV100" s="951">
        <f t="shared" ref="AV100:AV102" si="163">AV96+AP96</f>
        <v>-2.8840000000000146</v>
      </c>
      <c r="AW100" s="1250">
        <f t="shared" ref="AW100:AW102" si="164">AW96+AQ96</f>
        <v>-12.36099999999999</v>
      </c>
      <c r="AX100" s="951"/>
      <c r="AY100" s="1249">
        <f>AY96+AS96</f>
        <v>-7.7680000000000291</v>
      </c>
      <c r="AZ100" s="951">
        <f t="shared" ref="AZ100:AZ102" si="165">AZ96+AT96</f>
        <v>-4.2259999999999991</v>
      </c>
      <c r="BA100" s="951">
        <f t="shared" ref="BA100:BA102" si="166">BA96+AU96</f>
        <v>2</v>
      </c>
      <c r="BB100" s="951">
        <f t="shared" ref="BB100:BB102" si="167">BB96+AV96</f>
        <v>-8.6490000000000293</v>
      </c>
      <c r="BC100" s="1250">
        <f t="shared" ref="BC100:BC102" si="168">BC96+AW96</f>
        <v>-18.643000000000029</v>
      </c>
      <c r="BD100" s="951"/>
      <c r="BE100" s="1249">
        <f>BE96+AY96</f>
        <v>-8.6370000000000289</v>
      </c>
      <c r="BF100" s="951">
        <f t="shared" ref="BF100:BF102" si="169">BF96+AZ96</f>
        <v>-0.78899999999998727</v>
      </c>
      <c r="BG100" s="951">
        <f t="shared" ref="BG100:BG102" si="170">BG96+BA96</f>
        <v>-6.3000000000000114</v>
      </c>
      <c r="BH100" s="951">
        <f t="shared" ref="BH100:BH102" si="171">BH96+BB96</f>
        <v>-9.8479999999999563</v>
      </c>
      <c r="BI100" s="1250">
        <f t="shared" ref="BI100:BI102" si="172">BI96+BC96</f>
        <v>-25.573999999999955</v>
      </c>
      <c r="BJ100" s="951"/>
      <c r="BK100" s="1249">
        <f>BK96+BE96</f>
        <v>-2.4070000000000107</v>
      </c>
      <c r="BL100" s="951">
        <f t="shared" ref="BL100:BL102" si="173">BL96+BF96</f>
        <v>-0.39999999999997726</v>
      </c>
      <c r="BM100" s="951">
        <f t="shared" ref="BM100:BM102" si="174">BM96+BG96</f>
        <v>-2.7999999999999829</v>
      </c>
      <c r="BN100" s="951">
        <f t="shared" ref="BN100:BN102" si="175">BN96+BH96</f>
        <v>7.0999999999999943</v>
      </c>
      <c r="BO100" s="1250">
        <f t="shared" ref="BO100:BO102" si="176">BO96+BI96</f>
        <v>1.4930000000000518</v>
      </c>
      <c r="BP100" s="951"/>
      <c r="BQ100" s="1249">
        <f>BQ96+BK96</f>
        <v>30.214224828572071</v>
      </c>
      <c r="BR100" s="951">
        <f t="shared" ref="BR100:BR102" si="177">BR96+BL96</f>
        <v>31.884353033250278</v>
      </c>
      <c r="BS100" s="951">
        <f t="shared" ref="BS100:BS102" si="178">BS96+BM96</f>
        <v>37.485470188490268</v>
      </c>
      <c r="BT100" s="951">
        <f t="shared" ref="BT100:BT102" si="179">BT96+BN96</f>
        <v>40.876618983969166</v>
      </c>
      <c r="BU100" s="1250">
        <f t="shared" ref="BU100:BU102" si="180">BU96+BO96</f>
        <v>140.46066703428176</v>
      </c>
      <c r="BV100" s="951"/>
      <c r="BW100" s="1249">
        <f>BW96+BQ96</f>
        <v>39.505039426646249</v>
      </c>
      <c r="BX100" s="951">
        <f t="shared" ref="BX100:BX102" si="181">BX96+BR96</f>
        <v>44.199676702664078</v>
      </c>
      <c r="BY100" s="951">
        <f t="shared" ref="BY100:BY102" si="182">BY96+BS96</f>
        <v>42.155518526462487</v>
      </c>
      <c r="BZ100" s="951">
        <f t="shared" ref="BZ100:BZ102" si="183">BZ96+BT96</f>
        <v>39.028086517776529</v>
      </c>
      <c r="CA100" s="1250">
        <f t="shared" ref="CA100:CA102" si="184">CA96+BU96</f>
        <v>164.88832117354934</v>
      </c>
      <c r="CB100" s="951"/>
      <c r="CC100" s="1249">
        <f>CC96+BW96</f>
        <v>18.593191008468295</v>
      </c>
      <c r="CD100" s="951">
        <f t="shared" ref="CD100:CD102" si="185">CD96+BX96</f>
        <v>20.440400912017367</v>
      </c>
      <c r="CE100" s="951">
        <f t="shared" ref="CE100:CE102" si="186">CE96+BY96</f>
        <v>20.667090158397457</v>
      </c>
      <c r="CF100" s="951">
        <f t="shared" ref="CF100:CF102" si="187">CF96+BZ96</f>
        <v>20.125945003093108</v>
      </c>
      <c r="CG100" s="1250">
        <f t="shared" ref="CG100:CG102" si="188">CG96+CA96</f>
        <v>79.826627081976198</v>
      </c>
      <c r="CH100" s="951"/>
      <c r="CI100" s="1249">
        <f>CI96+CC96</f>
        <v>17.698262746890009</v>
      </c>
      <c r="CJ100" s="951">
        <f t="shared" ref="CJ100:CJ102" si="189">CJ96+CD96</f>
        <v>18.481781833669061</v>
      </c>
      <c r="CK100" s="951">
        <f t="shared" ref="CK100:CK102" si="190">CK96+CE96</f>
        <v>18.56063864418212</v>
      </c>
      <c r="CL100" s="951">
        <f t="shared" ref="CL100:CL102" si="191">CL96+CF96</f>
        <v>17.547163807043347</v>
      </c>
      <c r="CM100" s="1250">
        <f t="shared" ref="CM100:CM102" si="192">CM96+CG96</f>
        <v>72.287847031784509</v>
      </c>
    </row>
    <row r="101" spans="1:109">
      <c r="A101" s="946" t="s">
        <v>119</v>
      </c>
      <c r="B101" s="227"/>
      <c r="C101" s="463"/>
      <c r="D101" s="227"/>
      <c r="E101" s="227"/>
      <c r="F101" s="227"/>
      <c r="G101" s="891"/>
      <c r="H101" s="227"/>
      <c r="I101" s="1249">
        <f>I97+C97</f>
        <v>0.1059999999999981</v>
      </c>
      <c r="J101" s="951">
        <f t="shared" ref="J101:M101" si="193">J97+D97</f>
        <v>1.5079999999999991</v>
      </c>
      <c r="K101" s="951">
        <f t="shared" si="193"/>
        <v>-1.4989999999999988</v>
      </c>
      <c r="L101" s="951">
        <f t="shared" si="193"/>
        <v>-1.4439999999999991</v>
      </c>
      <c r="M101" s="1250">
        <f t="shared" si="193"/>
        <v>-1.3290000000000077</v>
      </c>
      <c r="N101" s="951"/>
      <c r="O101" s="1249">
        <f>O97+I97</f>
        <v>-1.5070000000000014</v>
      </c>
      <c r="P101" s="951">
        <f t="shared" si="141"/>
        <v>-1.5039999999999978</v>
      </c>
      <c r="Q101" s="951">
        <f t="shared" si="142"/>
        <v>-4.3900000000000006</v>
      </c>
      <c r="R101" s="951">
        <f t="shared" si="143"/>
        <v>-11.319999999999997</v>
      </c>
      <c r="S101" s="1250">
        <f t="shared" si="144"/>
        <v>-18.721000000000004</v>
      </c>
      <c r="T101" s="951"/>
      <c r="U101" s="1249">
        <f>U97+O97</f>
        <v>-4.6859999999999999</v>
      </c>
      <c r="V101" s="951">
        <f t="shared" si="145"/>
        <v>-5.801999999999996</v>
      </c>
      <c r="W101" s="951">
        <f t="shared" si="146"/>
        <v>-2.2779999999999987</v>
      </c>
      <c r="X101" s="951">
        <f t="shared" si="147"/>
        <v>-0.1959999999999944</v>
      </c>
      <c r="Y101" s="1250">
        <f t="shared" si="148"/>
        <v>-12.961999999999989</v>
      </c>
      <c r="Z101" s="951"/>
      <c r="AA101" s="1249">
        <f>AA97+U97</f>
        <v>0.15099999999999625</v>
      </c>
      <c r="AB101" s="951">
        <f t="shared" si="149"/>
        <v>2.5199999999999996</v>
      </c>
      <c r="AC101" s="951">
        <f t="shared" si="150"/>
        <v>7.2010000000000005</v>
      </c>
      <c r="AD101" s="951">
        <f t="shared" si="151"/>
        <v>15.668000000000006</v>
      </c>
      <c r="AE101" s="1250">
        <f t="shared" si="152"/>
        <v>25.539999999999992</v>
      </c>
      <c r="AF101" s="951"/>
      <c r="AG101" s="1249">
        <f>AG97+AA97</f>
        <v>9.8629999999999995</v>
      </c>
      <c r="AH101" s="951">
        <f t="shared" si="153"/>
        <v>11.247000000000003</v>
      </c>
      <c r="AI101" s="951">
        <f t="shared" si="154"/>
        <v>8.8939999999999984</v>
      </c>
      <c r="AJ101" s="951">
        <f t="shared" si="155"/>
        <v>8.6239999999999881</v>
      </c>
      <c r="AK101" s="1250">
        <f t="shared" si="156"/>
        <v>38.627999999999986</v>
      </c>
      <c r="AL101" s="951"/>
      <c r="AM101" s="1249">
        <f>AM97+AG97</f>
        <v>8.1920000000000002</v>
      </c>
      <c r="AN101" s="951">
        <f t="shared" si="157"/>
        <v>6.4720000000000013</v>
      </c>
      <c r="AO101" s="951">
        <f t="shared" si="158"/>
        <v>1.1980000000000004</v>
      </c>
      <c r="AP101" s="951">
        <f t="shared" si="159"/>
        <v>2.2999999999999865</v>
      </c>
      <c r="AQ101" s="1250">
        <f t="shared" si="160"/>
        <v>18.162000000000006</v>
      </c>
      <c r="AR101" s="951"/>
      <c r="AS101" s="1249">
        <f>AS97+AM97</f>
        <v>-3.3449999999999989</v>
      </c>
      <c r="AT101" s="951">
        <f t="shared" si="161"/>
        <v>-3.5170000000000066</v>
      </c>
      <c r="AU101" s="951">
        <f t="shared" si="162"/>
        <v>-2.0079999999999991</v>
      </c>
      <c r="AV101" s="951">
        <f t="shared" si="163"/>
        <v>-2.7719999999999914</v>
      </c>
      <c r="AW101" s="1250">
        <f t="shared" si="164"/>
        <v>-11.641999999999996</v>
      </c>
      <c r="AX101" s="951"/>
      <c r="AY101" s="1249">
        <f>AY97+AS97</f>
        <v>-4.777000000000001</v>
      </c>
      <c r="AZ101" s="951">
        <f t="shared" si="165"/>
        <v>-4.9040000000000035</v>
      </c>
      <c r="BA101" s="951">
        <f t="shared" si="166"/>
        <v>-4.1999999999999993</v>
      </c>
      <c r="BB101" s="951">
        <f t="shared" si="167"/>
        <v>-6.7019999999999946</v>
      </c>
      <c r="BC101" s="1250">
        <f t="shared" si="168"/>
        <v>-20.583000000000013</v>
      </c>
      <c r="BD101" s="951"/>
      <c r="BE101" s="1249">
        <f>BE97+AY97</f>
        <v>0.62099999999999866</v>
      </c>
      <c r="BF101" s="951">
        <f t="shared" si="169"/>
        <v>1.4480000000000004</v>
      </c>
      <c r="BG101" s="951">
        <f t="shared" si="170"/>
        <v>-0.90000000000000213</v>
      </c>
      <c r="BH101" s="951">
        <f t="shared" si="171"/>
        <v>2.4339999999999975</v>
      </c>
      <c r="BI101" s="1250">
        <f t="shared" si="172"/>
        <v>3.6030000000000086</v>
      </c>
      <c r="BJ101" s="951"/>
      <c r="BK101" s="1249">
        <f>BK97+BE97</f>
        <v>3.9879999999999995</v>
      </c>
      <c r="BL101" s="951">
        <f t="shared" si="173"/>
        <v>4.1000000000000014</v>
      </c>
      <c r="BM101" s="951">
        <f t="shared" si="174"/>
        <v>7.7999999999999972</v>
      </c>
      <c r="BN101" s="951">
        <f t="shared" si="175"/>
        <v>11.500000000000004</v>
      </c>
      <c r="BO101" s="1250">
        <f t="shared" si="176"/>
        <v>27.388000000000019</v>
      </c>
      <c r="BP101" s="951"/>
      <c r="BQ101" s="1249">
        <f>BQ97+BK97</f>
        <v>13.684589710907797</v>
      </c>
      <c r="BR101" s="951">
        <f t="shared" si="177"/>
        <v>12.351253648935572</v>
      </c>
      <c r="BS101" s="951">
        <f t="shared" si="178"/>
        <v>15.50795196511551</v>
      </c>
      <c r="BT101" s="951">
        <f t="shared" si="179"/>
        <v>14.392473728512236</v>
      </c>
      <c r="BU101" s="1250">
        <f t="shared" si="180"/>
        <v>55.936269053471108</v>
      </c>
      <c r="BV101" s="951"/>
      <c r="BW101" s="1249">
        <f>BW97+BQ97</f>
        <v>11.972194024967564</v>
      </c>
      <c r="BX101" s="951">
        <f t="shared" si="181"/>
        <v>12.543610220583041</v>
      </c>
      <c r="BY101" s="951">
        <f t="shared" si="182"/>
        <v>12.40592651493003</v>
      </c>
      <c r="BZ101" s="951">
        <f t="shared" si="183"/>
        <v>11.983810066202281</v>
      </c>
      <c r="CA101" s="1250">
        <f t="shared" si="184"/>
        <v>48.905540826682909</v>
      </c>
      <c r="CB101" s="951"/>
      <c r="CC101" s="1249">
        <f>CC97+BW97</f>
        <v>3.9719388742464972</v>
      </c>
      <c r="CD101" s="951">
        <f t="shared" si="185"/>
        <v>4.2235906266436132</v>
      </c>
      <c r="CE101" s="951">
        <f t="shared" si="186"/>
        <v>4.5036100105876429</v>
      </c>
      <c r="CF101" s="951">
        <f t="shared" si="187"/>
        <v>4.3835596466547671</v>
      </c>
      <c r="CG101" s="1250">
        <f t="shared" si="188"/>
        <v>17.082699158132499</v>
      </c>
      <c r="CH101" s="951"/>
      <c r="CI101" s="1249">
        <f>CI97+CC97</f>
        <v>3.6194734037566008</v>
      </c>
      <c r="CJ101" s="951">
        <f t="shared" si="189"/>
        <v>3.5810768690818051</v>
      </c>
      <c r="CK101" s="951">
        <f t="shared" si="190"/>
        <v>3.803998934809961</v>
      </c>
      <c r="CL101" s="951">
        <f t="shared" si="191"/>
        <v>3.5332519275432119</v>
      </c>
      <c r="CM101" s="1250">
        <f t="shared" si="192"/>
        <v>14.537801135191557</v>
      </c>
    </row>
    <row r="102" spans="1:109">
      <c r="A102" s="1259" t="s">
        <v>76</v>
      </c>
      <c r="B102" s="424"/>
      <c r="C102" s="894"/>
      <c r="D102" s="424"/>
      <c r="E102" s="424"/>
      <c r="F102" s="424"/>
      <c r="G102" s="896"/>
      <c r="H102" s="424"/>
      <c r="I102" s="1260">
        <f>I98+C98</f>
        <v>-10.077231882766089</v>
      </c>
      <c r="J102" s="1261">
        <f t="shared" ref="J102:M102" si="194">J98+D98</f>
        <v>2.2014001048871386</v>
      </c>
      <c r="K102" s="1261">
        <f t="shared" si="194"/>
        <v>-8.6860322062618884</v>
      </c>
      <c r="L102" s="1261">
        <f t="shared" si="194"/>
        <v>11.474115869690028</v>
      </c>
      <c r="M102" s="1262">
        <f t="shared" si="194"/>
        <v>-1.2548965390216722</v>
      </c>
      <c r="N102" s="1261"/>
      <c r="O102" s="1260">
        <f>O98+I98</f>
        <v>6.7779862288711428</v>
      </c>
      <c r="P102" s="1261">
        <f t="shared" si="141"/>
        <v>-11.24875600793283</v>
      </c>
      <c r="Q102" s="1261">
        <f t="shared" si="142"/>
        <v>15.96790006344877</v>
      </c>
      <c r="R102" s="1261">
        <f t="shared" si="143"/>
        <v>138.29940950260919</v>
      </c>
      <c r="S102" s="1262">
        <f t="shared" si="144"/>
        <v>132.275213172664</v>
      </c>
      <c r="T102" s="1261"/>
      <c r="U102" s="1260">
        <f>U98+O98</f>
        <v>55.326878119314031</v>
      </c>
      <c r="V102" s="1261">
        <f t="shared" si="145"/>
        <v>63.588222355870911</v>
      </c>
      <c r="W102" s="1261">
        <f t="shared" si="146"/>
        <v>41.402412097211723</v>
      </c>
      <c r="X102" s="1261">
        <f t="shared" si="147"/>
        <v>51.788148557650672</v>
      </c>
      <c r="Y102" s="1262">
        <f t="shared" si="148"/>
        <v>173.27839373669636</v>
      </c>
      <c r="Z102" s="1261"/>
      <c r="AA102" s="1260">
        <f>AA98+U98</f>
        <v>50.202547704186358</v>
      </c>
      <c r="AB102" s="1261">
        <f t="shared" si="149"/>
        <v>61.206179623593684</v>
      </c>
      <c r="AC102" s="1261">
        <f t="shared" si="150"/>
        <v>8.6164160675545407</v>
      </c>
      <c r="AD102" s="1261">
        <f t="shared" si="151"/>
        <v>-119.58999962899458</v>
      </c>
      <c r="AE102" s="1262">
        <f t="shared" si="152"/>
        <v>-16.263129004121183</v>
      </c>
      <c r="AF102" s="1261"/>
      <c r="AG102" s="1260">
        <f>AG98+AA98</f>
        <v>-26.951065037113871</v>
      </c>
      <c r="AH102" s="1261">
        <f t="shared" si="153"/>
        <v>-50.128251773481693</v>
      </c>
      <c r="AI102" s="1261">
        <f t="shared" si="154"/>
        <v>-49.034490106192088</v>
      </c>
      <c r="AJ102" s="1261">
        <f t="shared" si="155"/>
        <v>-49.720135912026763</v>
      </c>
      <c r="AK102" s="1262">
        <f t="shared" si="156"/>
        <v>-184.03489947221601</v>
      </c>
      <c r="AL102" s="1261"/>
      <c r="AM102" s="1260">
        <f>AM98+AG98</f>
        <v>-54.317400429573311</v>
      </c>
      <c r="AN102" s="1261">
        <f t="shared" si="157"/>
        <v>-37.106482478088104</v>
      </c>
      <c r="AO102" s="1261">
        <f t="shared" si="158"/>
        <v>-36.120592193364637</v>
      </c>
      <c r="AP102" s="1261">
        <f t="shared" si="159"/>
        <v>-0.76124376517169612</v>
      </c>
      <c r="AQ102" s="1262">
        <f t="shared" si="160"/>
        <v>-137.50543730411772</v>
      </c>
      <c r="AR102" s="1261"/>
      <c r="AS102" s="1260">
        <f>AS98+AM98</f>
        <v>-13.462555879988519</v>
      </c>
      <c r="AT102" s="1261">
        <f t="shared" si="161"/>
        <v>-13.300780194751741</v>
      </c>
      <c r="AU102" s="1261">
        <f t="shared" si="162"/>
        <v>22.276836436846168</v>
      </c>
      <c r="AV102" s="1261">
        <f t="shared" si="163"/>
        <v>54.031271467965816</v>
      </c>
      <c r="AW102" s="1262">
        <f t="shared" si="164"/>
        <v>49.750419267263162</v>
      </c>
      <c r="AX102" s="1261"/>
      <c r="AY102" s="1260">
        <f>AY98+AS98</f>
        <v>64.049618457199273</v>
      </c>
      <c r="AZ102" s="1261">
        <f t="shared" si="165"/>
        <v>57.755341321573837</v>
      </c>
      <c r="BA102" s="1261">
        <f t="shared" si="166"/>
        <v>52.473277523268919</v>
      </c>
      <c r="BB102" s="1261">
        <f t="shared" si="167"/>
        <v>83.483583489608662</v>
      </c>
      <c r="BC102" s="1262">
        <f t="shared" si="168"/>
        <v>257.45326572294783</v>
      </c>
      <c r="BD102" s="1261"/>
      <c r="BE102" s="1260">
        <f>BE98+AY98</f>
        <v>80.074026941304453</v>
      </c>
      <c r="BF102" s="1261">
        <f t="shared" si="169"/>
        <v>89.147575539607459</v>
      </c>
      <c r="BG102" s="1261">
        <f t="shared" si="170"/>
        <v>57.990021623837215</v>
      </c>
      <c r="BH102" s="1261">
        <f t="shared" si="171"/>
        <v>41.783334941710031</v>
      </c>
      <c r="BI102" s="1262">
        <f t="shared" si="172"/>
        <v>268.07875432497428</v>
      </c>
      <c r="BJ102" s="1261"/>
      <c r="BK102" s="1260">
        <f>BK98+BE98</f>
        <v>25.066495784711442</v>
      </c>
      <c r="BL102" s="1261">
        <f t="shared" si="173"/>
        <v>29.12657805666667</v>
      </c>
      <c r="BM102" s="1261">
        <f t="shared" si="174"/>
        <v>23.27670665802837</v>
      </c>
      <c r="BN102" s="1261">
        <f t="shared" si="175"/>
        <v>3.1695763775583474</v>
      </c>
      <c r="BO102" s="1262">
        <f t="shared" si="176"/>
        <v>80.610097416999182</v>
      </c>
      <c r="BP102" s="1261"/>
      <c r="BQ102" s="1260">
        <f>BQ98+BK98</f>
        <v>-21.902262046207625</v>
      </c>
      <c r="BR102" s="1261">
        <f t="shared" si="177"/>
        <v>-15.687972525773688</v>
      </c>
      <c r="BS102" s="1261">
        <f t="shared" si="178"/>
        <v>-19.839524786370209</v>
      </c>
      <c r="BT102" s="1261">
        <f t="shared" si="179"/>
        <v>-29.130206523827059</v>
      </c>
      <c r="BU102" s="1262">
        <f t="shared" si="180"/>
        <v>-86.411432632545001</v>
      </c>
      <c r="BV102" s="1261"/>
      <c r="BW102" s="1260">
        <f>BW98+BQ98</f>
        <v>-5.1907848003650265</v>
      </c>
      <c r="BX102" s="1261">
        <f t="shared" si="181"/>
        <v>4.8896640239745963</v>
      </c>
      <c r="BY102" s="1261">
        <f t="shared" si="182"/>
        <v>11.029198852808065</v>
      </c>
      <c r="BZ102" s="1261">
        <f t="shared" si="183"/>
        <v>10.754772495008869</v>
      </c>
      <c r="CA102" s="1262">
        <f t="shared" si="184"/>
        <v>21.482586426824682</v>
      </c>
      <c r="CB102" s="1261"/>
      <c r="CC102" s="1260">
        <f>CC98+BW98</f>
        <v>51.015434870862919</v>
      </c>
      <c r="CD102" s="1261">
        <f t="shared" si="185"/>
        <v>60.641143999312241</v>
      </c>
      <c r="CE102" s="1261">
        <f t="shared" si="186"/>
        <v>62.629362509016666</v>
      </c>
      <c r="CF102" s="1261">
        <f t="shared" si="187"/>
        <v>68.091291181446365</v>
      </c>
      <c r="CG102" s="1262">
        <f t="shared" si="188"/>
        <v>242.37723256063816</v>
      </c>
      <c r="CH102" s="1261"/>
      <c r="CI102" s="1260">
        <f>CI98+CC98</f>
        <v>50.431391757344677</v>
      </c>
      <c r="CJ102" s="1261">
        <f t="shared" si="189"/>
        <v>57.938916531787136</v>
      </c>
      <c r="CK102" s="1261">
        <f t="shared" si="190"/>
        <v>59.61061263682884</v>
      </c>
      <c r="CL102" s="1261">
        <f t="shared" si="191"/>
        <v>63.824978359109288</v>
      </c>
      <c r="CM102" s="1262">
        <f t="shared" si="192"/>
        <v>231.80589928506973</v>
      </c>
    </row>
    <row r="104" spans="1:109">
      <c r="A104" s="226" t="s">
        <v>202</v>
      </c>
      <c r="C104" s="1382"/>
      <c r="D104" s="1382"/>
      <c r="E104" s="1382"/>
      <c r="F104" s="1382"/>
      <c r="G104" s="1382"/>
      <c r="I104" s="1382">
        <f>IS!I18</f>
        <v>48.370999999999981</v>
      </c>
      <c r="J104" s="1382">
        <f>IS!J18</f>
        <v>59.649000000000058</v>
      </c>
      <c r="K104" s="1382">
        <f>IS!K18</f>
        <v>64.183999999999997</v>
      </c>
      <c r="L104" s="1382">
        <f>IS!L18</f>
        <v>85.837000000000018</v>
      </c>
      <c r="M104" s="1382">
        <f>IS!M18</f>
        <v>258.04100000000005</v>
      </c>
      <c r="O104" s="1382">
        <f>IS!O18</f>
        <v>47.991000000000014</v>
      </c>
      <c r="P104" s="1382">
        <f>IS!P18</f>
        <v>52.500999999999948</v>
      </c>
      <c r="Q104" s="1382">
        <f>IS!Q18</f>
        <v>47.546999999999997</v>
      </c>
      <c r="R104" s="1382">
        <f>IS!R18</f>
        <v>49.485999999999876</v>
      </c>
      <c r="S104" s="1382">
        <f>IS!S18</f>
        <v>197.52499999999986</v>
      </c>
      <c r="U104" s="1382">
        <f>IS!U18</f>
        <v>45.820999999999998</v>
      </c>
      <c r="V104" s="1382">
        <f>IS!V18</f>
        <v>55.926999999999992</v>
      </c>
      <c r="W104" s="1382">
        <f>IS!W18</f>
        <v>57.50800000000001</v>
      </c>
      <c r="X104" s="1382">
        <f>IS!X18</f>
        <v>78.394000000000062</v>
      </c>
      <c r="Y104" s="1382">
        <f>IS!Y18</f>
        <v>237.65000000000009</v>
      </c>
      <c r="AA104" s="1382">
        <f>IS!AA18</f>
        <v>96.935000000000059</v>
      </c>
      <c r="AB104" s="1382">
        <f>IS!AB18</f>
        <v>108.64400000000009</v>
      </c>
      <c r="AC104" s="1382">
        <f>IS!AC18</f>
        <v>104.52699999999999</v>
      </c>
      <c r="AD104" s="1382">
        <f>IS!AD18</f>
        <v>101.19199999999975</v>
      </c>
      <c r="AE104" s="1382">
        <f>IS!AE18</f>
        <v>411.29799999999966</v>
      </c>
      <c r="AG104" s="1382">
        <f>IS!AG18</f>
        <v>78.957000000000079</v>
      </c>
      <c r="AH104" s="1382">
        <f>IS!AH18</f>
        <v>89.733000000000033</v>
      </c>
      <c r="AI104" s="1382">
        <f>IS!AI18</f>
        <v>78.273000000000025</v>
      </c>
      <c r="AJ104" s="1382">
        <f>IS!AJ18</f>
        <v>105.58800000000011</v>
      </c>
      <c r="AK104" s="1382">
        <f>IS!AK18</f>
        <v>352.5509999999997</v>
      </c>
      <c r="AM104" s="1382">
        <f>IS!AM18</f>
        <v>63.893000000000001</v>
      </c>
      <c r="AN104" s="1382">
        <f>IS!AN18</f>
        <v>85.432000000000073</v>
      </c>
      <c r="AO104" s="1382">
        <f>IS!AO18</f>
        <v>82.062870660000073</v>
      </c>
      <c r="AP104" s="1382">
        <f>IS!AP18</f>
        <v>114.06600000000009</v>
      </c>
      <c r="AQ104" s="1382">
        <f>IS!AQ18</f>
        <v>345.45387065999989</v>
      </c>
      <c r="AS104" s="1382">
        <f>IS!AS18</f>
        <v>79.464048000000304</v>
      </c>
      <c r="AT104" s="1382">
        <f>IS!AT18</f>
        <v>93.241607000000016</v>
      </c>
      <c r="AU104" s="1382">
        <f>IS!AU18</f>
        <v>91.35734620000008</v>
      </c>
      <c r="AV104" s="1382">
        <f>IS!AV18</f>
        <v>130.59428611680019</v>
      </c>
      <c r="AW104" s="1382">
        <f>IS!AW18</f>
        <v>394.65728731680076</v>
      </c>
      <c r="AY104" s="1382">
        <f>IS!AY18</f>
        <v>71.900000000000034</v>
      </c>
      <c r="AZ104" s="1382">
        <f>IS!AZ18</f>
        <v>86.5</v>
      </c>
      <c r="BA104" s="1382">
        <f>IS!BA18</f>
        <v>86.700000000000017</v>
      </c>
      <c r="BB104" s="1382">
        <f>IS!BB18</f>
        <v>118.1</v>
      </c>
      <c r="BC104" s="1382">
        <f>IS!BC18</f>
        <v>363.19999999999982</v>
      </c>
      <c r="BE104" s="1382">
        <f>IS!BE18</f>
        <v>81.199999999999989</v>
      </c>
      <c r="BF104" s="1382">
        <f>IS!BF18</f>
        <v>94.000000000000028</v>
      </c>
      <c r="BG104" s="1382">
        <f>IS!BG18</f>
        <v>97.699999999999989</v>
      </c>
      <c r="BH104" s="1382">
        <f>IS!BH18</f>
        <v>120.69999999999999</v>
      </c>
      <c r="BI104" s="1382">
        <f>IS!BI18</f>
        <v>393.59999999999991</v>
      </c>
      <c r="BK104" s="1382">
        <f>IS!BK18</f>
        <v>84.064999999999941</v>
      </c>
      <c r="BL104" s="1382">
        <f>IS!BL18</f>
        <v>99.569000000000045</v>
      </c>
      <c r="BM104" s="1382">
        <f>IS!BM18</f>
        <v>107.00700000000006</v>
      </c>
      <c r="BN104" s="1382">
        <f>IS!BN18</f>
        <v>137</v>
      </c>
      <c r="BO104" s="1382">
        <f>IS!BO18</f>
        <v>427.64099999999985</v>
      </c>
      <c r="BQ104" s="1382">
        <f>IS!BQ18</f>
        <v>101.31674757202813</v>
      </c>
      <c r="BR104" s="1382">
        <f>IS!BR18</f>
        <v>135.10194983858617</v>
      </c>
      <c r="BS104" s="1382">
        <f>IS!BS18</f>
        <v>142.03181826889846</v>
      </c>
      <c r="BT104" s="1382">
        <f>IS!BT18</f>
        <v>174.99778043558149</v>
      </c>
      <c r="BU104" s="1382">
        <f>IS!BU18</f>
        <v>553.44829611509419</v>
      </c>
      <c r="BW104" s="1382">
        <f>IS!BW18</f>
        <v>114.73800139038173</v>
      </c>
      <c r="BX104" s="1382">
        <f>IS!BX18</f>
        <v>152.29660063095443</v>
      </c>
      <c r="BY104" s="1382">
        <f>IS!BY18</f>
        <v>160.49747929378475</v>
      </c>
      <c r="BZ104" s="1382">
        <f>IS!BZ18</f>
        <v>197.0845466335401</v>
      </c>
      <c r="CA104" s="1382">
        <f>IS!CA18</f>
        <v>624.61662794866095</v>
      </c>
      <c r="CC104" s="1382">
        <f>IS!CC18</f>
        <v>129.76705256017624</v>
      </c>
      <c r="CD104" s="1382">
        <f>IS!CD18</f>
        <v>171.07910229923755</v>
      </c>
      <c r="CE104" s="1382">
        <f>IS!CE18</f>
        <v>179.49048060893006</v>
      </c>
      <c r="CF104" s="1382">
        <f>IS!CF18</f>
        <v>218.57956696727985</v>
      </c>
      <c r="CG104" s="1382">
        <f>IS!CG18</f>
        <v>698.91620243562352</v>
      </c>
      <c r="CI104" s="1382">
        <f>IS!CI18</f>
        <v>143.85165699707974</v>
      </c>
      <c r="CJ104" s="1382">
        <f>IS!CJ18</f>
        <v>188.17265845999083</v>
      </c>
      <c r="CK104" s="1382">
        <f>IS!CK18</f>
        <v>197.74345435162149</v>
      </c>
      <c r="CL104" s="1382">
        <f>IS!CL18</f>
        <v>239.82910925806286</v>
      </c>
      <c r="CM104" s="1382">
        <f>IS!CM18</f>
        <v>769.59687906675458</v>
      </c>
    </row>
    <row r="105" spans="1:109">
      <c r="A105" s="226" t="s">
        <v>456</v>
      </c>
      <c r="C105" s="1382"/>
      <c r="D105" s="1382"/>
      <c r="E105" s="1382"/>
      <c r="F105" s="1382"/>
      <c r="G105" s="1382"/>
      <c r="I105" s="1382">
        <f>+I104+C104</f>
        <v>48.370999999999981</v>
      </c>
      <c r="J105" s="1382">
        <f t="shared" ref="J105:M105" si="195">+J104+D104</f>
        <v>59.649000000000058</v>
      </c>
      <c r="K105" s="1382">
        <f t="shared" si="195"/>
        <v>64.183999999999997</v>
      </c>
      <c r="L105" s="1382">
        <f t="shared" si="195"/>
        <v>85.837000000000018</v>
      </c>
      <c r="M105" s="1382">
        <f t="shared" si="195"/>
        <v>258.04100000000005</v>
      </c>
      <c r="O105" s="1382">
        <f>+O104+I104</f>
        <v>96.361999999999995</v>
      </c>
      <c r="P105" s="1382">
        <f t="shared" ref="P105" si="196">+P104+J104</f>
        <v>112.15</v>
      </c>
      <c r="Q105" s="1382">
        <f t="shared" ref="Q105" si="197">+Q104+K104</f>
        <v>111.73099999999999</v>
      </c>
      <c r="R105" s="1382">
        <f t="shared" ref="R105" si="198">+R104+L104</f>
        <v>135.32299999999989</v>
      </c>
      <c r="S105" s="1382">
        <f t="shared" ref="S105" si="199">+S104+M104</f>
        <v>455.56599999999992</v>
      </c>
      <c r="U105" s="1382">
        <f>+U104+O104</f>
        <v>93.812000000000012</v>
      </c>
      <c r="V105" s="1382">
        <f t="shared" ref="V105" si="200">+V104+P104</f>
        <v>108.42799999999994</v>
      </c>
      <c r="W105" s="1382">
        <f t="shared" ref="W105" si="201">+W104+Q104</f>
        <v>105.05500000000001</v>
      </c>
      <c r="X105" s="1382">
        <f t="shared" ref="X105" si="202">+X104+R104</f>
        <v>127.87999999999994</v>
      </c>
      <c r="Y105" s="1382">
        <f t="shared" ref="Y105" si="203">+Y104+S104</f>
        <v>435.17499999999995</v>
      </c>
      <c r="AA105" s="1382">
        <f>+AA104+U104</f>
        <v>142.75600000000006</v>
      </c>
      <c r="AB105" s="1382">
        <f t="shared" ref="AB105" si="204">+AB104+V104</f>
        <v>164.57100000000008</v>
      </c>
      <c r="AC105" s="1382">
        <f t="shared" ref="AC105" si="205">+AC104+W104</f>
        <v>162.035</v>
      </c>
      <c r="AD105" s="1382">
        <f t="shared" ref="AD105" si="206">+AD104+X104</f>
        <v>179.58599999999981</v>
      </c>
      <c r="AE105" s="1382">
        <f t="shared" ref="AE105" si="207">+AE104+Y104</f>
        <v>648.94799999999975</v>
      </c>
      <c r="AG105" s="1382">
        <f>+AG104+AA104</f>
        <v>175.89200000000014</v>
      </c>
      <c r="AH105" s="1382">
        <f t="shared" ref="AH105" si="208">+AH104+AB104</f>
        <v>198.37700000000012</v>
      </c>
      <c r="AI105" s="1382">
        <f t="shared" ref="AI105" si="209">+AI104+AC104</f>
        <v>182.8</v>
      </c>
      <c r="AJ105" s="1382">
        <f t="shared" ref="AJ105" si="210">+AJ104+AD104</f>
        <v>206.77999999999986</v>
      </c>
      <c r="AK105" s="1382">
        <f t="shared" ref="AK105" si="211">+AK104+AE104</f>
        <v>763.84899999999936</v>
      </c>
      <c r="AM105" s="1382">
        <f>+AM104+AG104</f>
        <v>142.85000000000008</v>
      </c>
      <c r="AN105" s="1382">
        <f t="shared" ref="AN105" si="212">+AN104+AH104</f>
        <v>175.16500000000011</v>
      </c>
      <c r="AO105" s="1382">
        <f t="shared" ref="AO105" si="213">+AO104+AI104</f>
        <v>160.3358706600001</v>
      </c>
      <c r="AP105" s="1382">
        <f t="shared" ref="AP105" si="214">+AP104+AJ104</f>
        <v>219.6540000000002</v>
      </c>
      <c r="AQ105" s="1382">
        <f t="shared" ref="AQ105" si="215">+AQ104+AK104</f>
        <v>698.0048706599996</v>
      </c>
      <c r="AS105" s="1382">
        <f>+AS104+AM104</f>
        <v>143.3570480000003</v>
      </c>
      <c r="AT105" s="1382">
        <f t="shared" ref="AT105" si="216">+AT104+AN104</f>
        <v>178.67360700000009</v>
      </c>
      <c r="AU105" s="1382">
        <f t="shared" ref="AU105" si="217">+AU104+AO104</f>
        <v>173.42021686000015</v>
      </c>
      <c r="AV105" s="1382">
        <f t="shared" ref="AV105" si="218">+AV104+AP104</f>
        <v>244.66028611680028</v>
      </c>
      <c r="AW105" s="1382">
        <f t="shared" ref="AW105" si="219">+AW104+AQ104</f>
        <v>740.11115797680065</v>
      </c>
      <c r="AY105" s="1382">
        <f>+AY104+AS104</f>
        <v>151.36404800000034</v>
      </c>
      <c r="AZ105" s="1382">
        <f t="shared" ref="AZ105" si="220">+AZ104+AT104</f>
        <v>179.74160700000002</v>
      </c>
      <c r="BA105" s="1382">
        <f t="shared" ref="BA105" si="221">+BA104+AU104</f>
        <v>178.0573462000001</v>
      </c>
      <c r="BB105" s="1382">
        <f t="shared" ref="BB105" si="222">+BB104+AV104</f>
        <v>248.69428611680019</v>
      </c>
      <c r="BC105" s="1382">
        <f t="shared" ref="BC105" si="223">+BC104+AW104</f>
        <v>757.85728731680058</v>
      </c>
      <c r="BE105" s="1382">
        <f>+BE104+AY104</f>
        <v>153.10000000000002</v>
      </c>
      <c r="BF105" s="1382">
        <f t="shared" ref="BF105" si="224">+BF104+AZ104</f>
        <v>180.50000000000003</v>
      </c>
      <c r="BG105" s="1382">
        <f t="shared" ref="BG105" si="225">+BG104+BA104</f>
        <v>184.4</v>
      </c>
      <c r="BH105" s="1382">
        <f t="shared" ref="BH105" si="226">+BH104+BB104</f>
        <v>238.79999999999998</v>
      </c>
      <c r="BI105" s="1382">
        <f t="shared" ref="BI105" si="227">+BI104+BC104</f>
        <v>756.79999999999973</v>
      </c>
      <c r="BK105" s="1382">
        <f>+BK104+BE104</f>
        <v>165.26499999999993</v>
      </c>
      <c r="BL105" s="1382">
        <f t="shared" ref="BL105" si="228">+BL104+BF104</f>
        <v>193.56900000000007</v>
      </c>
      <c r="BM105" s="1382">
        <f t="shared" ref="BM105" si="229">+BM104+BG104</f>
        <v>204.70700000000005</v>
      </c>
      <c r="BN105" s="1382">
        <f t="shared" ref="BN105" si="230">+BN104+BH104</f>
        <v>257.7</v>
      </c>
      <c r="BO105" s="1382">
        <f t="shared" ref="BO105" si="231">+BO104+BI104</f>
        <v>821.24099999999976</v>
      </c>
      <c r="BQ105" s="1382">
        <f>+BQ104+BK104</f>
        <v>185.38174757202808</v>
      </c>
      <c r="BR105" s="1382">
        <f t="shared" ref="BR105" si="232">+BR104+BL104</f>
        <v>234.67094983858621</v>
      </c>
      <c r="BS105" s="1382">
        <f t="shared" ref="BS105" si="233">+BS104+BM104</f>
        <v>249.03881826889852</v>
      </c>
      <c r="BT105" s="1382">
        <f t="shared" ref="BT105" si="234">+BT104+BN104</f>
        <v>311.99778043558149</v>
      </c>
      <c r="BU105" s="1382">
        <f t="shared" ref="BU105" si="235">+BU104+BO104</f>
        <v>981.08929611509404</v>
      </c>
      <c r="BW105" s="1382">
        <f>+BW104+BQ104</f>
        <v>216.05474896240986</v>
      </c>
      <c r="BX105" s="1382">
        <f t="shared" ref="BX105" si="236">+BX104+BR104</f>
        <v>287.39855046954062</v>
      </c>
      <c r="BY105" s="1382">
        <f t="shared" ref="BY105" si="237">+BY104+BS104</f>
        <v>302.52929756268321</v>
      </c>
      <c r="BZ105" s="1382">
        <f t="shared" ref="BZ105" si="238">+BZ104+BT104</f>
        <v>372.08232706912156</v>
      </c>
      <c r="CA105" s="1382">
        <f t="shared" ref="CA105" si="239">+CA104+BU104</f>
        <v>1178.0649240637551</v>
      </c>
      <c r="CC105" s="1382">
        <f>+CC104+BW104</f>
        <v>244.50505395055796</v>
      </c>
      <c r="CD105" s="1382">
        <f t="shared" ref="CD105" si="240">+CD104+BX104</f>
        <v>323.37570293019201</v>
      </c>
      <c r="CE105" s="1382">
        <f t="shared" ref="CE105" si="241">+CE104+BY104</f>
        <v>339.98795990271481</v>
      </c>
      <c r="CF105" s="1382">
        <f t="shared" ref="CF105" si="242">+CF104+BZ104</f>
        <v>415.66411360081997</v>
      </c>
      <c r="CG105" s="1382">
        <f t="shared" ref="CG105" si="243">+CG104+CA104</f>
        <v>1323.5328303842844</v>
      </c>
      <c r="CI105" s="1382">
        <f>+CI104+CC104</f>
        <v>273.61870955725601</v>
      </c>
      <c r="CJ105" s="1382">
        <f t="shared" ref="CJ105" si="244">+CJ104+CD104</f>
        <v>359.25176075922838</v>
      </c>
      <c r="CK105" s="1382">
        <f t="shared" ref="CK105" si="245">+CK104+CE104</f>
        <v>377.23393496055155</v>
      </c>
      <c r="CL105" s="1382">
        <f t="shared" ref="CL105" si="246">+CL104+CF104</f>
        <v>458.40867622534267</v>
      </c>
      <c r="CM105" s="1382">
        <f t="shared" ref="CM105" si="247">+CM104+CG104</f>
        <v>1468.5130815023781</v>
      </c>
    </row>
    <row r="107" spans="1:109">
      <c r="I107" s="1382"/>
      <c r="J107" s="1382"/>
      <c r="K107" s="1382"/>
      <c r="L107" s="1382"/>
      <c r="M107" s="1382"/>
      <c r="N107" s="1382"/>
      <c r="O107" s="1382"/>
      <c r="P107" s="1382"/>
      <c r="Q107" s="1382"/>
      <c r="R107" s="1382"/>
      <c r="S107" s="1382"/>
      <c r="T107" s="1382"/>
      <c r="U107" s="1382"/>
      <c r="V107" s="1382"/>
      <c r="W107" s="1382"/>
      <c r="X107" s="1382"/>
      <c r="Y107" s="1382"/>
      <c r="Z107" s="1382"/>
      <c r="AA107" s="1382"/>
      <c r="AB107" s="1382"/>
      <c r="AC107" s="1382"/>
      <c r="AD107" s="1382"/>
      <c r="AE107" s="1382"/>
      <c r="AF107" s="1382"/>
      <c r="AG107" s="1382"/>
      <c r="AH107" s="1382"/>
      <c r="AI107" s="1382"/>
      <c r="AJ107" s="1382"/>
      <c r="AK107" s="1382"/>
      <c r="AL107" s="1382"/>
      <c r="AM107" s="1382"/>
      <c r="AN107" s="1382"/>
      <c r="AO107" s="1382"/>
      <c r="AP107" s="1382"/>
      <c r="AQ107" s="1382"/>
      <c r="AR107" s="1382"/>
      <c r="AS107" s="1382"/>
      <c r="AT107" s="1382"/>
      <c r="AU107" s="1382"/>
      <c r="AV107" s="1382"/>
      <c r="AW107" s="1382"/>
      <c r="AX107" s="1382"/>
      <c r="AY107" s="1382"/>
      <c r="AZ107" s="1382"/>
      <c r="BA107" s="1382"/>
      <c r="BB107" s="1382"/>
      <c r="BC107" s="1382"/>
      <c r="BD107" s="1382"/>
      <c r="BE107" s="1382"/>
      <c r="BF107" s="1382"/>
      <c r="BG107" s="1382"/>
      <c r="BH107" s="1382"/>
      <c r="BI107" s="1382"/>
      <c r="BJ107" s="1382"/>
      <c r="BK107" s="1382"/>
      <c r="BL107" s="1382"/>
      <c r="BM107" s="1382"/>
      <c r="BN107" s="1382"/>
      <c r="BO107" s="1382"/>
      <c r="BP107" s="1382"/>
      <c r="BQ107" s="1382"/>
      <c r="BR107" s="1382"/>
      <c r="BS107" s="1382"/>
      <c r="BT107" s="1382"/>
      <c r="BU107" s="1382"/>
      <c r="BV107" s="1382"/>
      <c r="BW107" s="1382"/>
      <c r="BX107" s="1382"/>
      <c r="BY107" s="1382"/>
      <c r="BZ107" s="1382"/>
      <c r="CA107" s="1382"/>
      <c r="CB107" s="1382"/>
      <c r="CC107" s="1382"/>
      <c r="CD107" s="1382"/>
      <c r="CE107" s="1382"/>
      <c r="CF107" s="1382"/>
      <c r="CG107" s="1382"/>
      <c r="CH107" s="1382"/>
      <c r="CI107" s="1382"/>
      <c r="CJ107" s="1382"/>
      <c r="CK107" s="1382"/>
      <c r="CL107" s="1382"/>
      <c r="CM107" s="1382"/>
    </row>
    <row r="108" spans="1:109">
      <c r="I108" s="1382"/>
      <c r="J108" s="1382"/>
      <c r="K108" s="1382"/>
      <c r="L108" s="1382"/>
      <c r="M108" s="1382"/>
      <c r="N108" s="1382"/>
      <c r="O108" s="1382"/>
      <c r="P108" s="1382"/>
      <c r="Q108" s="1382"/>
      <c r="R108" s="1382"/>
      <c r="S108" s="1382"/>
      <c r="T108" s="1382"/>
      <c r="U108" s="1382"/>
      <c r="V108" s="1382"/>
      <c r="W108" s="1382"/>
      <c r="X108" s="1382"/>
      <c r="Y108" s="1382"/>
      <c r="Z108" s="1382"/>
      <c r="AA108" s="1382"/>
      <c r="AB108" s="1382"/>
      <c r="AC108" s="1382"/>
      <c r="AD108" s="1382"/>
      <c r="AE108" s="1382"/>
      <c r="AF108" s="1382"/>
      <c r="AG108" s="1382"/>
      <c r="AH108" s="1382"/>
      <c r="AI108" s="1382"/>
      <c r="AJ108" s="1382"/>
      <c r="AK108" s="1382"/>
      <c r="AL108" s="1382"/>
      <c r="AM108" s="1382"/>
      <c r="AN108" s="1382"/>
      <c r="AO108" s="1382"/>
      <c r="AP108" s="1382"/>
      <c r="AQ108" s="1382"/>
      <c r="AR108" s="1382"/>
      <c r="AS108" s="1382"/>
      <c r="AT108" s="1382"/>
      <c r="AU108" s="1382"/>
      <c r="AV108" s="1382"/>
      <c r="AW108" s="1382"/>
      <c r="AX108" s="1382"/>
      <c r="AY108" s="1382"/>
      <c r="AZ108" s="1382"/>
      <c r="BA108" s="1382"/>
      <c r="BB108" s="1382"/>
      <c r="BC108" s="1382"/>
      <c r="BD108" s="1382"/>
      <c r="BE108" s="1382"/>
      <c r="BF108" s="1382"/>
      <c r="BG108" s="1382"/>
      <c r="BH108" s="1382"/>
      <c r="BI108" s="1382"/>
      <c r="BJ108" s="1382"/>
      <c r="BK108" s="1382"/>
      <c r="BL108" s="1382"/>
      <c r="BM108" s="1382"/>
      <c r="BN108" s="1382"/>
      <c r="BO108" s="1382"/>
      <c r="BP108" s="1382"/>
      <c r="BQ108" s="1382"/>
      <c r="BR108" s="1382"/>
      <c r="BS108" s="1382"/>
      <c r="BT108" s="1382"/>
      <c r="BU108" s="1382"/>
      <c r="BV108" s="1382"/>
      <c r="BW108" s="1382"/>
      <c r="BX108" s="1382"/>
      <c r="BY108" s="1382"/>
      <c r="BZ108" s="1382"/>
      <c r="CA108" s="1382"/>
      <c r="CB108" s="1382"/>
      <c r="CC108" s="1382"/>
      <c r="CD108" s="1382"/>
      <c r="CE108" s="1382"/>
      <c r="CF108" s="1382"/>
      <c r="CG108" s="1382"/>
      <c r="CH108" s="1382"/>
      <c r="CI108" s="1382"/>
      <c r="CJ108" s="1382"/>
      <c r="CK108" s="1382"/>
      <c r="CL108" s="1382"/>
      <c r="CM108" s="1382"/>
    </row>
    <row r="109" spans="1:109">
      <c r="I109" s="1382"/>
      <c r="J109" s="1382"/>
      <c r="K109" s="1382"/>
      <c r="L109" s="1382"/>
      <c r="M109" s="1382"/>
      <c r="N109" s="1382"/>
      <c r="O109" s="1382"/>
      <c r="P109" s="1382"/>
      <c r="Q109" s="1382"/>
      <c r="R109" s="1382"/>
      <c r="S109" s="1382"/>
      <c r="T109" s="1382"/>
      <c r="U109" s="1382"/>
      <c r="V109" s="1382"/>
      <c r="W109" s="1382"/>
      <c r="X109" s="1382"/>
      <c r="Y109" s="1382"/>
      <c r="Z109" s="1382"/>
      <c r="AA109" s="1382"/>
      <c r="AB109" s="1382"/>
      <c r="AC109" s="1382"/>
      <c r="AD109" s="1382"/>
      <c r="AE109" s="1382"/>
      <c r="AF109" s="1382"/>
      <c r="AG109" s="1382"/>
      <c r="AH109" s="1382"/>
      <c r="AI109" s="1382"/>
      <c r="AJ109" s="1382"/>
      <c r="AK109" s="1382"/>
      <c r="AL109" s="1382"/>
      <c r="AM109" s="1382"/>
      <c r="AN109" s="1382"/>
      <c r="AO109" s="1382"/>
      <c r="AP109" s="1382"/>
      <c r="AQ109" s="1382"/>
      <c r="AR109" s="1382"/>
      <c r="AS109" s="1382"/>
      <c r="AT109" s="1382"/>
      <c r="AU109" s="1382"/>
      <c r="AV109" s="1382"/>
      <c r="AW109" s="1382"/>
      <c r="AX109" s="1382"/>
      <c r="AY109" s="1382"/>
      <c r="AZ109" s="1382"/>
      <c r="BA109" s="1382"/>
      <c r="BB109" s="1382"/>
      <c r="BC109" s="1382"/>
      <c r="BD109" s="1382"/>
      <c r="BE109" s="1382"/>
      <c r="BF109" s="1382"/>
      <c r="BG109" s="1382"/>
      <c r="BH109" s="1382"/>
      <c r="BI109" s="1382"/>
      <c r="BJ109" s="1382"/>
      <c r="BK109" s="1382"/>
      <c r="BL109" s="1382"/>
      <c r="BM109" s="1382"/>
      <c r="BN109" s="1382"/>
      <c r="BO109" s="1382"/>
      <c r="BP109" s="1382"/>
      <c r="BQ109" s="1382"/>
      <c r="BR109" s="1382"/>
      <c r="BS109" s="1382"/>
      <c r="BT109" s="1382"/>
      <c r="BU109" s="1382"/>
      <c r="BV109" s="1382"/>
      <c r="BW109" s="1382"/>
      <c r="BX109" s="1382"/>
      <c r="BY109" s="1382"/>
      <c r="BZ109" s="1382"/>
      <c r="CA109" s="1382"/>
      <c r="CB109" s="1382"/>
      <c r="CC109" s="1382"/>
      <c r="CD109" s="1382"/>
      <c r="CE109" s="1382"/>
      <c r="CF109" s="1382"/>
      <c r="CG109" s="1382"/>
      <c r="CH109" s="1382"/>
      <c r="CI109" s="1382"/>
      <c r="CJ109" s="1382"/>
      <c r="CK109" s="1382"/>
      <c r="CL109" s="1382"/>
      <c r="CM109" s="1382"/>
    </row>
    <row r="110" spans="1:109">
      <c r="I110" s="1382"/>
      <c r="J110" s="1382"/>
      <c r="K110" s="1382"/>
      <c r="L110" s="1382"/>
      <c r="M110" s="1382"/>
      <c r="N110" s="1382"/>
      <c r="O110" s="1382"/>
      <c r="P110" s="1382"/>
      <c r="Q110" s="1382"/>
      <c r="R110" s="1382"/>
      <c r="S110" s="1382"/>
      <c r="T110" s="1382"/>
      <c r="U110" s="1382"/>
      <c r="V110" s="1382"/>
      <c r="W110" s="1382"/>
      <c r="X110" s="1382"/>
      <c r="Y110" s="1382"/>
      <c r="Z110" s="1382"/>
      <c r="AA110" s="1382"/>
      <c r="AB110" s="1382"/>
      <c r="AC110" s="1382"/>
      <c r="AD110" s="1382"/>
      <c r="AE110" s="1382"/>
      <c r="AF110" s="1382"/>
      <c r="AG110" s="1382"/>
      <c r="AH110" s="1382"/>
      <c r="AI110" s="1382"/>
      <c r="AJ110" s="1382"/>
      <c r="AK110" s="1382"/>
      <c r="AL110" s="1382"/>
      <c r="AM110" s="1382"/>
      <c r="AN110" s="1382"/>
      <c r="AO110" s="1382"/>
      <c r="AP110" s="1382"/>
      <c r="AQ110" s="1382"/>
      <c r="AR110" s="1382"/>
      <c r="AS110" s="1382"/>
      <c r="AT110" s="1382"/>
      <c r="AU110" s="1382"/>
      <c r="AV110" s="1382"/>
      <c r="AW110" s="1382"/>
      <c r="AX110" s="1382"/>
      <c r="AY110" s="1382"/>
      <c r="AZ110" s="1382"/>
      <c r="BA110" s="1382"/>
      <c r="BB110" s="1382"/>
      <c r="BC110" s="1382"/>
      <c r="BD110" s="1382"/>
      <c r="BE110" s="1382"/>
      <c r="BF110" s="1382"/>
      <c r="BG110" s="1382"/>
      <c r="BH110" s="1382"/>
      <c r="BI110" s="1382"/>
      <c r="BJ110" s="1382"/>
      <c r="BK110" s="1382"/>
      <c r="BL110" s="1382"/>
      <c r="BM110" s="1382"/>
      <c r="BN110" s="1382"/>
      <c r="BO110" s="1382"/>
      <c r="BP110" s="1382"/>
      <c r="BQ110" s="1382"/>
      <c r="BR110" s="1382"/>
      <c r="BS110" s="1382"/>
      <c r="BT110" s="1382"/>
      <c r="BU110" s="1382"/>
      <c r="BV110" s="1382"/>
      <c r="BW110" s="1382"/>
      <c r="BX110" s="1382"/>
      <c r="BY110" s="1382"/>
      <c r="BZ110" s="1382"/>
      <c r="CA110" s="1382"/>
      <c r="CB110" s="1382"/>
      <c r="CC110" s="1382"/>
      <c r="CD110" s="1382"/>
      <c r="CE110" s="1382"/>
      <c r="CF110" s="1382"/>
      <c r="CG110" s="1382"/>
      <c r="CH110" s="1382"/>
      <c r="CI110" s="1382"/>
      <c r="CJ110" s="1382"/>
      <c r="CK110" s="1382"/>
      <c r="CL110" s="1382"/>
      <c r="CM110" s="1382"/>
    </row>
    <row r="111" spans="1:109">
      <c r="I111" s="1382"/>
      <c r="J111" s="1382"/>
      <c r="K111" s="1382"/>
      <c r="L111" s="1382"/>
      <c r="M111" s="1382"/>
      <c r="N111" s="1382"/>
      <c r="O111" s="1382"/>
      <c r="P111" s="1382"/>
      <c r="Q111" s="1382"/>
      <c r="R111" s="1382"/>
      <c r="S111" s="1382"/>
      <c r="T111" s="1382"/>
      <c r="U111" s="1382"/>
      <c r="V111" s="1382"/>
      <c r="W111" s="1382"/>
      <c r="X111" s="1382"/>
      <c r="Y111" s="1382"/>
      <c r="Z111" s="1382"/>
      <c r="AA111" s="1382"/>
      <c r="AB111" s="1382"/>
      <c r="AC111" s="1382"/>
      <c r="AD111" s="1382"/>
      <c r="AE111" s="1382"/>
      <c r="AF111" s="1382"/>
      <c r="AG111" s="1382"/>
      <c r="AH111" s="1382"/>
      <c r="AI111" s="1382"/>
      <c r="AJ111" s="1382"/>
      <c r="AK111" s="1382"/>
      <c r="AL111" s="1382"/>
      <c r="AM111" s="1382"/>
      <c r="AN111" s="1382"/>
      <c r="AO111" s="1382"/>
      <c r="AP111" s="1382"/>
      <c r="AQ111" s="1382"/>
      <c r="AR111" s="1382"/>
      <c r="AS111" s="1382"/>
      <c r="AT111" s="1382"/>
      <c r="AU111" s="1382"/>
      <c r="AV111" s="1382"/>
      <c r="AW111" s="1382"/>
      <c r="AX111" s="1382"/>
      <c r="AY111" s="1382"/>
      <c r="AZ111" s="1382"/>
      <c r="BA111" s="1382"/>
      <c r="BB111" s="1382"/>
      <c r="BC111" s="1382"/>
      <c r="BD111" s="1382"/>
      <c r="BE111" s="1382"/>
      <c r="BF111" s="1382"/>
      <c r="BG111" s="1382"/>
      <c r="BH111" s="1382"/>
      <c r="BI111" s="1382"/>
      <c r="BJ111" s="1382"/>
      <c r="BK111" s="1382"/>
      <c r="BL111" s="1382"/>
      <c r="BM111" s="1382"/>
      <c r="BN111" s="1382"/>
      <c r="BO111" s="1382"/>
      <c r="BP111" s="1382"/>
      <c r="BQ111" s="1382"/>
      <c r="BR111" s="1382"/>
      <c r="BS111" s="1382"/>
      <c r="BT111" s="1382"/>
      <c r="BU111" s="1382"/>
      <c r="BV111" s="1382"/>
      <c r="BW111" s="1382"/>
      <c r="BX111" s="1382"/>
      <c r="BY111" s="1382"/>
      <c r="BZ111" s="1382"/>
      <c r="CA111" s="1382"/>
      <c r="CB111" s="1382"/>
      <c r="CC111" s="1382"/>
      <c r="CD111" s="1382"/>
      <c r="CE111" s="1382"/>
      <c r="CF111" s="1382"/>
      <c r="CG111" s="1382"/>
      <c r="CH111" s="1382"/>
      <c r="CI111" s="1382"/>
      <c r="CJ111" s="1382"/>
      <c r="CK111" s="1382"/>
      <c r="CL111" s="1382"/>
      <c r="CM111" s="1382"/>
    </row>
    <row r="112" spans="1:109">
      <c r="I112" s="1382"/>
      <c r="J112" s="1382"/>
      <c r="K112" s="1382"/>
      <c r="L112" s="1382"/>
      <c r="M112" s="1382"/>
      <c r="N112" s="1382"/>
      <c r="O112" s="1382"/>
      <c r="P112" s="1382"/>
      <c r="Q112" s="1382"/>
      <c r="R112" s="1382"/>
      <c r="S112" s="1382"/>
      <c r="T112" s="1382"/>
      <c r="U112" s="1382"/>
      <c r="V112" s="1382"/>
      <c r="W112" s="1382"/>
      <c r="X112" s="1382"/>
      <c r="Y112" s="1382"/>
      <c r="Z112" s="1382"/>
      <c r="AA112" s="1382"/>
      <c r="AB112" s="1382"/>
      <c r="AC112" s="1382"/>
      <c r="AD112" s="1382"/>
      <c r="AE112" s="1382"/>
      <c r="AF112" s="1382"/>
      <c r="AG112" s="1382"/>
      <c r="AH112" s="1382"/>
      <c r="AI112" s="1382"/>
      <c r="AJ112" s="1382"/>
      <c r="AK112" s="1382"/>
      <c r="AL112" s="1382"/>
      <c r="AM112" s="1382"/>
      <c r="AN112" s="1382"/>
      <c r="AO112" s="1382"/>
      <c r="AP112" s="1382"/>
      <c r="AQ112" s="1382"/>
      <c r="AR112" s="1382"/>
      <c r="AS112" s="1382"/>
      <c r="AT112" s="1382"/>
      <c r="AU112" s="1382"/>
      <c r="AV112" s="1382"/>
      <c r="AW112" s="1382"/>
      <c r="AX112" s="1382"/>
      <c r="AY112" s="1382"/>
      <c r="AZ112" s="1382"/>
      <c r="BA112" s="1382"/>
      <c r="BB112" s="1382"/>
      <c r="BC112" s="1382"/>
      <c r="BD112" s="1382"/>
      <c r="BE112" s="1382"/>
      <c r="BF112" s="1382"/>
      <c r="BG112" s="1382"/>
      <c r="BH112" s="1382"/>
      <c r="BI112" s="1382"/>
      <c r="BJ112" s="1382"/>
      <c r="BK112" s="1382"/>
      <c r="BL112" s="1382"/>
      <c r="BM112" s="1382"/>
      <c r="BN112" s="1382"/>
      <c r="BO112" s="1382"/>
      <c r="BP112" s="1382"/>
      <c r="BQ112" s="1382"/>
      <c r="BR112" s="1382"/>
      <c r="BS112" s="1382"/>
      <c r="BT112" s="1382"/>
      <c r="BU112" s="1382"/>
      <c r="BV112" s="1382"/>
      <c r="BW112" s="1382"/>
      <c r="BX112" s="1382"/>
      <c r="BY112" s="1382"/>
      <c r="BZ112" s="1382"/>
      <c r="CA112" s="1382"/>
      <c r="CB112" s="1382"/>
      <c r="CC112" s="1382"/>
      <c r="CD112" s="1382"/>
      <c r="CE112" s="1382"/>
      <c r="CF112" s="1382"/>
      <c r="CG112" s="1382"/>
      <c r="CH112" s="1382"/>
      <c r="CI112" s="1382"/>
      <c r="CJ112" s="1382"/>
      <c r="CK112" s="1382"/>
      <c r="CL112" s="1382"/>
      <c r="CM112" s="1382"/>
    </row>
    <row r="113" spans="9:91">
      <c r="I113" s="1382"/>
      <c r="J113" s="1382"/>
      <c r="K113" s="1382"/>
      <c r="L113" s="1382"/>
      <c r="M113" s="1382"/>
      <c r="N113" s="1382"/>
      <c r="O113" s="1382"/>
      <c r="P113" s="1382"/>
      <c r="Q113" s="1382"/>
      <c r="R113" s="1382"/>
      <c r="S113" s="1382"/>
      <c r="T113" s="1382"/>
      <c r="U113" s="1382"/>
      <c r="V113" s="1382"/>
      <c r="W113" s="1382"/>
      <c r="X113" s="1382"/>
      <c r="Y113" s="1382"/>
      <c r="Z113" s="1382"/>
      <c r="AA113" s="1382"/>
      <c r="AB113" s="1382"/>
      <c r="AC113" s="1382"/>
      <c r="AD113" s="1382"/>
      <c r="AE113" s="1382"/>
      <c r="AF113" s="1382"/>
      <c r="AG113" s="1382"/>
      <c r="AH113" s="1382"/>
      <c r="AI113" s="1382"/>
      <c r="AJ113" s="1382"/>
      <c r="AK113" s="1382"/>
      <c r="AL113" s="1382"/>
      <c r="AM113" s="1382"/>
      <c r="AN113" s="1382"/>
      <c r="AO113" s="1382"/>
      <c r="AP113" s="1382"/>
      <c r="AQ113" s="1382"/>
      <c r="AR113" s="1382"/>
      <c r="AS113" s="1382"/>
      <c r="AT113" s="1382"/>
      <c r="AU113" s="1382"/>
      <c r="AV113" s="1382"/>
      <c r="AW113" s="1382"/>
      <c r="AX113" s="1382"/>
      <c r="AY113" s="1382"/>
      <c r="AZ113" s="1382"/>
      <c r="BA113" s="1382"/>
      <c r="BB113" s="1382"/>
      <c r="BC113" s="1382"/>
      <c r="BD113" s="1382"/>
      <c r="BE113" s="1382"/>
      <c r="BF113" s="1382"/>
      <c r="BG113" s="1382"/>
      <c r="BH113" s="1382"/>
      <c r="BI113" s="1382"/>
      <c r="BJ113" s="1382"/>
      <c r="BK113" s="1382"/>
      <c r="BL113" s="1382"/>
      <c r="BM113" s="1382"/>
      <c r="BN113" s="1382"/>
      <c r="BO113" s="1382"/>
      <c r="BP113" s="1382"/>
      <c r="BQ113" s="1382"/>
      <c r="BR113" s="1382"/>
      <c r="BS113" s="1382"/>
      <c r="BT113" s="1382"/>
      <c r="BU113" s="1382"/>
      <c r="BV113" s="1382"/>
      <c r="BW113" s="1382"/>
      <c r="BX113" s="1382"/>
      <c r="BY113" s="1382"/>
      <c r="BZ113" s="1382"/>
      <c r="CA113" s="1382"/>
      <c r="CB113" s="1382"/>
      <c r="CC113" s="1382"/>
      <c r="CD113" s="1382"/>
      <c r="CE113" s="1382"/>
      <c r="CF113" s="1382"/>
      <c r="CG113" s="1382"/>
      <c r="CH113" s="1382"/>
      <c r="CI113" s="1382"/>
      <c r="CJ113" s="1382"/>
      <c r="CK113" s="1382"/>
      <c r="CL113" s="1382"/>
      <c r="CM113" s="1382"/>
    </row>
    <row r="114" spans="9:91">
      <c r="I114" s="1382"/>
    </row>
  </sheetData>
  <phoneticPr fontId="2" type="noConversion"/>
  <pageMargins left="0" right="0" top="0" bottom="0" header="0" footer="0"/>
  <pageSetup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BR113"/>
  <sheetViews>
    <sheetView showGridLines="0" zoomScale="85" zoomScaleNormal="85" workbookViewId="0"/>
  </sheetViews>
  <sheetFormatPr defaultRowHeight="12.75" outlineLevelRow="1" outlineLevelCol="1"/>
  <cols>
    <col min="1" max="1" width="36.7109375" style="2000" customWidth="1"/>
    <col min="2" max="5" width="10.7109375" style="2000" customWidth="1"/>
    <col min="6" max="6" width="43.140625" style="2000" bestFit="1" customWidth="1" outlineLevel="1"/>
    <col min="7" max="7" width="6.28515625" style="2002" customWidth="1" outlineLevel="1"/>
    <col min="8" max="9" width="6.28515625" style="2000" customWidth="1" outlineLevel="1"/>
    <col min="10" max="30" width="6.28515625" style="2000" customWidth="1"/>
    <col min="31" max="16384" width="9.140625" style="2000"/>
  </cols>
  <sheetData>
    <row r="1" spans="1:21">
      <c r="C1" s="2001"/>
      <c r="F1" s="2002"/>
    </row>
    <row r="2" spans="1:21" ht="20.25" customHeight="1">
      <c r="A2" s="2003" t="s">
        <v>585</v>
      </c>
      <c r="B2" s="2004"/>
      <c r="C2" s="2005"/>
      <c r="D2" s="2006" t="s">
        <v>586</v>
      </c>
      <c r="E2" s="2007"/>
      <c r="F2" s="2008" t="s">
        <v>587</v>
      </c>
      <c r="G2" s="2008" t="s">
        <v>588</v>
      </c>
      <c r="K2" s="2006" t="s">
        <v>589</v>
      </c>
      <c r="L2" s="2007"/>
      <c r="M2" s="2007"/>
    </row>
    <row r="3" spans="1:21" ht="11.25" customHeight="1">
      <c r="A3" s="2000" t="s">
        <v>5</v>
      </c>
      <c r="B3" s="2009">
        <v>310</v>
      </c>
      <c r="C3" s="2010"/>
      <c r="D3" s="2011" t="s">
        <v>590</v>
      </c>
      <c r="E3" s="2012"/>
      <c r="F3" s="2013">
        <f>+B21</f>
        <v>1300</v>
      </c>
      <c r="G3" s="2014"/>
      <c r="K3" s="2015"/>
      <c r="L3" s="2016"/>
      <c r="N3" s="2017"/>
      <c r="O3" s="2017"/>
      <c r="P3" s="2018"/>
      <c r="Q3" s="2019"/>
      <c r="R3" s="2020"/>
      <c r="S3" s="2020"/>
      <c r="T3" s="2020"/>
      <c r="U3" s="2020"/>
    </row>
    <row r="4" spans="1:21" ht="11.25" customHeight="1">
      <c r="A4" s="2000" t="s">
        <v>202</v>
      </c>
      <c r="B4" s="2021">
        <v>60</v>
      </c>
      <c r="C4" s="2010"/>
      <c r="D4" s="2022" t="s">
        <v>655</v>
      </c>
      <c r="E4" s="2023"/>
      <c r="F4" s="2023">
        <f>+F3/B5</f>
        <v>18.571428571428573</v>
      </c>
      <c r="G4" s="2014"/>
      <c r="J4" s="2024"/>
      <c r="K4" s="2015"/>
      <c r="L4" s="2016"/>
      <c r="N4" s="2017"/>
      <c r="O4" s="2017"/>
      <c r="P4" s="2018"/>
      <c r="Q4" s="2019"/>
      <c r="R4" s="2020"/>
      <c r="S4" s="2020"/>
      <c r="T4" s="2020"/>
      <c r="U4" s="2020"/>
    </row>
    <row r="5" spans="1:21" ht="11.25" customHeight="1">
      <c r="A5" s="2000" t="s">
        <v>130</v>
      </c>
      <c r="B5" s="2021">
        <v>70</v>
      </c>
      <c r="C5" s="2010"/>
      <c r="K5" s="2025"/>
      <c r="L5" s="2016"/>
      <c r="N5" s="2017"/>
      <c r="O5" s="2017"/>
      <c r="P5" s="2018"/>
      <c r="Q5" s="2019"/>
      <c r="R5" s="2020"/>
      <c r="S5" s="2020"/>
      <c r="T5" s="2020"/>
      <c r="U5" s="2020"/>
    </row>
    <row r="6" spans="1:21" ht="11.25" customHeight="1">
      <c r="A6" s="2026" t="s">
        <v>591</v>
      </c>
      <c r="B6" s="2027">
        <f>B5/B3</f>
        <v>0.22580645161290322</v>
      </c>
      <c r="C6" s="2139"/>
      <c r="D6" s="2011" t="s">
        <v>592</v>
      </c>
      <c r="G6" s="2028"/>
      <c r="K6" s="2015"/>
      <c r="L6" s="2016"/>
      <c r="N6" s="2017"/>
      <c r="O6" s="2017"/>
      <c r="P6" s="2018"/>
      <c r="Q6" s="2019"/>
      <c r="R6" s="2020"/>
      <c r="S6" s="2020"/>
      <c r="T6" s="2020"/>
      <c r="U6" s="2020"/>
    </row>
    <row r="7" spans="1:21" ht="11.25" customHeight="1">
      <c r="A7" s="2026" t="s">
        <v>593</v>
      </c>
      <c r="B7" s="2027">
        <f>B4/B3</f>
        <v>0.19354838709677419</v>
      </c>
      <c r="C7" s="2029"/>
      <c r="D7" s="2030" t="s">
        <v>594</v>
      </c>
      <c r="F7" s="2136">
        <v>425</v>
      </c>
      <c r="G7" s="2032">
        <f>+F7/$F$3</f>
        <v>0.32692307692307693</v>
      </c>
      <c r="K7" s="2025"/>
      <c r="L7" s="2016"/>
      <c r="N7" s="2017"/>
      <c r="O7" s="2017"/>
      <c r="P7" s="2018"/>
      <c r="Q7" s="2019"/>
      <c r="R7" s="2020"/>
      <c r="S7" s="2020"/>
      <c r="T7" s="2020"/>
      <c r="U7" s="2020"/>
    </row>
    <row r="8" spans="1:21" ht="11.25" customHeight="1">
      <c r="C8" s="2033"/>
      <c r="D8" s="2030" t="s">
        <v>656</v>
      </c>
      <c r="E8" s="2012"/>
      <c r="F8" s="2034">
        <f>BS!BO10</f>
        <v>202.13399999999999</v>
      </c>
      <c r="K8" s="2025"/>
      <c r="L8" s="2016"/>
      <c r="N8" s="2017"/>
      <c r="O8" s="2017"/>
      <c r="P8" s="2018"/>
      <c r="Q8" s="2019"/>
      <c r="R8" s="2020"/>
      <c r="S8" s="2020"/>
      <c r="T8" s="2020"/>
      <c r="U8" s="2020"/>
    </row>
    <row r="9" spans="1:21" ht="11.25" customHeight="1">
      <c r="A9" s="2117" t="s">
        <v>82</v>
      </c>
      <c r="B9" s="2118">
        <v>0</v>
      </c>
      <c r="C9" s="2035"/>
      <c r="D9" s="2030" t="s">
        <v>595</v>
      </c>
      <c r="F9" s="2036">
        <f>F7/F8</f>
        <v>2.1025656247835594</v>
      </c>
      <c r="K9" s="2025"/>
      <c r="L9" s="2016"/>
      <c r="N9" s="2017"/>
      <c r="O9" s="2017"/>
      <c r="P9" s="2018"/>
      <c r="Q9" s="2019"/>
      <c r="R9" s="2020"/>
      <c r="S9" s="2020"/>
      <c r="T9" s="2020"/>
      <c r="U9" s="2020"/>
    </row>
    <row r="10" spans="1:21" ht="11.25" customHeight="1">
      <c r="A10" s="2119" t="s">
        <v>596</v>
      </c>
      <c r="B10" s="2120">
        <v>0</v>
      </c>
      <c r="C10" s="2035"/>
      <c r="G10" s="2032"/>
      <c r="K10" s="2037"/>
      <c r="N10" s="2017"/>
      <c r="O10" s="2017"/>
      <c r="P10" s="2018"/>
      <c r="Q10" s="2019"/>
      <c r="R10" s="2020"/>
      <c r="S10" s="2020"/>
      <c r="T10" s="2020"/>
      <c r="U10" s="2020"/>
    </row>
    <row r="11" spans="1:21" ht="11.25" customHeight="1">
      <c r="A11" s="2117" t="s">
        <v>597</v>
      </c>
      <c r="B11" s="2121">
        <f>+B9*B10</f>
        <v>0</v>
      </c>
      <c r="C11" s="2038"/>
      <c r="D11" s="2030" t="s">
        <v>598</v>
      </c>
      <c r="E11" s="2012"/>
      <c r="F11" s="2039">
        <v>0</v>
      </c>
      <c r="G11" s="2032">
        <f>+F11/F$3</f>
        <v>0</v>
      </c>
      <c r="K11" s="2006" t="s">
        <v>599</v>
      </c>
      <c r="L11" s="2006"/>
      <c r="M11" s="2006"/>
      <c r="N11" s="2017"/>
      <c r="O11" s="2017"/>
      <c r="P11" s="2018"/>
      <c r="Q11" s="2019"/>
      <c r="R11" s="2020"/>
      <c r="S11" s="2020"/>
      <c r="T11" s="2020"/>
      <c r="U11" s="2020"/>
    </row>
    <row r="12" spans="1:21" ht="11.25" customHeight="1">
      <c r="A12" s="2117" t="s">
        <v>653</v>
      </c>
      <c r="B12" s="2122" t="s">
        <v>581</v>
      </c>
      <c r="C12" s="2010"/>
      <c r="D12" s="2030" t="s">
        <v>661</v>
      </c>
      <c r="E12" s="2012"/>
      <c r="F12" s="2040">
        <v>110.85899999999999</v>
      </c>
      <c r="G12" s="2014"/>
      <c r="K12" s="2041"/>
      <c r="N12" s="2017"/>
      <c r="O12" s="2017"/>
      <c r="P12" s="2018"/>
      <c r="Q12" s="2019"/>
      <c r="R12" s="2020"/>
      <c r="S12" s="2020"/>
      <c r="T12" s="2020"/>
      <c r="U12" s="2020"/>
    </row>
    <row r="13" spans="1:21" ht="11.25" customHeight="1">
      <c r="A13" s="2117" t="s">
        <v>600</v>
      </c>
      <c r="B13" s="2123" t="s">
        <v>581</v>
      </c>
      <c r="C13" s="2014"/>
      <c r="D13" s="2030" t="s">
        <v>601</v>
      </c>
      <c r="E13" s="2012"/>
      <c r="F13" s="2042" t="s">
        <v>581</v>
      </c>
      <c r="G13" s="2014"/>
      <c r="K13" s="2043"/>
      <c r="N13" s="2017"/>
      <c r="O13" s="2017"/>
      <c r="P13" s="2018"/>
      <c r="Q13" s="2019"/>
      <c r="R13" s="2020"/>
      <c r="S13" s="2020"/>
      <c r="T13" s="2020"/>
      <c r="U13" s="2020"/>
    </row>
    <row r="14" spans="1:21" ht="11.25" customHeight="1">
      <c r="A14" s="2124" t="s">
        <v>670</v>
      </c>
      <c r="B14" s="2125" t="s">
        <v>581</v>
      </c>
      <c r="C14" s="2014"/>
      <c r="D14" s="2030" t="s">
        <v>602</v>
      </c>
      <c r="E14" s="2012"/>
      <c r="F14" s="2044" t="s">
        <v>581</v>
      </c>
      <c r="G14" s="2014"/>
      <c r="K14" s="2045"/>
      <c r="N14" s="2017"/>
      <c r="O14" s="2017"/>
      <c r="P14" s="2018"/>
      <c r="Q14" s="2019"/>
      <c r="R14" s="2020"/>
      <c r="S14" s="2020"/>
      <c r="T14" s="2020"/>
      <c r="U14" s="2020"/>
    </row>
    <row r="15" spans="1:21" ht="11.25" customHeight="1">
      <c r="A15" s="2119"/>
      <c r="B15" s="2119"/>
      <c r="C15" s="2046"/>
      <c r="D15" s="2030" t="s">
        <v>603</v>
      </c>
      <c r="E15" s="2012"/>
      <c r="F15" s="2044">
        <f>F12</f>
        <v>110.85899999999999</v>
      </c>
      <c r="G15" s="2014"/>
      <c r="K15" s="2116"/>
      <c r="N15" s="2017"/>
      <c r="O15" s="2017"/>
      <c r="P15" s="2018"/>
      <c r="Q15" s="2019"/>
      <c r="R15" s="2020"/>
      <c r="S15" s="2020"/>
      <c r="T15" s="2020"/>
      <c r="U15" s="2020"/>
    </row>
    <row r="16" spans="1:21" ht="11.25" customHeight="1">
      <c r="A16" s="2126" t="s">
        <v>604</v>
      </c>
      <c r="B16" s="2127" t="s">
        <v>581</v>
      </c>
      <c r="D16" s="2030" t="s">
        <v>605</v>
      </c>
      <c r="E16" s="2012"/>
      <c r="F16" s="2047" t="s">
        <v>581</v>
      </c>
      <c r="K16" s="2043"/>
      <c r="L16" s="2048"/>
      <c r="N16" s="2017"/>
    </row>
    <row r="17" spans="1:14" ht="11.25" customHeight="1">
      <c r="A17" s="2126" t="s">
        <v>654</v>
      </c>
      <c r="B17" s="2128" t="s">
        <v>581</v>
      </c>
      <c r="C17" s="2038"/>
      <c r="G17" s="2014"/>
      <c r="N17" s="2017"/>
    </row>
    <row r="18" spans="1:14" ht="11.25" customHeight="1">
      <c r="A18" s="2126" t="s">
        <v>606</v>
      </c>
      <c r="B18" s="2127" t="s">
        <v>581</v>
      </c>
      <c r="C18" s="2038"/>
      <c r="D18" s="2030" t="s">
        <v>607</v>
      </c>
      <c r="E18" s="2012"/>
      <c r="F18" s="2049">
        <f>+F3-F7-F11</f>
        <v>875</v>
      </c>
      <c r="G18" s="2032">
        <f>+F18/$F$3</f>
        <v>0.67307692307692313</v>
      </c>
      <c r="N18" s="2017"/>
    </row>
    <row r="19" spans="1:14" ht="11.25" customHeight="1">
      <c r="A19" s="2129" t="s">
        <v>608</v>
      </c>
      <c r="B19" s="2130" t="s">
        <v>581</v>
      </c>
      <c r="C19" s="2012"/>
      <c r="D19" s="2030" t="s">
        <v>657</v>
      </c>
      <c r="E19" s="2012"/>
      <c r="F19" s="2034">
        <f>Debt!BO16</f>
        <v>2006.1089999999999</v>
      </c>
      <c r="G19" s="2014"/>
      <c r="N19" s="2017"/>
    </row>
    <row r="20" spans="1:14" ht="11.25" customHeight="1">
      <c r="A20" s="2126" t="s">
        <v>609</v>
      </c>
      <c r="B20" s="2123" t="s">
        <v>581</v>
      </c>
      <c r="D20" s="2030" t="s">
        <v>658</v>
      </c>
      <c r="E20" s="2012"/>
      <c r="F20" s="2034">
        <f>IS!BO24</f>
        <v>480.44567903009971</v>
      </c>
      <c r="G20" s="2014"/>
      <c r="K20" s="2050"/>
      <c r="N20" s="2017"/>
    </row>
    <row r="21" spans="1:14" ht="11.25" customHeight="1">
      <c r="A21" s="2131" t="s">
        <v>610</v>
      </c>
      <c r="B21" s="2138">
        <v>1300</v>
      </c>
      <c r="D21" s="2051" t="s">
        <v>669</v>
      </c>
      <c r="E21" s="2052"/>
      <c r="F21" s="2053">
        <f>+(F19+F18)/(F20+B5)</f>
        <v>5.23413864393775</v>
      </c>
      <c r="G21" s="2054"/>
      <c r="K21" s="2050"/>
      <c r="N21" s="2017"/>
    </row>
    <row r="22" spans="1:14">
      <c r="F22" s="2002"/>
      <c r="N22" s="2017"/>
    </row>
    <row r="23" spans="1:14" ht="15" customHeight="1">
      <c r="A23" s="2055"/>
      <c r="B23" s="2056" t="s">
        <v>662</v>
      </c>
      <c r="C23" s="2056"/>
      <c r="D23" s="2056"/>
      <c r="E23" s="2056"/>
      <c r="F23" s="2055"/>
      <c r="G23" s="2055"/>
      <c r="H23" s="2055"/>
      <c r="I23" s="2055"/>
      <c r="K23" s="2055"/>
      <c r="L23" s="2055"/>
      <c r="M23" s="2055"/>
    </row>
    <row r="24" spans="1:14" ht="15" customHeight="1">
      <c r="A24" s="2055"/>
      <c r="B24" s="2056" t="s">
        <v>611</v>
      </c>
      <c r="C24" s="2056" t="s">
        <v>612</v>
      </c>
      <c r="D24" s="2056" t="s">
        <v>613</v>
      </c>
      <c r="E24" s="2056" t="s">
        <v>652</v>
      </c>
      <c r="F24" s="2055"/>
      <c r="G24" s="2055"/>
      <c r="H24" s="2055"/>
      <c r="I24" s="2055"/>
      <c r="K24" s="2055"/>
      <c r="L24" s="2055"/>
      <c r="M24" s="2055"/>
    </row>
    <row r="25" spans="1:14" ht="15" customHeight="1">
      <c r="A25" s="2057"/>
      <c r="B25" s="2058" t="s">
        <v>614</v>
      </c>
      <c r="C25" s="2058" t="s">
        <v>615</v>
      </c>
      <c r="D25" s="2058" t="s">
        <v>616</v>
      </c>
      <c r="E25" s="2058" t="s">
        <v>617</v>
      </c>
      <c r="F25" s="2058" t="s">
        <v>393</v>
      </c>
      <c r="G25" s="2058"/>
      <c r="H25" s="2058"/>
      <c r="I25" s="2058"/>
      <c r="K25" s="2006" t="s">
        <v>618</v>
      </c>
      <c r="L25" s="2007"/>
      <c r="M25" s="2007"/>
    </row>
    <row r="26" spans="1:14" ht="11.25" customHeight="1">
      <c r="A26" s="2142" t="s">
        <v>116</v>
      </c>
      <c r="B26" s="2143">
        <f>+B3</f>
        <v>310</v>
      </c>
      <c r="C26" s="2143">
        <f>(B26*(1+C$28))+(C29*B26)</f>
        <v>358.40000000000003</v>
      </c>
      <c r="D26" s="2143">
        <f>(C26*(1+D$28))+(D29*C26)</f>
        <v>418.99200000000002</v>
      </c>
      <c r="E26" s="2144">
        <f>(D26*(1+E$28))+(E29*D26)</f>
        <v>505.27104000000008</v>
      </c>
      <c r="F26" s="2061"/>
      <c r="G26" s="2061"/>
      <c r="H26" s="2062"/>
      <c r="I26" s="2062"/>
    </row>
    <row r="27" spans="1:14" ht="11.25" customHeight="1">
      <c r="A27" s="2063" t="s">
        <v>619</v>
      </c>
      <c r="B27" s="2060"/>
      <c r="C27" s="2064">
        <f>+C26/B26-1</f>
        <v>0.15612903225806463</v>
      </c>
      <c r="D27" s="2064">
        <f>+D26/C26-1</f>
        <v>0.16906249999999989</v>
      </c>
      <c r="E27" s="2145">
        <f>+E26/D26-1</f>
        <v>0.20592049490205078</v>
      </c>
      <c r="F27" s="2061"/>
      <c r="G27" s="2061"/>
      <c r="H27" s="2062"/>
      <c r="I27" s="2062"/>
    </row>
    <row r="28" spans="1:14" ht="11.25" customHeight="1">
      <c r="A28" s="2065" t="s">
        <v>620</v>
      </c>
      <c r="B28" s="2066"/>
      <c r="C28" s="2067">
        <v>0.14000000000000001</v>
      </c>
      <c r="D28" s="2067">
        <v>0.13</v>
      </c>
      <c r="E28" s="2146">
        <v>0.12</v>
      </c>
      <c r="F28" s="2068" t="s">
        <v>724</v>
      </c>
      <c r="G28" s="2069"/>
      <c r="H28" s="2014"/>
      <c r="I28" s="2014"/>
    </row>
    <row r="29" spans="1:14" ht="11.25" customHeight="1">
      <c r="A29" s="2065" t="s">
        <v>688</v>
      </c>
      <c r="B29" s="2066"/>
      <c r="C29" s="2077">
        <f>C30/B26</f>
        <v>1.6129032258064516E-2</v>
      </c>
      <c r="D29" s="2077">
        <f t="shared" ref="D29:E29" si="0">D30/C26</f>
        <v>3.9062499999999993E-2</v>
      </c>
      <c r="E29" s="2214">
        <f t="shared" si="0"/>
        <v>8.5920494902050629E-2</v>
      </c>
      <c r="F29" s="2031" t="s">
        <v>659</v>
      </c>
      <c r="G29" s="2069"/>
      <c r="H29" s="2014"/>
      <c r="I29" s="2014"/>
    </row>
    <row r="30" spans="1:14" ht="11.25" customHeight="1">
      <c r="A30" s="2211" t="s">
        <v>689</v>
      </c>
      <c r="B30" s="2066"/>
      <c r="C30" s="2212">
        <v>5</v>
      </c>
      <c r="D30" s="2212">
        <v>14</v>
      </c>
      <c r="E30" s="2247">
        <v>36</v>
      </c>
      <c r="F30" s="2213"/>
      <c r="G30" s="2069"/>
      <c r="H30" s="2014"/>
      <c r="I30" s="2014"/>
    </row>
    <row r="31" spans="1:14" ht="11.25" customHeight="1">
      <c r="A31" s="2070"/>
      <c r="B31" s="2066"/>
      <c r="C31" s="2066"/>
      <c r="D31" s="2071"/>
      <c r="E31" s="2147"/>
      <c r="F31" s="2069"/>
      <c r="G31" s="2069"/>
      <c r="H31" s="2014"/>
      <c r="I31" s="2014"/>
    </row>
    <row r="32" spans="1:14" ht="11.25" customHeight="1">
      <c r="A32" s="2072" t="s">
        <v>621</v>
      </c>
      <c r="B32" s="2073">
        <f>+B5</f>
        <v>70</v>
      </c>
      <c r="C32" s="2073">
        <f>(C26-B26)*(C34)+B32</f>
        <v>84.52000000000001</v>
      </c>
      <c r="D32" s="2073">
        <f>(D26-C26)*(D34)+C32</f>
        <v>102.69760000000001</v>
      </c>
      <c r="E32" s="2148">
        <f>(E26-D26)*(E34)+D32</f>
        <v>128.58131200000003</v>
      </c>
      <c r="F32" s="2068"/>
      <c r="G32" s="2069"/>
      <c r="H32" s="2014"/>
      <c r="I32" s="2014"/>
    </row>
    <row r="33" spans="1:15" ht="11.25" customHeight="1">
      <c r="A33" s="2065" t="s">
        <v>622</v>
      </c>
      <c r="B33" s="2074">
        <f>+B32/B26</f>
        <v>0.22580645161290322</v>
      </c>
      <c r="C33" s="2074">
        <f>C32/C26</f>
        <v>0.23582589285714287</v>
      </c>
      <c r="D33" s="2074">
        <f>D32/D26</f>
        <v>0.24510635047924545</v>
      </c>
      <c r="E33" s="2149">
        <f>E32/E26</f>
        <v>0.25447987678058892</v>
      </c>
      <c r="G33" s="2069"/>
      <c r="H33" s="2014"/>
      <c r="I33" s="2014"/>
    </row>
    <row r="34" spans="1:15" ht="11.25" customHeight="1">
      <c r="A34" s="2065" t="s">
        <v>623</v>
      </c>
      <c r="B34" s="2075"/>
      <c r="C34" s="2067">
        <v>0.3</v>
      </c>
      <c r="D34" s="2067">
        <v>0.3</v>
      </c>
      <c r="E34" s="2146">
        <v>0.3</v>
      </c>
      <c r="G34" s="2069"/>
      <c r="H34" s="2014"/>
      <c r="I34" s="2014"/>
    </row>
    <row r="35" spans="1:15" ht="11.25" customHeight="1">
      <c r="A35" s="2070"/>
      <c r="B35" s="2075"/>
      <c r="C35" s="2075"/>
      <c r="D35" s="2075"/>
      <c r="E35" s="2150"/>
      <c r="F35" s="2068"/>
      <c r="G35" s="2069"/>
      <c r="H35" s="2014"/>
      <c r="I35" s="2014"/>
    </row>
    <row r="36" spans="1:15" ht="11.25" customHeight="1">
      <c r="A36" s="2072" t="s">
        <v>580</v>
      </c>
      <c r="B36" s="2073">
        <f>-B37*B26</f>
        <v>0</v>
      </c>
      <c r="C36" s="2073">
        <f>C37*C26</f>
        <v>0</v>
      </c>
      <c r="D36" s="2073">
        <f>D37*D26</f>
        <v>0</v>
      </c>
      <c r="E36" s="2148">
        <f>E37*E26</f>
        <v>0</v>
      </c>
      <c r="F36" s="2068" t="s">
        <v>660</v>
      </c>
      <c r="G36" s="2069"/>
      <c r="H36" s="2014"/>
      <c r="I36" s="2014"/>
      <c r="K36" s="2076"/>
    </row>
    <row r="37" spans="1:15" ht="11.25" customHeight="1">
      <c r="A37" s="2065" t="s">
        <v>622</v>
      </c>
      <c r="B37" s="2077">
        <v>0</v>
      </c>
      <c r="C37" s="2067">
        <v>0</v>
      </c>
      <c r="D37" s="2067">
        <v>0</v>
      </c>
      <c r="E37" s="2146">
        <v>0</v>
      </c>
      <c r="G37" s="2069"/>
      <c r="H37" s="2014"/>
      <c r="I37" s="2014"/>
      <c r="K37" s="2219"/>
      <c r="L37" s="2219"/>
      <c r="M37" s="2219"/>
      <c r="N37" s="2219"/>
      <c r="O37" s="2219"/>
    </row>
    <row r="38" spans="1:15" ht="11.25" customHeight="1">
      <c r="A38" s="2078"/>
      <c r="B38" s="2079"/>
      <c r="C38" s="2079"/>
      <c r="D38" s="2079"/>
      <c r="E38" s="2151"/>
      <c r="F38" s="2069"/>
      <c r="G38" s="2069"/>
      <c r="H38" s="2014"/>
      <c r="I38" s="2014"/>
      <c r="K38" s="2220"/>
      <c r="L38" s="2220"/>
      <c r="M38" s="2221"/>
      <c r="N38" s="2219"/>
      <c r="O38" s="2219"/>
    </row>
    <row r="39" spans="1:15" ht="11.25" customHeight="1">
      <c r="A39" s="2059" t="s">
        <v>624</v>
      </c>
      <c r="B39" s="2060">
        <f>+B32+B36</f>
        <v>70</v>
      </c>
      <c r="C39" s="2060">
        <f>+C32+C36</f>
        <v>84.52000000000001</v>
      </c>
      <c r="D39" s="2060">
        <f>+D32+D36</f>
        <v>102.69760000000001</v>
      </c>
      <c r="E39" s="2152">
        <f>+E32+E36</f>
        <v>128.58131200000003</v>
      </c>
      <c r="F39" s="2080" t="s">
        <v>725</v>
      </c>
      <c r="G39" s="2061"/>
      <c r="H39" s="2062"/>
      <c r="I39" s="2062"/>
      <c r="K39" s="2220"/>
      <c r="L39" s="2220"/>
      <c r="M39" s="2221"/>
      <c r="N39" s="2219"/>
      <c r="O39" s="2219"/>
    </row>
    <row r="40" spans="1:15" ht="11.25" customHeight="1">
      <c r="A40" s="2081" t="s">
        <v>625</v>
      </c>
      <c r="B40" s="2082">
        <f>+B39/B$26</f>
        <v>0.22580645161290322</v>
      </c>
      <c r="C40" s="2082">
        <f>+C39/C$26</f>
        <v>0.23582589285714287</v>
      </c>
      <c r="D40" s="2082">
        <f>+D39/D$26</f>
        <v>0.24510635047924545</v>
      </c>
      <c r="E40" s="2153">
        <f>+E39/E$26</f>
        <v>0.25447987678058892</v>
      </c>
      <c r="F40" s="2062"/>
      <c r="G40" s="2061"/>
      <c r="H40" s="2062"/>
      <c r="I40" s="2062"/>
      <c r="K40" s="2220"/>
      <c r="L40" s="2219"/>
      <c r="M40" s="2221"/>
      <c r="N40" s="2219"/>
      <c r="O40" s="2219"/>
    </row>
    <row r="41" spans="1:15" ht="11.25" customHeight="1">
      <c r="A41" s="2070"/>
      <c r="B41" s="2075"/>
      <c r="C41" s="2075"/>
      <c r="D41" s="2075"/>
      <c r="E41" s="2150"/>
      <c r="F41" s="2068"/>
      <c r="G41" s="2069"/>
      <c r="H41" s="2014"/>
      <c r="I41" s="2014"/>
      <c r="K41" s="2219"/>
      <c r="L41" s="2219"/>
      <c r="M41" s="2222"/>
      <c r="N41" s="2219"/>
      <c r="O41" s="2219"/>
    </row>
    <row r="42" spans="1:15" ht="11.25" customHeight="1">
      <c r="A42" s="2072" t="s">
        <v>626</v>
      </c>
      <c r="B42" s="2083">
        <f>-(B5-B4)</f>
        <v>-10</v>
      </c>
      <c r="C42" s="2083">
        <f>C43*C26*-1</f>
        <v>-16.844800000000003</v>
      </c>
      <c r="D42" s="2083">
        <f>+D43*-D26</f>
        <v>-19.692624000000002</v>
      </c>
      <c r="E42" s="2154">
        <f>+E43*-E26</f>
        <v>-23.747738880000004</v>
      </c>
      <c r="G42" s="2069"/>
      <c r="H42" s="2014"/>
      <c r="I42" s="2014"/>
      <c r="K42" s="2219"/>
      <c r="L42" s="2219"/>
      <c r="M42" s="2223"/>
      <c r="N42" s="2219"/>
      <c r="O42" s="2219"/>
    </row>
    <row r="43" spans="1:15" ht="11.25" customHeight="1">
      <c r="A43" s="2065" t="s">
        <v>622</v>
      </c>
      <c r="B43" s="2074">
        <f>+-B42/B26</f>
        <v>3.2258064516129031E-2</v>
      </c>
      <c r="C43" s="2084">
        <v>4.7E-2</v>
      </c>
      <c r="D43" s="2074">
        <f>+C43</f>
        <v>4.7E-2</v>
      </c>
      <c r="E43" s="2149">
        <f>+D43</f>
        <v>4.7E-2</v>
      </c>
      <c r="F43" s="2068"/>
      <c r="G43" s="2069"/>
      <c r="H43" s="2014"/>
      <c r="I43" s="2014"/>
      <c r="K43" s="2224"/>
      <c r="L43" s="2220"/>
      <c r="M43" s="2222"/>
      <c r="N43" s="2219"/>
      <c r="O43" s="2219"/>
    </row>
    <row r="44" spans="1:15" ht="11.25" hidden="1" customHeight="1" outlineLevel="1">
      <c r="A44" s="2078"/>
      <c r="B44" s="2079"/>
      <c r="C44" s="2079"/>
      <c r="D44" s="2079"/>
      <c r="E44" s="2151"/>
      <c r="F44" s="2085"/>
      <c r="G44" s="2069"/>
      <c r="H44" s="2014"/>
      <c r="I44" s="2014"/>
      <c r="K44" s="2220"/>
      <c r="L44" s="2219"/>
      <c r="M44" s="2221"/>
      <c r="N44" s="2219"/>
      <c r="O44" s="2219"/>
    </row>
    <row r="45" spans="1:15" ht="11.25" hidden="1" customHeight="1" outlineLevel="1">
      <c r="A45" s="2072" t="s">
        <v>627</v>
      </c>
      <c r="B45" s="2083">
        <f>B46*B26*-1</f>
        <v>0</v>
      </c>
      <c r="C45" s="2083">
        <f>C46*C26*-1</f>
        <v>0</v>
      </c>
      <c r="D45" s="2083">
        <f>+C45</f>
        <v>0</v>
      </c>
      <c r="E45" s="2154">
        <f>+D45</f>
        <v>0</v>
      </c>
      <c r="G45" s="2069"/>
      <c r="H45" s="2014"/>
      <c r="I45" s="2014"/>
      <c r="K45" s="2220"/>
      <c r="L45" s="2219"/>
      <c r="M45" s="2221"/>
      <c r="N45" s="2219"/>
      <c r="O45" s="2219"/>
    </row>
    <row r="46" spans="1:15" ht="11.25" hidden="1" customHeight="1" outlineLevel="1">
      <c r="A46" s="2065" t="s">
        <v>622</v>
      </c>
      <c r="B46" s="2067">
        <v>0</v>
      </c>
      <c r="C46" s="2067">
        <v>0</v>
      </c>
      <c r="D46" s="2086">
        <v>0</v>
      </c>
      <c r="E46" s="2155">
        <v>0</v>
      </c>
      <c r="F46" s="2069"/>
      <c r="G46" s="2069"/>
      <c r="H46" s="2014"/>
      <c r="I46" s="2014"/>
      <c r="K46" s="2224"/>
      <c r="L46" s="2220"/>
      <c r="M46" s="2222"/>
      <c r="N46" s="2219"/>
      <c r="O46" s="2219"/>
    </row>
    <row r="47" spans="1:15" ht="11.25" customHeight="1" collapsed="1">
      <c r="A47" s="2070"/>
      <c r="B47" s="2075"/>
      <c r="C47" s="2075"/>
      <c r="D47" s="2075"/>
      <c r="E47" s="2150"/>
      <c r="F47" s="2068"/>
      <c r="G47" s="2069"/>
      <c r="H47" s="2014"/>
      <c r="I47" s="2014"/>
      <c r="K47" s="2220"/>
      <c r="L47" s="2219"/>
      <c r="M47" s="2221"/>
      <c r="N47" s="2219"/>
      <c r="O47" s="2219"/>
    </row>
    <row r="48" spans="1:15" ht="11.25" customHeight="1">
      <c r="A48" s="2072" t="s">
        <v>186</v>
      </c>
      <c r="B48" s="2087">
        <v>50</v>
      </c>
      <c r="C48" s="2073">
        <f>C32+C42+C45+C36</f>
        <v>67.675200000000004</v>
      </c>
      <c r="D48" s="2073">
        <f>D32+D42+D45+D36</f>
        <v>83.004975999999999</v>
      </c>
      <c r="E48" s="2148">
        <f>E32+E42+E45+E36</f>
        <v>104.83357312000003</v>
      </c>
      <c r="F48" s="2069"/>
      <c r="G48" s="2069"/>
      <c r="H48" s="2014"/>
      <c r="I48" s="2014"/>
      <c r="K48" s="2220"/>
      <c r="L48" s="2219"/>
      <c r="M48" s="2221"/>
      <c r="N48" s="2219"/>
      <c r="O48" s="2219"/>
    </row>
    <row r="49" spans="1:70" ht="11.25" customHeight="1">
      <c r="A49" s="2070"/>
      <c r="B49" s="2075"/>
      <c r="C49" s="2075"/>
      <c r="D49" s="2075"/>
      <c r="E49" s="2150"/>
      <c r="F49" s="2068"/>
      <c r="G49" s="2069"/>
      <c r="H49" s="2014"/>
      <c r="I49" s="2014"/>
      <c r="K49" s="2224"/>
      <c r="L49" s="2220"/>
      <c r="M49" s="2222"/>
      <c r="N49" s="2219"/>
      <c r="O49" s="2219"/>
    </row>
    <row r="50" spans="1:70" ht="11.25" customHeight="1">
      <c r="A50" s="2072" t="s">
        <v>309</v>
      </c>
      <c r="B50" s="2088">
        <v>-15</v>
      </c>
      <c r="C50" s="2083">
        <f>C48*C51*-1</f>
        <v>-16.918800000000001</v>
      </c>
      <c r="D50" s="2083">
        <f>D48*D51*-1</f>
        <v>-16.6009952</v>
      </c>
      <c r="E50" s="2154">
        <f>E48*E51*-1</f>
        <v>-18.870043161600005</v>
      </c>
      <c r="F50" s="2068"/>
      <c r="G50" s="2069"/>
      <c r="H50" s="2014"/>
      <c r="I50" s="2014"/>
      <c r="K50" s="2220"/>
      <c r="L50" s="2219"/>
      <c r="M50" s="2221"/>
      <c r="N50" s="2219"/>
      <c r="O50" s="2219"/>
    </row>
    <row r="51" spans="1:70" ht="11.25" customHeight="1">
      <c r="A51" s="2065" t="s">
        <v>628</v>
      </c>
      <c r="B51" s="2077">
        <f>-B50/B48</f>
        <v>0.3</v>
      </c>
      <c r="C51" s="2067">
        <v>0.25</v>
      </c>
      <c r="D51" s="2067">
        <v>0.2</v>
      </c>
      <c r="E51" s="2146">
        <v>0.18</v>
      </c>
      <c r="F51" s="2068"/>
      <c r="G51" s="2069"/>
      <c r="H51" s="2014"/>
      <c r="I51" s="2014"/>
      <c r="K51" s="2220"/>
      <c r="L51" s="2219"/>
      <c r="M51" s="2221"/>
      <c r="N51" s="2219"/>
      <c r="O51" s="2219"/>
    </row>
    <row r="52" spans="1:70" ht="11.25" customHeight="1">
      <c r="A52" s="2078"/>
      <c r="B52" s="2079"/>
      <c r="C52" s="2079"/>
      <c r="D52" s="2079"/>
      <c r="E52" s="2151"/>
      <c r="G52" s="2069"/>
      <c r="H52" s="2014"/>
      <c r="I52" s="2014"/>
      <c r="K52" s="2224"/>
      <c r="L52" s="2220"/>
      <c r="M52" s="2222"/>
      <c r="N52" s="2219"/>
      <c r="O52" s="2219"/>
    </row>
    <row r="53" spans="1:70" ht="11.25" customHeight="1">
      <c r="A53" s="2072" t="s">
        <v>629</v>
      </c>
      <c r="B53" s="2073">
        <f>B48+B50</f>
        <v>35</v>
      </c>
      <c r="C53" s="2073">
        <f>C48+C50</f>
        <v>50.756399999999999</v>
      </c>
      <c r="D53" s="2073">
        <f>D48+D50</f>
        <v>66.403980799999999</v>
      </c>
      <c r="E53" s="2148">
        <f>E48+E50</f>
        <v>85.963529958400017</v>
      </c>
      <c r="F53" s="2069"/>
      <c r="G53" s="2069"/>
      <c r="H53" s="2014"/>
      <c r="I53" s="2014"/>
      <c r="K53" s="2224"/>
      <c r="L53" s="2219"/>
      <c r="M53" s="2222"/>
      <c r="N53" s="2219"/>
      <c r="O53" s="2219"/>
    </row>
    <row r="54" spans="1:70" s="2012" customFormat="1" ht="11.25" customHeight="1">
      <c r="A54" s="2065" t="s">
        <v>625</v>
      </c>
      <c r="B54" s="2086">
        <f>+B53/B$26</f>
        <v>0.11290322580645161</v>
      </c>
      <c r="C54" s="2086">
        <f>+C53/C$26</f>
        <v>0.14161941964285713</v>
      </c>
      <c r="D54" s="2086">
        <f>+D53/D$26</f>
        <v>0.15848508038339634</v>
      </c>
      <c r="E54" s="2155">
        <f>+E53/E$26</f>
        <v>0.1701334989600829</v>
      </c>
      <c r="F54" s="2068"/>
      <c r="G54" s="2069"/>
      <c r="H54" s="2014"/>
      <c r="I54" s="2014"/>
      <c r="J54" s="2000"/>
      <c r="K54" s="2224"/>
      <c r="L54" s="2219"/>
      <c r="M54" s="2222"/>
      <c r="N54" s="2219"/>
      <c r="O54" s="2219"/>
      <c r="P54" s="2000"/>
      <c r="Q54" s="2000"/>
      <c r="R54" s="2000"/>
      <c r="S54" s="2000"/>
      <c r="T54" s="2000"/>
      <c r="U54" s="2000"/>
      <c r="V54" s="2000"/>
      <c r="W54" s="2000"/>
      <c r="X54" s="2000"/>
      <c r="Y54" s="2000"/>
      <c r="Z54" s="2000"/>
      <c r="AA54" s="2000"/>
      <c r="AB54" s="2000"/>
      <c r="AC54" s="2000"/>
      <c r="AD54" s="2000"/>
      <c r="AE54" s="2000"/>
      <c r="AF54" s="2000"/>
      <c r="AG54" s="2000"/>
      <c r="AH54" s="2000"/>
      <c r="AI54" s="2000"/>
      <c r="AJ54" s="2000"/>
      <c r="AK54" s="2000"/>
      <c r="AL54" s="2000"/>
      <c r="AM54" s="2000"/>
      <c r="AN54" s="2000"/>
      <c r="AO54" s="2000"/>
      <c r="AP54" s="2000"/>
      <c r="AQ54" s="2000"/>
      <c r="AR54" s="2000"/>
      <c r="AS54" s="2000"/>
      <c r="AT54" s="2000"/>
      <c r="AU54" s="2000"/>
      <c r="AV54" s="2000"/>
      <c r="AW54" s="2000"/>
      <c r="AX54" s="2000"/>
      <c r="AY54" s="2000"/>
      <c r="AZ54" s="2000"/>
      <c r="BA54" s="2000"/>
      <c r="BB54" s="2000"/>
      <c r="BC54" s="2000"/>
      <c r="BD54" s="2000"/>
      <c r="BE54" s="2000"/>
      <c r="BF54" s="2000"/>
      <c r="BG54" s="2000"/>
      <c r="BH54" s="2000"/>
      <c r="BI54" s="2000"/>
      <c r="BJ54" s="2000"/>
      <c r="BK54" s="2000"/>
      <c r="BL54" s="2000"/>
      <c r="BM54" s="2000"/>
      <c r="BN54" s="2000"/>
      <c r="BO54" s="2000"/>
      <c r="BP54" s="2000"/>
      <c r="BQ54" s="2000"/>
      <c r="BR54" s="2000"/>
    </row>
    <row r="55" spans="1:70" s="2012" customFormat="1" ht="11.25" customHeight="1">
      <c r="A55" s="2070"/>
      <c r="B55" s="2075"/>
      <c r="C55" s="2075"/>
      <c r="D55" s="2075"/>
      <c r="E55" s="2150"/>
      <c r="F55" s="2068"/>
      <c r="G55" s="2069"/>
      <c r="H55" s="2014"/>
      <c r="I55" s="2014"/>
      <c r="J55" s="2000"/>
      <c r="K55" s="2220"/>
      <c r="L55" s="2219"/>
      <c r="M55" s="2221"/>
      <c r="N55" s="2219"/>
      <c r="O55" s="2219"/>
      <c r="P55" s="2000"/>
      <c r="Q55" s="2000"/>
      <c r="R55" s="2000"/>
      <c r="S55" s="2000"/>
      <c r="T55" s="2000"/>
      <c r="U55" s="2000"/>
      <c r="V55" s="2000"/>
      <c r="W55" s="2000"/>
      <c r="X55" s="2000"/>
      <c r="Y55" s="2000"/>
      <c r="Z55" s="2000"/>
      <c r="AA55" s="2000"/>
      <c r="AB55" s="2000"/>
      <c r="AC55" s="2000"/>
      <c r="AD55" s="2000"/>
      <c r="AE55" s="2000"/>
      <c r="AF55" s="2000"/>
      <c r="AG55" s="2000"/>
      <c r="AH55" s="2000"/>
      <c r="AI55" s="2000"/>
      <c r="AJ55" s="2000"/>
      <c r="AK55" s="2000"/>
      <c r="AL55" s="2000"/>
      <c r="AM55" s="2000"/>
      <c r="AN55" s="2000"/>
      <c r="AO55" s="2000"/>
      <c r="AP55" s="2000"/>
      <c r="AQ55" s="2000"/>
      <c r="AR55" s="2000"/>
      <c r="AS55" s="2000"/>
      <c r="AT55" s="2000"/>
      <c r="AU55" s="2000"/>
      <c r="AV55" s="2000"/>
      <c r="AW55" s="2000"/>
      <c r="AX55" s="2000"/>
      <c r="AY55" s="2000"/>
      <c r="AZ55" s="2000"/>
      <c r="BA55" s="2000"/>
      <c r="BB55" s="2000"/>
      <c r="BC55" s="2000"/>
      <c r="BD55" s="2000"/>
      <c r="BE55" s="2000"/>
      <c r="BF55" s="2000"/>
      <c r="BG55" s="2000"/>
      <c r="BH55" s="2000"/>
      <c r="BI55" s="2000"/>
      <c r="BJ55" s="2000"/>
      <c r="BK55" s="2000"/>
      <c r="BL55" s="2000"/>
      <c r="BM55" s="2000"/>
      <c r="BN55" s="2000"/>
      <c r="BO55" s="2000"/>
      <c r="BP55" s="2000"/>
      <c r="BQ55" s="2000"/>
      <c r="BR55" s="2000"/>
    </row>
    <row r="56" spans="1:70" s="2012" customFormat="1" ht="11.25" customHeight="1">
      <c r="A56" s="2072" t="s">
        <v>630</v>
      </c>
      <c r="B56" s="2073">
        <f>-B59/(0.03/4)</f>
        <v>0</v>
      </c>
      <c r="C56" s="2089">
        <f>+F18</f>
        <v>875</v>
      </c>
      <c r="D56" s="2073">
        <f>+C56+D57</f>
        <v>675</v>
      </c>
      <c r="E56" s="2148">
        <f>+D56+E57</f>
        <v>475</v>
      </c>
      <c r="F56" s="2069"/>
      <c r="G56" s="2069"/>
      <c r="H56" s="2014"/>
      <c r="I56" s="2014"/>
      <c r="J56" s="2000"/>
      <c r="K56" s="2224"/>
      <c r="L56" s="2219"/>
      <c r="M56" s="2225"/>
      <c r="N56" s="2219"/>
      <c r="O56" s="2219"/>
      <c r="P56" s="2000"/>
      <c r="Q56" s="2000"/>
      <c r="R56" s="2000"/>
      <c r="S56" s="2000"/>
      <c r="T56" s="2000"/>
      <c r="U56" s="2000"/>
      <c r="V56" s="2000"/>
      <c r="W56" s="2000"/>
      <c r="X56" s="2000"/>
      <c r="Y56" s="2000"/>
      <c r="Z56" s="2000"/>
      <c r="AA56" s="2000"/>
      <c r="AB56" s="2000"/>
      <c r="AC56" s="2000"/>
      <c r="AD56" s="2000"/>
      <c r="AE56" s="2000"/>
      <c r="AF56" s="2000"/>
      <c r="AG56" s="2000"/>
      <c r="AH56" s="2000"/>
      <c r="AI56" s="2000"/>
      <c r="AJ56" s="2000"/>
      <c r="AK56" s="2000"/>
      <c r="AL56" s="2000"/>
      <c r="AM56" s="2000"/>
      <c r="AN56" s="2000"/>
      <c r="AO56" s="2000"/>
      <c r="AP56" s="2000"/>
      <c r="AQ56" s="2000"/>
      <c r="AR56" s="2000"/>
      <c r="AS56" s="2000"/>
      <c r="AT56" s="2000"/>
      <c r="AU56" s="2000"/>
      <c r="AV56" s="2000"/>
      <c r="AW56" s="2000"/>
      <c r="AX56" s="2000"/>
      <c r="AY56" s="2000"/>
      <c r="AZ56" s="2000"/>
      <c r="BA56" s="2000"/>
      <c r="BB56" s="2000"/>
      <c r="BC56" s="2000"/>
      <c r="BD56" s="2000"/>
      <c r="BE56" s="2000"/>
      <c r="BF56" s="2000"/>
      <c r="BG56" s="2000"/>
      <c r="BH56" s="2000"/>
      <c r="BI56" s="2000"/>
      <c r="BJ56" s="2000"/>
      <c r="BK56" s="2000"/>
      <c r="BL56" s="2000"/>
      <c r="BM56" s="2000"/>
      <c r="BN56" s="2000"/>
      <c r="BO56" s="2000"/>
      <c r="BP56" s="2000"/>
      <c r="BQ56" s="2000"/>
      <c r="BR56" s="2000"/>
    </row>
    <row r="57" spans="1:70" s="2012" customFormat="1" ht="11.25" customHeight="1">
      <c r="A57" s="2090" t="s">
        <v>631</v>
      </c>
      <c r="B57" s="2066"/>
      <c r="C57" s="2091">
        <v>0</v>
      </c>
      <c r="D57" s="2091">
        <v>-200</v>
      </c>
      <c r="E57" s="2156">
        <v>-200</v>
      </c>
      <c r="F57" s="2000"/>
      <c r="G57" s="2069"/>
      <c r="H57" s="2014"/>
      <c r="I57" s="2014"/>
      <c r="J57" s="2000"/>
      <c r="K57" s="2220"/>
      <c r="L57" s="2219"/>
      <c r="M57" s="2226"/>
      <c r="N57" s="2219"/>
      <c r="O57" s="2219"/>
      <c r="P57" s="2000"/>
      <c r="Q57" s="2000"/>
      <c r="R57" s="2000"/>
      <c r="S57" s="2000"/>
      <c r="T57" s="2000"/>
      <c r="U57" s="2000"/>
      <c r="V57" s="2000"/>
      <c r="W57" s="2000"/>
      <c r="X57" s="2000"/>
      <c r="Y57" s="2000"/>
      <c r="Z57" s="2000"/>
      <c r="AA57" s="2000"/>
      <c r="AB57" s="2000"/>
      <c r="AC57" s="2000"/>
      <c r="AD57" s="2000"/>
      <c r="AE57" s="2000"/>
      <c r="AF57" s="2000"/>
      <c r="AG57" s="2000"/>
      <c r="AH57" s="2000"/>
      <c r="AI57" s="2000"/>
      <c r="AJ57" s="2000"/>
      <c r="AK57" s="2000"/>
      <c r="AL57" s="2000"/>
      <c r="AM57" s="2000"/>
      <c r="AN57" s="2000"/>
      <c r="AO57" s="2000"/>
      <c r="AP57" s="2000"/>
      <c r="AQ57" s="2000"/>
      <c r="AR57" s="2000"/>
      <c r="AS57" s="2000"/>
      <c r="AT57" s="2000"/>
      <c r="AU57" s="2000"/>
      <c r="AV57" s="2000"/>
      <c r="AW57" s="2000"/>
      <c r="AX57" s="2000"/>
      <c r="AY57" s="2000"/>
      <c r="AZ57" s="2000"/>
      <c r="BA57" s="2000"/>
      <c r="BB57" s="2000"/>
      <c r="BC57" s="2000"/>
      <c r="BD57" s="2000"/>
      <c r="BE57" s="2000"/>
      <c r="BF57" s="2000"/>
      <c r="BG57" s="2000"/>
      <c r="BH57" s="2000"/>
      <c r="BI57" s="2000"/>
      <c r="BJ57" s="2000"/>
      <c r="BK57" s="2000"/>
      <c r="BL57" s="2000"/>
      <c r="BM57" s="2000"/>
      <c r="BN57" s="2000"/>
      <c r="BO57" s="2000"/>
      <c r="BP57" s="2000"/>
      <c r="BQ57" s="2000"/>
      <c r="BR57" s="2000"/>
    </row>
    <row r="58" spans="1:70" s="2012" customFormat="1" ht="11.25" customHeight="1">
      <c r="A58" s="2078"/>
      <c r="B58" s="2066"/>
      <c r="C58" s="2066"/>
      <c r="D58" s="2066"/>
      <c r="E58" s="2147"/>
      <c r="F58" s="2069"/>
      <c r="G58" s="2069"/>
      <c r="H58" s="2014"/>
      <c r="I58" s="2014"/>
      <c r="J58" s="2000"/>
      <c r="K58" s="2220"/>
      <c r="L58" s="2219"/>
      <c r="M58" s="2221"/>
      <c r="N58" s="2219"/>
      <c r="O58" s="2219"/>
      <c r="P58" s="2000"/>
      <c r="Q58" s="2000"/>
      <c r="R58" s="2000"/>
      <c r="S58" s="2000"/>
      <c r="T58" s="2000"/>
      <c r="U58" s="2000"/>
      <c r="V58" s="2000"/>
      <c r="W58" s="2000"/>
      <c r="X58" s="2000"/>
      <c r="Y58" s="2000"/>
      <c r="Z58" s="2000"/>
      <c r="AA58" s="2000"/>
      <c r="AB58" s="2000"/>
      <c r="AC58" s="2000"/>
      <c r="AD58" s="2000"/>
      <c r="AE58" s="2000"/>
      <c r="AF58" s="2000"/>
      <c r="AG58" s="2000"/>
      <c r="AH58" s="2000"/>
      <c r="AI58" s="2000"/>
      <c r="AJ58" s="2000"/>
      <c r="AK58" s="2000"/>
      <c r="AL58" s="2000"/>
      <c r="AM58" s="2000"/>
      <c r="AN58" s="2000"/>
      <c r="AO58" s="2000"/>
      <c r="AP58" s="2000"/>
      <c r="AQ58" s="2000"/>
      <c r="AR58" s="2000"/>
      <c r="AS58" s="2000"/>
      <c r="AT58" s="2000"/>
      <c r="AU58" s="2000"/>
      <c r="AV58" s="2000"/>
      <c r="AW58" s="2000"/>
      <c r="AX58" s="2000"/>
      <c r="AY58" s="2000"/>
      <c r="AZ58" s="2000"/>
      <c r="BA58" s="2000"/>
      <c r="BB58" s="2000"/>
      <c r="BC58" s="2000"/>
      <c r="BD58" s="2000"/>
      <c r="BE58" s="2000"/>
      <c r="BF58" s="2000"/>
      <c r="BG58" s="2000"/>
      <c r="BH58" s="2000"/>
      <c r="BI58" s="2000"/>
      <c r="BJ58" s="2000"/>
      <c r="BK58" s="2000"/>
      <c r="BL58" s="2000"/>
      <c r="BM58" s="2000"/>
      <c r="BN58" s="2000"/>
      <c r="BO58" s="2000"/>
      <c r="BP58" s="2000"/>
      <c r="BQ58" s="2000"/>
      <c r="BR58" s="2000"/>
    </row>
    <row r="59" spans="1:70" s="2012" customFormat="1" ht="11.25" customHeight="1">
      <c r="A59" s="2072" t="s">
        <v>632</v>
      </c>
      <c r="B59" s="2087">
        <v>0</v>
      </c>
      <c r="C59" s="2083">
        <f>(-C60*C56)</f>
        <v>-19.6875</v>
      </c>
      <c r="D59" s="2083">
        <f>(-D60*D56)</f>
        <v>-15.1875</v>
      </c>
      <c r="E59" s="2154">
        <f>(-E60*E56)</f>
        <v>-10.6875</v>
      </c>
      <c r="F59" s="2068"/>
      <c r="G59" s="2069"/>
      <c r="H59" s="2014"/>
      <c r="I59" s="2014"/>
      <c r="J59" s="2000"/>
      <c r="K59" s="2220"/>
      <c r="L59" s="2219"/>
      <c r="M59" s="2219"/>
      <c r="N59" s="2219"/>
      <c r="O59" s="2219"/>
      <c r="P59" s="2000"/>
      <c r="Q59" s="2000"/>
      <c r="R59" s="2000"/>
      <c r="S59" s="2000"/>
      <c r="T59" s="2000"/>
      <c r="U59" s="2000"/>
      <c r="V59" s="2000"/>
      <c r="W59" s="2000"/>
      <c r="X59" s="2000"/>
      <c r="Y59" s="2000"/>
      <c r="Z59" s="2000"/>
      <c r="AA59" s="2000"/>
      <c r="AB59" s="2000"/>
      <c r="AC59" s="2000"/>
      <c r="AD59" s="2000"/>
      <c r="AE59" s="2000"/>
      <c r="AF59" s="2000"/>
      <c r="AG59" s="2000"/>
      <c r="AH59" s="2000"/>
      <c r="AI59" s="2000"/>
      <c r="AJ59" s="2000"/>
      <c r="AK59" s="2000"/>
      <c r="AL59" s="2000"/>
      <c r="AM59" s="2000"/>
      <c r="AN59" s="2000"/>
      <c r="AO59" s="2000"/>
      <c r="AP59" s="2000"/>
      <c r="AQ59" s="2000"/>
      <c r="AR59" s="2000"/>
      <c r="AS59" s="2000"/>
      <c r="AT59" s="2000"/>
      <c r="AU59" s="2000"/>
      <c r="AV59" s="2000"/>
      <c r="AW59" s="2000"/>
      <c r="AX59" s="2000"/>
      <c r="AY59" s="2000"/>
      <c r="AZ59" s="2000"/>
      <c r="BA59" s="2000"/>
      <c r="BB59" s="2000"/>
      <c r="BC59" s="2000"/>
      <c r="BD59" s="2000"/>
      <c r="BE59" s="2000"/>
      <c r="BF59" s="2000"/>
      <c r="BG59" s="2000"/>
      <c r="BH59" s="2000"/>
      <c r="BI59" s="2000"/>
      <c r="BJ59" s="2000"/>
      <c r="BK59" s="2000"/>
      <c r="BL59" s="2000"/>
      <c r="BM59" s="2000"/>
      <c r="BN59" s="2000"/>
      <c r="BO59" s="2000"/>
      <c r="BP59" s="2000"/>
      <c r="BQ59" s="2000"/>
      <c r="BR59" s="2000"/>
    </row>
    <row r="60" spans="1:70" s="2012" customFormat="1" ht="11.25" customHeight="1">
      <c r="A60" s="2070" t="s">
        <v>633</v>
      </c>
      <c r="B60" s="2092">
        <f>+C60</f>
        <v>2.2499999999999999E-2</v>
      </c>
      <c r="C60" s="2093">
        <v>2.2499999999999999E-2</v>
      </c>
      <c r="D60" s="2092">
        <f>C60</f>
        <v>2.2499999999999999E-2</v>
      </c>
      <c r="E60" s="2157">
        <f>D60</f>
        <v>2.2499999999999999E-2</v>
      </c>
      <c r="F60" s="2016"/>
      <c r="G60" s="2069"/>
      <c r="H60" s="2014"/>
      <c r="I60" s="2014"/>
      <c r="J60" s="2000"/>
      <c r="K60" s="2220"/>
      <c r="L60" s="2219"/>
      <c r="M60" s="2221"/>
      <c r="N60" s="2219"/>
      <c r="O60" s="2219"/>
      <c r="P60" s="2000"/>
      <c r="Q60" s="2000"/>
      <c r="R60" s="2000"/>
      <c r="S60" s="2000"/>
      <c r="T60" s="2000"/>
      <c r="U60" s="2000"/>
      <c r="V60" s="2000"/>
      <c r="W60" s="2000"/>
      <c r="X60" s="2000"/>
      <c r="Y60" s="2000"/>
      <c r="Z60" s="2000"/>
      <c r="AA60" s="2000"/>
      <c r="AB60" s="2000"/>
      <c r="AC60" s="2000"/>
      <c r="AD60" s="2000"/>
      <c r="AE60" s="2000"/>
      <c r="AF60" s="2000"/>
      <c r="AG60" s="2000"/>
      <c r="AH60" s="2000"/>
      <c r="AI60" s="2000"/>
      <c r="AJ60" s="2000"/>
      <c r="AK60" s="2000"/>
      <c r="AL60" s="2000"/>
      <c r="AM60" s="2000"/>
      <c r="AN60" s="2000"/>
      <c r="AO60" s="2000"/>
      <c r="AP60" s="2000"/>
      <c r="AQ60" s="2000"/>
      <c r="AR60" s="2000"/>
      <c r="AS60" s="2000"/>
      <c r="AT60" s="2000"/>
      <c r="AU60" s="2000"/>
      <c r="AV60" s="2000"/>
      <c r="AW60" s="2000"/>
      <c r="AX60" s="2000"/>
      <c r="AY60" s="2000"/>
      <c r="AZ60" s="2000"/>
      <c r="BA60" s="2000"/>
      <c r="BB60" s="2000"/>
      <c r="BC60" s="2000"/>
      <c r="BD60" s="2000"/>
      <c r="BE60" s="2000"/>
      <c r="BF60" s="2000"/>
      <c r="BG60" s="2000"/>
      <c r="BH60" s="2000"/>
      <c r="BI60" s="2000"/>
      <c r="BJ60" s="2000"/>
      <c r="BK60" s="2000"/>
      <c r="BL60" s="2000"/>
      <c r="BM60" s="2000"/>
      <c r="BN60" s="2000"/>
      <c r="BO60" s="2000"/>
      <c r="BP60" s="2000"/>
      <c r="BQ60" s="2000"/>
      <c r="BR60" s="2000"/>
    </row>
    <row r="61" spans="1:70" s="2012" customFormat="1" ht="11.25" customHeight="1">
      <c r="A61" s="2070"/>
      <c r="B61" s="2092"/>
      <c r="C61" s="2093"/>
      <c r="D61" s="2092"/>
      <c r="E61" s="2157"/>
      <c r="F61" s="2000"/>
      <c r="G61" s="2069"/>
      <c r="H61" s="2014"/>
      <c r="I61" s="2014"/>
      <c r="J61" s="2000"/>
      <c r="K61" s="2219"/>
      <c r="L61" s="2219"/>
      <c r="M61" s="2219"/>
      <c r="N61" s="2219"/>
      <c r="O61" s="2219"/>
      <c r="P61" s="2000"/>
      <c r="Q61" s="2000"/>
      <c r="R61" s="2000"/>
      <c r="S61" s="2000"/>
      <c r="T61" s="2000"/>
      <c r="U61" s="2000"/>
      <c r="V61" s="2000"/>
      <c r="W61" s="2000"/>
      <c r="X61" s="2000"/>
      <c r="Y61" s="2000"/>
      <c r="Z61" s="2000"/>
      <c r="AA61" s="2000"/>
      <c r="AB61" s="2000"/>
      <c r="AC61" s="2000"/>
      <c r="AD61" s="2000"/>
      <c r="AE61" s="2000"/>
      <c r="AF61" s="2000"/>
      <c r="AG61" s="2000"/>
      <c r="AH61" s="2000"/>
      <c r="AI61" s="2000"/>
      <c r="AJ61" s="2000"/>
      <c r="AK61" s="2000"/>
      <c r="AL61" s="2000"/>
      <c r="AM61" s="2000"/>
      <c r="AN61" s="2000"/>
      <c r="AO61" s="2000"/>
      <c r="AP61" s="2000"/>
      <c r="AQ61" s="2000"/>
      <c r="AR61" s="2000"/>
      <c r="AS61" s="2000"/>
      <c r="AT61" s="2000"/>
      <c r="AU61" s="2000"/>
      <c r="AV61" s="2000"/>
      <c r="AW61" s="2000"/>
      <c r="AX61" s="2000"/>
      <c r="AY61" s="2000"/>
      <c r="AZ61" s="2000"/>
      <c r="BA61" s="2000"/>
      <c r="BB61" s="2000"/>
      <c r="BC61" s="2000"/>
      <c r="BD61" s="2000"/>
      <c r="BE61" s="2000"/>
      <c r="BF61" s="2000"/>
      <c r="BG61" s="2000"/>
      <c r="BH61" s="2000"/>
      <c r="BI61" s="2000"/>
      <c r="BJ61" s="2000"/>
      <c r="BK61" s="2000"/>
      <c r="BL61" s="2000"/>
      <c r="BM61" s="2000"/>
      <c r="BN61" s="2000"/>
      <c r="BO61" s="2000"/>
      <c r="BP61" s="2000"/>
      <c r="BQ61" s="2000"/>
      <c r="BR61" s="2000"/>
    </row>
    <row r="62" spans="1:70" s="2012" customFormat="1" ht="11.25" customHeight="1">
      <c r="A62" s="2072" t="s">
        <v>634</v>
      </c>
      <c r="B62" s="2073">
        <f>B53+B59</f>
        <v>35</v>
      </c>
      <c r="C62" s="2073">
        <f>C53+C59</f>
        <v>31.068899999999999</v>
      </c>
      <c r="D62" s="2073">
        <f>D53+D59</f>
        <v>51.216480799999999</v>
      </c>
      <c r="E62" s="2148">
        <f>E53+E59</f>
        <v>75.276029958400017</v>
      </c>
      <c r="F62" s="2073"/>
      <c r="G62" s="2073"/>
      <c r="H62" s="2073"/>
      <c r="I62" s="2073"/>
      <c r="J62" s="2000"/>
      <c r="K62" s="2219"/>
      <c r="L62" s="2219"/>
      <c r="M62" s="2219"/>
      <c r="N62" s="2219"/>
      <c r="O62" s="2219"/>
      <c r="P62" s="2000"/>
      <c r="Q62" s="2000"/>
      <c r="R62" s="2000"/>
      <c r="S62" s="2000"/>
      <c r="T62" s="2000"/>
      <c r="U62" s="2000"/>
      <c r="V62" s="2000"/>
      <c r="W62" s="2000"/>
      <c r="X62" s="2000"/>
      <c r="Y62" s="2000"/>
      <c r="Z62" s="2000"/>
      <c r="AA62" s="2000"/>
      <c r="AB62" s="2000"/>
      <c r="AC62" s="2000"/>
      <c r="AD62" s="2000"/>
      <c r="AE62" s="2000"/>
      <c r="AF62" s="2000"/>
      <c r="AG62" s="2000"/>
      <c r="AH62" s="2000"/>
      <c r="AI62" s="2000"/>
      <c r="AJ62" s="2000"/>
      <c r="AK62" s="2000"/>
      <c r="AL62" s="2000"/>
      <c r="AM62" s="2000"/>
      <c r="AN62" s="2000"/>
      <c r="AO62" s="2000"/>
      <c r="AP62" s="2000"/>
      <c r="AQ62" s="2000"/>
      <c r="AR62" s="2000"/>
      <c r="AS62" s="2000"/>
      <c r="AT62" s="2000"/>
      <c r="AU62" s="2000"/>
      <c r="AV62" s="2000"/>
      <c r="AW62" s="2000"/>
      <c r="AX62" s="2000"/>
      <c r="AY62" s="2000"/>
      <c r="AZ62" s="2000"/>
      <c r="BA62" s="2000"/>
      <c r="BB62" s="2000"/>
      <c r="BC62" s="2000"/>
      <c r="BD62" s="2000"/>
      <c r="BE62" s="2000"/>
      <c r="BF62" s="2000"/>
      <c r="BG62" s="2000"/>
      <c r="BH62" s="2000"/>
      <c r="BI62" s="2000"/>
      <c r="BJ62" s="2000"/>
      <c r="BK62" s="2000"/>
      <c r="BL62" s="2000"/>
      <c r="BM62" s="2000"/>
      <c r="BN62" s="2000"/>
      <c r="BO62" s="2000"/>
      <c r="BP62" s="2000"/>
      <c r="BQ62" s="2000"/>
      <c r="BR62" s="2000"/>
    </row>
    <row r="63" spans="1:70" s="2012" customFormat="1" ht="11.25" customHeight="1">
      <c r="A63" s="2070" t="s">
        <v>635</v>
      </c>
      <c r="B63" s="2140">
        <v>110.85899999999999</v>
      </c>
      <c r="C63" s="2140">
        <v>111.0665635748082</v>
      </c>
      <c r="D63" s="2140">
        <v>110.54223900391328</v>
      </c>
      <c r="E63" s="2248">
        <v>109.98019824242809</v>
      </c>
      <c r="F63" s="2216"/>
      <c r="G63" s="2094"/>
      <c r="H63" s="2094"/>
      <c r="I63" s="2094"/>
      <c r="J63" s="2000"/>
      <c r="K63" s="2219"/>
      <c r="L63" s="2219"/>
      <c r="M63" s="2219"/>
      <c r="N63" s="2219"/>
      <c r="O63" s="2219"/>
      <c r="P63" s="2000"/>
      <c r="Q63" s="2000"/>
      <c r="R63" s="2000"/>
      <c r="S63" s="2000"/>
      <c r="T63" s="2000"/>
      <c r="U63" s="2000"/>
      <c r="V63" s="2000"/>
      <c r="W63" s="2000"/>
      <c r="X63" s="2000"/>
      <c r="Y63" s="2000"/>
      <c r="Z63" s="2000"/>
      <c r="AA63" s="2000"/>
      <c r="AB63" s="2000"/>
      <c r="AC63" s="2000"/>
      <c r="AD63" s="2000"/>
      <c r="AE63" s="2000"/>
      <c r="AF63" s="2000"/>
      <c r="AG63" s="2000"/>
      <c r="AH63" s="2000"/>
      <c r="AI63" s="2000"/>
      <c r="AJ63" s="2000"/>
      <c r="AK63" s="2000"/>
      <c r="AL63" s="2000"/>
      <c r="AM63" s="2000"/>
      <c r="AN63" s="2000"/>
      <c r="AO63" s="2000"/>
      <c r="AP63" s="2000"/>
      <c r="AQ63" s="2000"/>
      <c r="AR63" s="2000"/>
      <c r="AS63" s="2000"/>
      <c r="AT63" s="2000"/>
      <c r="AU63" s="2000"/>
      <c r="AV63" s="2000"/>
      <c r="AW63" s="2000"/>
      <c r="AX63" s="2000"/>
      <c r="AY63" s="2000"/>
      <c r="AZ63" s="2000"/>
      <c r="BA63" s="2000"/>
      <c r="BB63" s="2000"/>
      <c r="BC63" s="2000"/>
      <c r="BD63" s="2000"/>
      <c r="BE63" s="2000"/>
      <c r="BF63" s="2000"/>
      <c r="BG63" s="2000"/>
      <c r="BH63" s="2000"/>
      <c r="BI63" s="2000"/>
      <c r="BJ63" s="2000"/>
      <c r="BK63" s="2000"/>
      <c r="BL63" s="2000"/>
      <c r="BM63" s="2000"/>
      <c r="BN63" s="2000"/>
      <c r="BO63" s="2000"/>
      <c r="BP63" s="2000"/>
      <c r="BQ63" s="2000"/>
      <c r="BR63" s="2000"/>
    </row>
    <row r="64" spans="1:70" s="2012" customFormat="1" ht="11.25" customHeight="1">
      <c r="A64" s="2158" t="s">
        <v>636</v>
      </c>
      <c r="B64" s="2167">
        <v>0</v>
      </c>
      <c r="C64" s="2159">
        <f>C62/C63</f>
        <v>0.2797322524440376</v>
      </c>
      <c r="D64" s="2159">
        <f>D62/D63</f>
        <v>0.46332045796708438</v>
      </c>
      <c r="E64" s="2160">
        <f>E62/E63</f>
        <v>0.68445075714875447</v>
      </c>
      <c r="F64" s="2096"/>
      <c r="G64" s="2095"/>
      <c r="H64" s="2095"/>
      <c r="I64" s="2095"/>
      <c r="J64" s="2000"/>
      <c r="K64" s="2219"/>
      <c r="L64" s="2219"/>
      <c r="M64" s="2219"/>
      <c r="N64" s="2219"/>
      <c r="O64" s="2219"/>
      <c r="P64" s="2000"/>
      <c r="Q64" s="2000"/>
      <c r="R64" s="2000"/>
      <c r="S64" s="2000"/>
      <c r="T64" s="2000"/>
      <c r="U64" s="2000"/>
      <c r="V64" s="2000"/>
      <c r="W64" s="2000"/>
      <c r="X64" s="2000"/>
      <c r="Y64" s="2000"/>
      <c r="Z64" s="2000"/>
      <c r="AA64" s="2000"/>
      <c r="AB64" s="2000"/>
      <c r="AC64" s="2000"/>
      <c r="AD64" s="2000"/>
      <c r="AE64" s="2000"/>
      <c r="AF64" s="2000"/>
      <c r="AG64" s="2000"/>
      <c r="AH64" s="2000"/>
      <c r="AI64" s="2000"/>
      <c r="AJ64" s="2000"/>
      <c r="AK64" s="2000"/>
      <c r="AL64" s="2000"/>
      <c r="AM64" s="2000"/>
      <c r="AN64" s="2000"/>
      <c r="AO64" s="2000"/>
      <c r="AP64" s="2000"/>
      <c r="AQ64" s="2000"/>
      <c r="AR64" s="2000"/>
      <c r="AS64" s="2000"/>
      <c r="AT64" s="2000"/>
      <c r="AU64" s="2000"/>
      <c r="AV64" s="2000"/>
      <c r="AW64" s="2000"/>
      <c r="AX64" s="2000"/>
      <c r="AY64" s="2000"/>
      <c r="AZ64" s="2000"/>
      <c r="BA64" s="2000"/>
      <c r="BB64" s="2000"/>
      <c r="BC64" s="2000"/>
      <c r="BD64" s="2000"/>
      <c r="BE64" s="2000"/>
      <c r="BF64" s="2000"/>
      <c r="BG64" s="2000"/>
      <c r="BH64" s="2000"/>
      <c r="BI64" s="2000"/>
      <c r="BJ64" s="2000"/>
      <c r="BK64" s="2000"/>
      <c r="BL64" s="2000"/>
      <c r="BM64" s="2000"/>
      <c r="BN64" s="2000"/>
      <c r="BO64" s="2000"/>
      <c r="BP64" s="2000"/>
      <c r="BQ64" s="2000"/>
      <c r="BR64" s="2000"/>
    </row>
    <row r="65" spans="1:70" s="2012" customFormat="1" ht="11.25" hidden="1" customHeight="1" outlineLevel="1">
      <c r="A65" s="2070"/>
      <c r="B65" s="2075"/>
      <c r="C65" s="2075"/>
      <c r="D65" s="2075"/>
      <c r="E65" s="2075"/>
      <c r="F65" s="2068"/>
      <c r="G65" s="2069"/>
      <c r="H65" s="2014"/>
      <c r="I65" s="2014"/>
      <c r="J65" s="2000"/>
      <c r="K65" s="2000"/>
      <c r="L65" s="2000"/>
      <c r="M65" s="2000"/>
      <c r="N65" s="2000"/>
      <c r="O65" s="2000"/>
      <c r="P65" s="2000"/>
      <c r="Q65" s="2000"/>
      <c r="R65" s="2000"/>
      <c r="S65" s="2000"/>
      <c r="T65" s="2000"/>
      <c r="U65" s="2000"/>
      <c r="V65" s="2000"/>
      <c r="W65" s="2000"/>
      <c r="X65" s="2000"/>
      <c r="Y65" s="2000"/>
      <c r="Z65" s="2000"/>
      <c r="AA65" s="2000"/>
      <c r="AB65" s="2000"/>
      <c r="AC65" s="2000"/>
      <c r="AD65" s="2000"/>
      <c r="AE65" s="2000"/>
      <c r="AF65" s="2000"/>
      <c r="AG65" s="2000"/>
      <c r="AH65" s="2000"/>
      <c r="AI65" s="2000"/>
      <c r="AJ65" s="2000"/>
      <c r="AK65" s="2000"/>
      <c r="AL65" s="2000"/>
      <c r="AM65" s="2000"/>
      <c r="AN65" s="2000"/>
      <c r="AO65" s="2000"/>
      <c r="AP65" s="2000"/>
      <c r="AQ65" s="2000"/>
      <c r="AR65" s="2000"/>
      <c r="AS65" s="2000"/>
      <c r="AT65" s="2000"/>
      <c r="AU65" s="2000"/>
      <c r="AV65" s="2000"/>
      <c r="AW65" s="2000"/>
      <c r="AX65" s="2000"/>
      <c r="AY65" s="2000"/>
      <c r="AZ65" s="2000"/>
      <c r="BA65" s="2000"/>
      <c r="BB65" s="2000"/>
      <c r="BC65" s="2000"/>
      <c r="BD65" s="2000"/>
      <c r="BE65" s="2000"/>
      <c r="BF65" s="2000"/>
      <c r="BG65" s="2000"/>
      <c r="BH65" s="2000"/>
      <c r="BI65" s="2000"/>
      <c r="BJ65" s="2000"/>
      <c r="BK65" s="2000"/>
      <c r="BL65" s="2000"/>
      <c r="BM65" s="2000"/>
      <c r="BN65" s="2000"/>
      <c r="BO65" s="2000"/>
      <c r="BP65" s="2000"/>
      <c r="BQ65" s="2000"/>
      <c r="BR65" s="2000"/>
    </row>
    <row r="66" spans="1:70" s="2012" customFormat="1" ht="11.25" hidden="1" customHeight="1" outlineLevel="1">
      <c r="A66" s="2137" t="s">
        <v>637</v>
      </c>
      <c r="B66" s="2088">
        <v>0</v>
      </c>
      <c r="C66" s="2088">
        <v>0</v>
      </c>
      <c r="D66" s="2088">
        <v>0</v>
      </c>
      <c r="E66" s="2088">
        <v>0</v>
      </c>
      <c r="F66" s="2068"/>
      <c r="G66" s="2069"/>
      <c r="H66" s="2014"/>
      <c r="I66" s="2014"/>
      <c r="J66" s="2000"/>
      <c r="K66" s="2000"/>
      <c r="L66" s="2000"/>
      <c r="M66" s="2000"/>
      <c r="N66" s="2000"/>
      <c r="O66" s="2000"/>
      <c r="P66" s="2000"/>
      <c r="Q66" s="2000"/>
      <c r="R66" s="2000"/>
      <c r="S66" s="2000"/>
      <c r="T66" s="2000"/>
      <c r="U66" s="2000"/>
      <c r="V66" s="2000"/>
      <c r="W66" s="2000"/>
      <c r="X66" s="2000"/>
      <c r="Y66" s="2000"/>
      <c r="Z66" s="2000"/>
      <c r="AA66" s="2000"/>
      <c r="AB66" s="2000"/>
      <c r="AC66" s="2000"/>
      <c r="AD66" s="2000"/>
      <c r="AE66" s="2000"/>
      <c r="AF66" s="2000"/>
      <c r="AG66" s="2000"/>
      <c r="AH66" s="2000"/>
      <c r="AI66" s="2000"/>
      <c r="AJ66" s="2000"/>
      <c r="AK66" s="2000"/>
      <c r="AL66" s="2000"/>
      <c r="AM66" s="2000"/>
      <c r="AN66" s="2000"/>
      <c r="AO66" s="2000"/>
      <c r="AP66" s="2000"/>
      <c r="AQ66" s="2000"/>
      <c r="AR66" s="2000"/>
      <c r="AS66" s="2000"/>
      <c r="AT66" s="2000"/>
      <c r="AU66" s="2000"/>
      <c r="AV66" s="2000"/>
      <c r="AW66" s="2000"/>
      <c r="AX66" s="2000"/>
      <c r="AY66" s="2000"/>
      <c r="AZ66" s="2000"/>
      <c r="BA66" s="2000"/>
      <c r="BB66" s="2000"/>
      <c r="BC66" s="2000"/>
      <c r="BD66" s="2000"/>
      <c r="BE66" s="2000"/>
      <c r="BF66" s="2000"/>
      <c r="BG66" s="2000"/>
      <c r="BH66" s="2000"/>
      <c r="BI66" s="2000"/>
      <c r="BJ66" s="2000"/>
      <c r="BK66" s="2000"/>
      <c r="BL66" s="2000"/>
      <c r="BM66" s="2000"/>
      <c r="BN66" s="2000"/>
      <c r="BO66" s="2000"/>
      <c r="BP66" s="2000"/>
      <c r="BQ66" s="2000"/>
      <c r="BR66" s="2000"/>
    </row>
    <row r="67" spans="1:70" s="2012" customFormat="1" ht="11.25" hidden="1" customHeight="1" outlineLevel="1">
      <c r="A67" s="2065" t="s">
        <v>625</v>
      </c>
      <c r="B67" s="2086">
        <f>-B66/B$26</f>
        <v>0</v>
      </c>
      <c r="C67" s="2086">
        <f>-C66/C$26</f>
        <v>0</v>
      </c>
      <c r="D67" s="2086">
        <f>-D66/D$26</f>
        <v>0</v>
      </c>
      <c r="E67" s="2086">
        <f>-E66/E$26</f>
        <v>0</v>
      </c>
      <c r="F67" s="2068"/>
      <c r="G67" s="2069"/>
      <c r="H67" s="2014"/>
      <c r="I67" s="2014"/>
      <c r="J67" s="2000"/>
      <c r="K67" s="2000"/>
      <c r="L67" s="2000"/>
      <c r="M67" s="2000"/>
      <c r="N67" s="2000"/>
      <c r="O67" s="2000"/>
      <c r="P67" s="2000"/>
      <c r="Q67" s="2000"/>
      <c r="R67" s="2000"/>
      <c r="S67" s="2000"/>
      <c r="T67" s="2000"/>
      <c r="U67" s="2000"/>
      <c r="V67" s="2000"/>
      <c r="W67" s="2000"/>
      <c r="X67" s="2000"/>
      <c r="Y67" s="2000"/>
      <c r="Z67" s="2000"/>
      <c r="AA67" s="2000"/>
      <c r="AB67" s="2000"/>
      <c r="AC67" s="2000"/>
      <c r="AD67" s="2000"/>
      <c r="AE67" s="2000"/>
      <c r="AF67" s="2000"/>
      <c r="AG67" s="2000"/>
      <c r="AH67" s="2000"/>
      <c r="AI67" s="2000"/>
      <c r="AJ67" s="2000"/>
      <c r="AK67" s="2000"/>
      <c r="AL67" s="2000"/>
      <c r="AM67" s="2000"/>
      <c r="AN67" s="2000"/>
      <c r="AO67" s="2000"/>
      <c r="AP67" s="2000"/>
      <c r="AQ67" s="2000"/>
      <c r="AR67" s="2000"/>
      <c r="AS67" s="2000"/>
      <c r="AT67" s="2000"/>
      <c r="AU67" s="2000"/>
      <c r="AV67" s="2000"/>
      <c r="AW67" s="2000"/>
      <c r="AX67" s="2000"/>
      <c r="AY67" s="2000"/>
      <c r="AZ67" s="2000"/>
      <c r="BA67" s="2000"/>
      <c r="BB67" s="2000"/>
      <c r="BC67" s="2000"/>
      <c r="BD67" s="2000"/>
      <c r="BE67" s="2000"/>
      <c r="BF67" s="2000"/>
      <c r="BG67" s="2000"/>
      <c r="BH67" s="2000"/>
      <c r="BI67" s="2000"/>
      <c r="BJ67" s="2000"/>
      <c r="BK67" s="2000"/>
      <c r="BL67" s="2000"/>
      <c r="BM67" s="2000"/>
      <c r="BN67" s="2000"/>
      <c r="BO67" s="2000"/>
      <c r="BP67" s="2000"/>
      <c r="BQ67" s="2000"/>
      <c r="BR67" s="2000"/>
    </row>
    <row r="68" spans="1:70" s="2012" customFormat="1" ht="11.25" customHeight="1" collapsed="1" thickBot="1">
      <c r="A68" s="2097"/>
      <c r="B68" s="2083"/>
      <c r="C68" s="2083"/>
      <c r="D68" s="2083"/>
      <c r="E68" s="2083"/>
      <c r="F68" s="2068"/>
      <c r="G68" s="2069"/>
      <c r="H68" s="2014"/>
      <c r="I68" s="2014"/>
      <c r="J68" s="2000"/>
      <c r="K68" s="2000"/>
      <c r="L68" s="2000"/>
      <c r="M68" s="2000"/>
      <c r="N68" s="2000"/>
      <c r="O68" s="2000"/>
      <c r="P68" s="2000"/>
      <c r="Q68" s="2000"/>
      <c r="R68" s="2000"/>
      <c r="S68" s="2000"/>
      <c r="T68" s="2000"/>
      <c r="U68" s="2000"/>
      <c r="V68" s="2000"/>
      <c r="W68" s="2000"/>
      <c r="X68" s="2000"/>
      <c r="Y68" s="2000"/>
      <c r="Z68" s="2000"/>
      <c r="AA68" s="2000"/>
      <c r="AB68" s="2000"/>
      <c r="AC68" s="2000"/>
      <c r="AD68" s="2000"/>
      <c r="AE68" s="2000"/>
      <c r="AF68" s="2000"/>
      <c r="AG68" s="2000"/>
      <c r="AH68" s="2000"/>
      <c r="AI68" s="2000"/>
      <c r="AJ68" s="2000"/>
      <c r="AK68" s="2000"/>
      <c r="AL68" s="2000"/>
      <c r="AM68" s="2000"/>
      <c r="AN68" s="2000"/>
      <c r="AO68" s="2000"/>
      <c r="AP68" s="2000"/>
      <c r="AQ68" s="2000"/>
      <c r="AR68" s="2000"/>
      <c r="AS68" s="2000"/>
      <c r="AT68" s="2000"/>
      <c r="AU68" s="2000"/>
      <c r="AV68" s="2000"/>
      <c r="AW68" s="2000"/>
      <c r="AX68" s="2000"/>
      <c r="AY68" s="2000"/>
      <c r="AZ68" s="2000"/>
      <c r="BA68" s="2000"/>
      <c r="BB68" s="2000"/>
      <c r="BC68" s="2000"/>
      <c r="BD68" s="2000"/>
      <c r="BE68" s="2000"/>
      <c r="BF68" s="2000"/>
      <c r="BG68" s="2000"/>
      <c r="BH68" s="2000"/>
      <c r="BI68" s="2000"/>
      <c r="BJ68" s="2000"/>
      <c r="BK68" s="2000"/>
      <c r="BL68" s="2000"/>
      <c r="BM68" s="2000"/>
      <c r="BN68" s="2000"/>
      <c r="BO68" s="2000"/>
      <c r="BP68" s="2000"/>
      <c r="BQ68" s="2000"/>
      <c r="BR68" s="2000"/>
    </row>
    <row r="69" spans="1:70" s="2012" customFormat="1" ht="11.25" customHeight="1" thickTop="1">
      <c r="A69" s="2098" t="s">
        <v>638</v>
      </c>
      <c r="B69" s="2099">
        <f>+B62</f>
        <v>35</v>
      </c>
      <c r="C69" s="2099">
        <f>+C62-C66</f>
        <v>31.068899999999999</v>
      </c>
      <c r="D69" s="2099">
        <f>+D62-D66</f>
        <v>51.216480799999999</v>
      </c>
      <c r="E69" s="2161">
        <f>+E62-E66</f>
        <v>75.276029958400017</v>
      </c>
      <c r="F69" s="2099"/>
      <c r="G69" s="2099"/>
      <c r="H69" s="2099"/>
      <c r="I69" s="2099"/>
      <c r="J69" s="2000"/>
      <c r="K69" s="2000"/>
      <c r="L69" s="2000"/>
      <c r="M69" s="2000"/>
      <c r="N69" s="2000"/>
      <c r="O69" s="2000"/>
      <c r="P69" s="2000"/>
      <c r="Q69" s="2000"/>
      <c r="R69" s="2000"/>
      <c r="S69" s="2000"/>
      <c r="T69" s="2000"/>
      <c r="U69" s="2000"/>
      <c r="V69" s="2000"/>
      <c r="W69" s="2000"/>
      <c r="X69" s="2000"/>
      <c r="Y69" s="2000"/>
      <c r="Z69" s="2000"/>
      <c r="AA69" s="2000"/>
      <c r="AB69" s="2000"/>
      <c r="AC69" s="2000"/>
      <c r="AD69" s="2000"/>
      <c r="AE69" s="2000"/>
      <c r="AF69" s="2000"/>
      <c r="AG69" s="2000"/>
      <c r="AH69" s="2000"/>
      <c r="AI69" s="2000"/>
      <c r="AJ69" s="2000"/>
      <c r="AK69" s="2000"/>
      <c r="AL69" s="2000"/>
      <c r="AM69" s="2000"/>
      <c r="AN69" s="2000"/>
      <c r="AO69" s="2000"/>
      <c r="AP69" s="2000"/>
      <c r="AQ69" s="2000"/>
      <c r="AR69" s="2000"/>
      <c r="AS69" s="2000"/>
      <c r="AT69" s="2000"/>
      <c r="AU69" s="2000"/>
      <c r="AV69" s="2000"/>
      <c r="AW69" s="2000"/>
      <c r="AX69" s="2000"/>
      <c r="AY69" s="2000"/>
      <c r="AZ69" s="2000"/>
      <c r="BA69" s="2000"/>
      <c r="BB69" s="2000"/>
      <c r="BC69" s="2000"/>
      <c r="BD69" s="2000"/>
      <c r="BE69" s="2000"/>
      <c r="BF69" s="2000"/>
      <c r="BG69" s="2000"/>
      <c r="BH69" s="2000"/>
      <c r="BI69" s="2000"/>
      <c r="BJ69" s="2000"/>
      <c r="BK69" s="2000"/>
      <c r="BL69" s="2000"/>
      <c r="BM69" s="2000"/>
      <c r="BN69" s="2000"/>
      <c r="BO69" s="2000"/>
      <c r="BP69" s="2000"/>
      <c r="BQ69" s="2000"/>
      <c r="BR69" s="2000"/>
    </row>
    <row r="70" spans="1:70" s="2012" customFormat="1" ht="11.25" customHeight="1">
      <c r="A70" s="2059" t="s">
        <v>639</v>
      </c>
      <c r="B70" s="2100"/>
      <c r="C70" s="2100">
        <f>+C69/C78</f>
        <v>0.2797322524440376</v>
      </c>
      <c r="D70" s="2100">
        <f>+D69/D78</f>
        <v>0.46332045796708438</v>
      </c>
      <c r="E70" s="2162">
        <f>+E69/E78</f>
        <v>0.68445075714875447</v>
      </c>
      <c r="F70" s="2080" t="s">
        <v>726</v>
      </c>
      <c r="G70" s="2100"/>
      <c r="H70" s="2100"/>
      <c r="I70" s="2100"/>
      <c r="J70" s="2000"/>
      <c r="K70" s="2000"/>
      <c r="L70" s="2000"/>
      <c r="M70" s="2000"/>
      <c r="N70" s="2000"/>
      <c r="O70" s="2000"/>
      <c r="P70" s="2000"/>
      <c r="Q70" s="2000"/>
      <c r="R70" s="2000"/>
      <c r="S70" s="2000"/>
      <c r="T70" s="2000"/>
      <c r="U70" s="2000"/>
      <c r="V70" s="2000"/>
      <c r="W70" s="2000"/>
      <c r="X70" s="2000"/>
      <c r="Y70" s="2000"/>
      <c r="Z70" s="2000"/>
      <c r="AA70" s="2000"/>
      <c r="AB70" s="2000"/>
      <c r="AC70" s="2000"/>
      <c r="AD70" s="2000"/>
      <c r="AE70" s="2000"/>
      <c r="AF70" s="2000"/>
      <c r="AG70" s="2000"/>
      <c r="AH70" s="2000"/>
      <c r="AI70" s="2000"/>
      <c r="AJ70" s="2000"/>
      <c r="AK70" s="2000"/>
      <c r="AL70" s="2000"/>
      <c r="AM70" s="2000"/>
      <c r="AN70" s="2000"/>
      <c r="AO70" s="2000"/>
      <c r="AP70" s="2000"/>
      <c r="AQ70" s="2000"/>
      <c r="AR70" s="2000"/>
      <c r="AS70" s="2000"/>
      <c r="AT70" s="2000"/>
      <c r="AU70" s="2000"/>
      <c r="AV70" s="2000"/>
      <c r="AW70" s="2000"/>
      <c r="AX70" s="2000"/>
      <c r="AY70" s="2000"/>
      <c r="AZ70" s="2000"/>
      <c r="BA70" s="2000"/>
      <c r="BB70" s="2000"/>
      <c r="BC70" s="2000"/>
      <c r="BD70" s="2000"/>
      <c r="BE70" s="2000"/>
      <c r="BF70" s="2000"/>
      <c r="BG70" s="2000"/>
      <c r="BH70" s="2000"/>
      <c r="BI70" s="2000"/>
      <c r="BJ70" s="2000"/>
      <c r="BK70" s="2000"/>
      <c r="BL70" s="2000"/>
      <c r="BM70" s="2000"/>
      <c r="BN70" s="2000"/>
      <c r="BO70" s="2000"/>
      <c r="BP70" s="2000"/>
      <c r="BQ70" s="2000"/>
      <c r="BR70" s="2000"/>
    </row>
    <row r="71" spans="1:70" s="2012" customFormat="1" ht="11.25" customHeight="1">
      <c r="A71" s="2059" t="s">
        <v>640</v>
      </c>
      <c r="B71" s="2101">
        <f>+B70/B$72</f>
        <v>0</v>
      </c>
      <c r="C71" s="2101">
        <f>+C70/C$72</f>
        <v>7.6725395478008385E-2</v>
      </c>
      <c r="D71" s="2101">
        <f>+D70/D$72</f>
        <v>0.10982486274537252</v>
      </c>
      <c r="E71" s="2163">
        <v>0.15250153632546151</v>
      </c>
      <c r="F71" s="2102"/>
      <c r="G71" s="2100"/>
      <c r="H71" s="2100"/>
      <c r="I71" s="2100"/>
    </row>
    <row r="72" spans="1:70" s="2012" customFormat="1" ht="11.25" customHeight="1">
      <c r="A72" s="2090" t="s">
        <v>664</v>
      </c>
      <c r="B72" s="2103">
        <v>3.025134554790569</v>
      </c>
      <c r="C72" s="2103">
        <v>3.6458887008828333</v>
      </c>
      <c r="D72" s="2103">
        <v>4.2187210289648771</v>
      </c>
      <c r="E72" s="2249">
        <v>4.718473656068304</v>
      </c>
      <c r="F72" s="2215"/>
      <c r="G72" s="2073"/>
      <c r="H72" s="2073"/>
      <c r="I72" s="2073"/>
      <c r="J72" s="2000"/>
      <c r="K72" s="2000"/>
      <c r="L72" s="2000"/>
      <c r="M72" s="2000"/>
      <c r="N72" s="2000"/>
      <c r="O72" s="2000"/>
      <c r="P72" s="2000"/>
      <c r="Q72" s="2000"/>
      <c r="R72" s="2000"/>
      <c r="S72" s="2000"/>
      <c r="T72" s="2000"/>
      <c r="U72" s="2000"/>
      <c r="V72" s="2000"/>
      <c r="W72" s="2000"/>
      <c r="X72" s="2000"/>
      <c r="Y72" s="2000"/>
      <c r="Z72" s="2000"/>
      <c r="AA72" s="2000"/>
      <c r="AB72" s="2000"/>
      <c r="AC72" s="2000"/>
      <c r="AD72" s="2000"/>
      <c r="AE72" s="2000"/>
      <c r="AF72" s="2000"/>
      <c r="AG72" s="2000"/>
      <c r="AH72" s="2000"/>
      <c r="AI72" s="2000"/>
      <c r="AJ72" s="2000"/>
      <c r="AK72" s="2000"/>
      <c r="AL72" s="2000"/>
      <c r="AM72" s="2000"/>
      <c r="AN72" s="2000"/>
      <c r="AO72" s="2000"/>
      <c r="AP72" s="2000"/>
      <c r="AQ72" s="2000"/>
      <c r="AR72" s="2000"/>
      <c r="AS72" s="2000"/>
      <c r="AT72" s="2000"/>
      <c r="AU72" s="2000"/>
      <c r="AV72" s="2000"/>
      <c r="AW72" s="2000"/>
      <c r="AX72" s="2000"/>
      <c r="AY72" s="2000"/>
      <c r="AZ72" s="2000"/>
      <c r="BA72" s="2000"/>
      <c r="BB72" s="2000"/>
      <c r="BC72" s="2000"/>
      <c r="BD72" s="2000"/>
      <c r="BE72" s="2000"/>
      <c r="BF72" s="2000"/>
      <c r="BG72" s="2000"/>
      <c r="BH72" s="2000"/>
      <c r="BI72" s="2000"/>
      <c r="BJ72" s="2000"/>
      <c r="BK72" s="2000"/>
      <c r="BL72" s="2000"/>
      <c r="BM72" s="2000"/>
      <c r="BN72" s="2000"/>
      <c r="BO72" s="2000"/>
      <c r="BP72" s="2000"/>
      <c r="BQ72" s="2000"/>
      <c r="BR72" s="2000"/>
    </row>
    <row r="73" spans="1:70" s="2012" customFormat="1" ht="11.25" customHeight="1">
      <c r="A73" s="2090" t="s">
        <v>663</v>
      </c>
      <c r="B73" s="2141">
        <f>+B64</f>
        <v>0</v>
      </c>
      <c r="C73" s="2141">
        <f>+C70</f>
        <v>0.2797322524440376</v>
      </c>
      <c r="D73" s="2141">
        <f>+D70</f>
        <v>0.46332045796708438</v>
      </c>
      <c r="E73" s="2250">
        <f>+E70</f>
        <v>0.68445075714875447</v>
      </c>
      <c r="F73" s="2216"/>
      <c r="G73" s="2094"/>
      <c r="H73" s="2094"/>
      <c r="I73" s="2094"/>
      <c r="J73" s="2000"/>
      <c r="K73" s="2000"/>
      <c r="L73" s="2000"/>
      <c r="M73" s="2000"/>
      <c r="N73" s="2000"/>
      <c r="O73" s="2000"/>
      <c r="P73" s="2000"/>
      <c r="Q73" s="2000"/>
      <c r="R73" s="2000"/>
      <c r="S73" s="2000"/>
      <c r="T73" s="2000"/>
      <c r="U73" s="2000"/>
      <c r="V73" s="2000"/>
      <c r="W73" s="2000"/>
      <c r="X73" s="2000"/>
      <c r="Y73" s="2000"/>
      <c r="Z73" s="2000"/>
      <c r="AA73" s="2000"/>
      <c r="AB73" s="2000"/>
      <c r="AC73" s="2000"/>
      <c r="AD73" s="2000"/>
      <c r="AE73" s="2000"/>
      <c r="AF73" s="2000"/>
      <c r="AG73" s="2000"/>
      <c r="AH73" s="2000"/>
      <c r="AI73" s="2000"/>
      <c r="AJ73" s="2000"/>
      <c r="AK73" s="2000"/>
      <c r="AL73" s="2000"/>
      <c r="AM73" s="2000"/>
      <c r="AN73" s="2000"/>
      <c r="AO73" s="2000"/>
      <c r="AP73" s="2000"/>
      <c r="AQ73" s="2000"/>
      <c r="AR73" s="2000"/>
      <c r="AS73" s="2000"/>
      <c r="AT73" s="2000"/>
      <c r="AU73" s="2000"/>
      <c r="AV73" s="2000"/>
      <c r="AW73" s="2000"/>
      <c r="AX73" s="2000"/>
      <c r="AY73" s="2000"/>
      <c r="AZ73" s="2000"/>
      <c r="BA73" s="2000"/>
      <c r="BB73" s="2000"/>
      <c r="BC73" s="2000"/>
      <c r="BD73" s="2000"/>
      <c r="BE73" s="2000"/>
      <c r="BF73" s="2000"/>
      <c r="BG73" s="2000"/>
      <c r="BH73" s="2000"/>
      <c r="BI73" s="2000"/>
      <c r="BJ73" s="2000"/>
      <c r="BK73" s="2000"/>
      <c r="BL73" s="2000"/>
      <c r="BM73" s="2000"/>
      <c r="BN73" s="2000"/>
      <c r="BO73" s="2000"/>
      <c r="BP73" s="2000"/>
      <c r="BQ73" s="2000"/>
      <c r="BR73" s="2000"/>
    </row>
    <row r="74" spans="1:70" s="2012" customFormat="1" ht="11.25" customHeight="1">
      <c r="A74" s="2059" t="s">
        <v>641</v>
      </c>
      <c r="B74" s="2100">
        <f>+B73+B72</f>
        <v>3.025134554790569</v>
      </c>
      <c r="C74" s="2100">
        <f>+C73+C72</f>
        <v>3.9256209533268711</v>
      </c>
      <c r="D74" s="2100">
        <f>+D73+D72</f>
        <v>4.6820414869319613</v>
      </c>
      <c r="E74" s="2162">
        <f>+E73+E72</f>
        <v>5.4029244132170584</v>
      </c>
      <c r="F74" s="2217"/>
      <c r="G74" s="2100"/>
      <c r="H74" s="2100"/>
      <c r="I74" s="2100"/>
      <c r="J74" s="2000"/>
      <c r="K74" s="2000"/>
      <c r="L74" s="2000"/>
      <c r="M74" s="2000"/>
      <c r="N74" s="2000"/>
      <c r="O74" s="2000"/>
      <c r="P74" s="2000"/>
      <c r="Q74" s="2000"/>
      <c r="R74" s="2000"/>
      <c r="S74" s="2000"/>
      <c r="T74" s="2000"/>
      <c r="U74" s="2000"/>
      <c r="V74" s="2000"/>
      <c r="W74" s="2000"/>
      <c r="X74" s="2000"/>
      <c r="Y74" s="2000"/>
      <c r="Z74" s="2000"/>
      <c r="AA74" s="2000"/>
      <c r="AB74" s="2000"/>
      <c r="AC74" s="2000"/>
      <c r="AD74" s="2000"/>
      <c r="AE74" s="2000"/>
      <c r="AF74" s="2000"/>
      <c r="AG74" s="2000"/>
      <c r="AH74" s="2000"/>
      <c r="AI74" s="2000"/>
      <c r="AJ74" s="2000"/>
      <c r="AK74" s="2000"/>
      <c r="AL74" s="2000"/>
      <c r="AM74" s="2000"/>
      <c r="AN74" s="2000"/>
      <c r="AO74" s="2000"/>
      <c r="AP74" s="2000"/>
      <c r="AQ74" s="2000"/>
      <c r="AR74" s="2000"/>
      <c r="AS74" s="2000"/>
      <c r="AT74" s="2000"/>
      <c r="AU74" s="2000"/>
      <c r="AV74" s="2000"/>
      <c r="AW74" s="2000"/>
      <c r="AX74" s="2000"/>
      <c r="AY74" s="2000"/>
      <c r="AZ74" s="2000"/>
      <c r="BA74" s="2000"/>
      <c r="BB74" s="2000"/>
      <c r="BC74" s="2000"/>
      <c r="BD74" s="2000"/>
      <c r="BE74" s="2000"/>
      <c r="BF74" s="2000"/>
      <c r="BG74" s="2000"/>
      <c r="BH74" s="2000"/>
      <c r="BI74" s="2000"/>
      <c r="BJ74" s="2000"/>
      <c r="BK74" s="2000"/>
      <c r="BL74" s="2000"/>
      <c r="BM74" s="2000"/>
      <c r="BN74" s="2000"/>
      <c r="BO74" s="2000"/>
      <c r="BP74" s="2000"/>
      <c r="BQ74" s="2000"/>
      <c r="BR74" s="2000"/>
    </row>
    <row r="75" spans="1:70" s="2012" customFormat="1" ht="11.25" customHeight="1">
      <c r="A75" s="2104" t="s">
        <v>642</v>
      </c>
      <c r="B75" s="2105"/>
      <c r="C75" s="2106">
        <f>+C74/B74-1</f>
        <v>0.29766821350485118</v>
      </c>
      <c r="D75" s="2106">
        <f>+D74/C74-1</f>
        <v>0.19268812312713024</v>
      </c>
      <c r="E75" s="2251">
        <f>+E74/D74-1</f>
        <v>0.15396765028613091</v>
      </c>
      <c r="F75" s="2218"/>
      <c r="G75" s="2105"/>
      <c r="H75" s="2105"/>
      <c r="I75" s="2105"/>
      <c r="J75" s="2000"/>
      <c r="K75" s="2000"/>
      <c r="L75" s="2000"/>
      <c r="M75" s="2000"/>
      <c r="N75" s="2000"/>
      <c r="O75" s="2000"/>
      <c r="P75" s="2000"/>
      <c r="Q75" s="2000"/>
      <c r="R75" s="2000"/>
      <c r="S75" s="2000"/>
      <c r="T75" s="2000"/>
      <c r="U75" s="2000"/>
      <c r="V75" s="2000"/>
      <c r="W75" s="2000"/>
      <c r="X75" s="2000"/>
      <c r="Y75" s="2000"/>
      <c r="Z75" s="2000"/>
      <c r="AA75" s="2000"/>
      <c r="AB75" s="2000"/>
      <c r="AC75" s="2000"/>
      <c r="AD75" s="2000"/>
      <c r="AE75" s="2000"/>
      <c r="AF75" s="2000"/>
      <c r="AG75" s="2000"/>
      <c r="AH75" s="2000"/>
      <c r="AI75" s="2000"/>
      <c r="AJ75" s="2000"/>
      <c r="AK75" s="2000"/>
      <c r="AL75" s="2000"/>
      <c r="AM75" s="2000"/>
      <c r="AN75" s="2000"/>
      <c r="AO75" s="2000"/>
      <c r="AP75" s="2000"/>
      <c r="AQ75" s="2000"/>
      <c r="AR75" s="2000"/>
      <c r="AS75" s="2000"/>
      <c r="AT75" s="2000"/>
      <c r="AU75" s="2000"/>
      <c r="AV75" s="2000"/>
      <c r="AW75" s="2000"/>
      <c r="AX75" s="2000"/>
      <c r="AY75" s="2000"/>
      <c r="AZ75" s="2000"/>
      <c r="BA75" s="2000"/>
      <c r="BB75" s="2000"/>
      <c r="BC75" s="2000"/>
      <c r="BD75" s="2000"/>
      <c r="BE75" s="2000"/>
      <c r="BF75" s="2000"/>
      <c r="BG75" s="2000"/>
      <c r="BH75" s="2000"/>
      <c r="BI75" s="2000"/>
      <c r="BJ75" s="2000"/>
      <c r="BK75" s="2000"/>
      <c r="BL75" s="2000"/>
      <c r="BM75" s="2000"/>
      <c r="BN75" s="2000"/>
      <c r="BO75" s="2000"/>
      <c r="BP75" s="2000"/>
      <c r="BQ75" s="2000"/>
      <c r="BR75" s="2000"/>
    </row>
    <row r="76" spans="1:70" s="2012" customFormat="1" ht="11.25" customHeight="1">
      <c r="A76" s="2070"/>
      <c r="B76" s="2075"/>
      <c r="C76" s="2075"/>
      <c r="D76" s="2075"/>
      <c r="E76" s="2075"/>
      <c r="F76" s="2068"/>
      <c r="G76" s="2069"/>
      <c r="H76" s="2014"/>
      <c r="I76" s="2014"/>
      <c r="J76" s="2000"/>
      <c r="K76" s="2000"/>
      <c r="L76" s="2000"/>
      <c r="M76" s="2000"/>
      <c r="N76" s="2000"/>
      <c r="O76" s="2000"/>
      <c r="P76" s="2000"/>
      <c r="Q76" s="2000"/>
      <c r="R76" s="2000"/>
      <c r="S76" s="2000"/>
      <c r="T76" s="2000"/>
      <c r="U76" s="2000"/>
      <c r="V76" s="2000"/>
      <c r="W76" s="2000"/>
      <c r="X76" s="2000"/>
      <c r="Y76" s="2000"/>
      <c r="Z76" s="2000"/>
      <c r="AA76" s="2000"/>
      <c r="AB76" s="2000"/>
      <c r="AC76" s="2000"/>
      <c r="AD76" s="2000"/>
      <c r="AE76" s="2000"/>
      <c r="AF76" s="2000"/>
      <c r="AG76" s="2000"/>
      <c r="AH76" s="2000"/>
      <c r="AI76" s="2000"/>
      <c r="AJ76" s="2000"/>
      <c r="AK76" s="2000"/>
      <c r="AL76" s="2000"/>
      <c r="AM76" s="2000"/>
      <c r="AN76" s="2000"/>
      <c r="AO76" s="2000"/>
      <c r="AP76" s="2000"/>
      <c r="AQ76" s="2000"/>
      <c r="AR76" s="2000"/>
      <c r="AS76" s="2000"/>
      <c r="AT76" s="2000"/>
      <c r="AU76" s="2000"/>
      <c r="AV76" s="2000"/>
      <c r="AW76" s="2000"/>
      <c r="AX76" s="2000"/>
      <c r="AY76" s="2000"/>
      <c r="AZ76" s="2000"/>
      <c r="BA76" s="2000"/>
      <c r="BB76" s="2000"/>
      <c r="BC76" s="2000"/>
      <c r="BD76" s="2000"/>
      <c r="BE76" s="2000"/>
      <c r="BF76" s="2000"/>
      <c r="BG76" s="2000"/>
      <c r="BH76" s="2000"/>
      <c r="BI76" s="2000"/>
      <c r="BJ76" s="2000"/>
      <c r="BK76" s="2000"/>
      <c r="BL76" s="2000"/>
      <c r="BM76" s="2000"/>
      <c r="BN76" s="2000"/>
      <c r="BO76" s="2000"/>
      <c r="BP76" s="2000"/>
      <c r="BQ76" s="2000"/>
      <c r="BR76" s="2000"/>
    </row>
    <row r="77" spans="1:70" s="2012" customFormat="1" ht="11.25" customHeight="1">
      <c r="A77" s="2107" t="s">
        <v>643</v>
      </c>
      <c r="B77" s="2108">
        <v>0</v>
      </c>
      <c r="C77" s="2109">
        <f>C39</f>
        <v>84.52000000000001</v>
      </c>
      <c r="D77" s="2109">
        <f>D39</f>
        <v>102.69760000000001</v>
      </c>
      <c r="E77" s="2164">
        <f>E39</f>
        <v>128.58131200000003</v>
      </c>
      <c r="F77" s="2109"/>
      <c r="G77" s="2109"/>
      <c r="H77" s="2109"/>
      <c r="I77" s="2109"/>
      <c r="J77" s="2000"/>
      <c r="K77" s="2000"/>
      <c r="L77" s="2000"/>
      <c r="M77" s="2000"/>
      <c r="N77" s="2000"/>
      <c r="O77" s="2000"/>
      <c r="P77" s="2000"/>
      <c r="Q77" s="2000"/>
      <c r="R77" s="2000"/>
      <c r="S77" s="2000"/>
      <c r="T77" s="2000"/>
      <c r="U77" s="2000"/>
      <c r="V77" s="2000"/>
      <c r="W77" s="2000"/>
      <c r="X77" s="2000"/>
      <c r="Y77" s="2000"/>
      <c r="Z77" s="2000"/>
      <c r="AA77" s="2000"/>
      <c r="AB77" s="2000"/>
      <c r="AC77" s="2000"/>
      <c r="AD77" s="2000"/>
      <c r="AE77" s="2000"/>
      <c r="AF77" s="2000"/>
      <c r="AG77" s="2000"/>
      <c r="AH77" s="2000"/>
      <c r="AI77" s="2000"/>
      <c r="AJ77" s="2000"/>
      <c r="AK77" s="2000"/>
      <c r="AL77" s="2000"/>
      <c r="AM77" s="2000"/>
      <c r="AN77" s="2000"/>
      <c r="AO77" s="2000"/>
      <c r="AP77" s="2000"/>
      <c r="AQ77" s="2000"/>
      <c r="AR77" s="2000"/>
      <c r="AS77" s="2000"/>
      <c r="AT77" s="2000"/>
      <c r="AU77" s="2000"/>
      <c r="AV77" s="2000"/>
      <c r="AW77" s="2000"/>
      <c r="AX77" s="2000"/>
      <c r="AY77" s="2000"/>
      <c r="AZ77" s="2000"/>
      <c r="BA77" s="2000"/>
      <c r="BB77" s="2000"/>
      <c r="BC77" s="2000"/>
      <c r="BD77" s="2000"/>
      <c r="BE77" s="2000"/>
      <c r="BF77" s="2000"/>
      <c r="BG77" s="2000"/>
      <c r="BH77" s="2000"/>
      <c r="BI77" s="2000"/>
      <c r="BJ77" s="2000"/>
      <c r="BK77" s="2000"/>
      <c r="BL77" s="2000"/>
      <c r="BM77" s="2000"/>
      <c r="BN77" s="2000"/>
      <c r="BO77" s="2000"/>
      <c r="BP77" s="2000"/>
      <c r="BQ77" s="2000"/>
      <c r="BR77" s="2000"/>
    </row>
    <row r="78" spans="1:70" s="2012" customFormat="1" ht="11.25" customHeight="1">
      <c r="A78" s="2070" t="str">
        <f>+A88</f>
        <v>Pro forma Share Count</v>
      </c>
      <c r="B78" s="2094">
        <f>+B63</f>
        <v>110.85899999999999</v>
      </c>
      <c r="C78" s="2094">
        <f>+C63</f>
        <v>111.0665635748082</v>
      </c>
      <c r="D78" s="2094">
        <f t="shared" ref="D78:E78" si="1">+D63</f>
        <v>110.54223900391328</v>
      </c>
      <c r="E78" s="2165">
        <f t="shared" si="1"/>
        <v>109.98019824242809</v>
      </c>
      <c r="F78" s="2094"/>
      <c r="G78" s="2094"/>
      <c r="H78" s="2094"/>
      <c r="I78" s="2094"/>
      <c r="J78" s="2000"/>
      <c r="K78" s="2000"/>
      <c r="L78" s="2000"/>
      <c r="M78" s="2000"/>
      <c r="N78" s="2000"/>
      <c r="O78" s="2000"/>
      <c r="P78" s="2000"/>
      <c r="Q78" s="2000"/>
      <c r="R78" s="2000"/>
      <c r="S78" s="2000"/>
      <c r="T78" s="2000"/>
      <c r="U78" s="2000"/>
      <c r="V78" s="2000"/>
      <c r="W78" s="2000"/>
      <c r="X78" s="2000"/>
      <c r="Y78" s="2000"/>
      <c r="Z78" s="2000"/>
      <c r="AA78" s="2000"/>
      <c r="AB78" s="2000"/>
      <c r="AC78" s="2000"/>
      <c r="AD78" s="2000"/>
      <c r="AE78" s="2000"/>
      <c r="AF78" s="2000"/>
      <c r="AG78" s="2000"/>
      <c r="AH78" s="2000"/>
      <c r="AI78" s="2000"/>
      <c r="AJ78" s="2000"/>
      <c r="AK78" s="2000"/>
      <c r="AL78" s="2000"/>
      <c r="AM78" s="2000"/>
      <c r="AN78" s="2000"/>
      <c r="AO78" s="2000"/>
      <c r="AP78" s="2000"/>
      <c r="AQ78" s="2000"/>
      <c r="AR78" s="2000"/>
      <c r="AS78" s="2000"/>
      <c r="AT78" s="2000"/>
      <c r="AU78" s="2000"/>
      <c r="AV78" s="2000"/>
      <c r="AW78" s="2000"/>
      <c r="AX78" s="2000"/>
      <c r="AY78" s="2000"/>
      <c r="AZ78" s="2000"/>
      <c r="BA78" s="2000"/>
      <c r="BB78" s="2000"/>
      <c r="BC78" s="2000"/>
      <c r="BD78" s="2000"/>
      <c r="BE78" s="2000"/>
      <c r="BF78" s="2000"/>
      <c r="BG78" s="2000"/>
      <c r="BH78" s="2000"/>
      <c r="BI78" s="2000"/>
      <c r="BJ78" s="2000"/>
      <c r="BK78" s="2000"/>
      <c r="BL78" s="2000"/>
      <c r="BM78" s="2000"/>
      <c r="BN78" s="2000"/>
      <c r="BO78" s="2000"/>
      <c r="BP78" s="2000"/>
      <c r="BQ78" s="2000"/>
      <c r="BR78" s="2000"/>
    </row>
    <row r="79" spans="1:70" s="2012" customFormat="1" ht="11.25" customHeight="1">
      <c r="A79" s="2059" t="s">
        <v>644</v>
      </c>
      <c r="B79" s="2100">
        <f>B77/B78</f>
        <v>0</v>
      </c>
      <c r="C79" s="2100">
        <f>C77/C78</f>
        <v>0.76098510010235521</v>
      </c>
      <c r="D79" s="2100">
        <f>D77/D78</f>
        <v>0.92903491846555086</v>
      </c>
      <c r="E79" s="2162">
        <f>E77/E78</f>
        <v>1.1691314805286104</v>
      </c>
      <c r="F79" s="2100"/>
      <c r="G79" s="2100"/>
      <c r="H79" s="2100"/>
      <c r="I79" s="2100"/>
      <c r="J79" s="2000"/>
      <c r="K79" s="2000"/>
      <c r="L79" s="2000"/>
      <c r="M79" s="2000"/>
      <c r="N79" s="2000"/>
      <c r="O79" s="2000"/>
      <c r="P79" s="2000"/>
      <c r="Q79" s="2000"/>
      <c r="R79" s="2000"/>
      <c r="S79" s="2000"/>
      <c r="T79" s="2000"/>
      <c r="U79" s="2000"/>
      <c r="V79" s="2000"/>
      <c r="W79" s="2000"/>
      <c r="X79" s="2000"/>
      <c r="Y79" s="2000"/>
      <c r="Z79" s="2000"/>
      <c r="AA79" s="2000"/>
      <c r="AB79" s="2000"/>
      <c r="AC79" s="2000"/>
      <c r="AD79" s="2000"/>
      <c r="AE79" s="2000"/>
      <c r="AF79" s="2000"/>
      <c r="AG79" s="2000"/>
      <c r="AH79" s="2000"/>
      <c r="AI79" s="2000"/>
      <c r="AJ79" s="2000"/>
      <c r="AK79" s="2000"/>
      <c r="AL79" s="2000"/>
      <c r="AM79" s="2000"/>
      <c r="AN79" s="2000"/>
      <c r="AO79" s="2000"/>
      <c r="AP79" s="2000"/>
      <c r="AQ79" s="2000"/>
      <c r="AR79" s="2000"/>
      <c r="AS79" s="2000"/>
      <c r="AT79" s="2000"/>
      <c r="AU79" s="2000"/>
      <c r="AV79" s="2000"/>
      <c r="AW79" s="2000"/>
      <c r="AX79" s="2000"/>
      <c r="AY79" s="2000"/>
      <c r="AZ79" s="2000"/>
      <c r="BA79" s="2000"/>
      <c r="BB79" s="2000"/>
      <c r="BC79" s="2000"/>
      <c r="BD79" s="2000"/>
      <c r="BE79" s="2000"/>
      <c r="BF79" s="2000"/>
      <c r="BG79" s="2000"/>
      <c r="BH79" s="2000"/>
      <c r="BI79" s="2000"/>
      <c r="BJ79" s="2000"/>
      <c r="BK79" s="2000"/>
      <c r="BL79" s="2000"/>
      <c r="BM79" s="2000"/>
      <c r="BN79" s="2000"/>
      <c r="BO79" s="2000"/>
      <c r="BP79" s="2000"/>
      <c r="BQ79" s="2000"/>
      <c r="BR79" s="2000"/>
    </row>
    <row r="80" spans="1:70" s="2012" customFormat="1" ht="11.25" customHeight="1">
      <c r="A80" s="2110" t="s">
        <v>645</v>
      </c>
      <c r="B80" s="2111">
        <f>B77/B82</f>
        <v>0</v>
      </c>
      <c r="C80" s="2111">
        <f>C77/C82</f>
        <v>6.5015384615384628E-2</v>
      </c>
      <c r="D80" s="2111">
        <f>D77/D82</f>
        <v>7.8998153846153857E-2</v>
      </c>
      <c r="E80" s="2166">
        <f>E77/E82</f>
        <v>9.8908701538461555E-2</v>
      </c>
      <c r="F80" s="2111"/>
      <c r="G80" s="2111"/>
      <c r="H80" s="2111"/>
      <c r="I80" s="2111"/>
      <c r="J80" s="2000"/>
      <c r="K80" s="2000"/>
      <c r="L80" s="2000"/>
      <c r="M80" s="2000"/>
      <c r="N80" s="2000"/>
      <c r="O80" s="2000"/>
      <c r="P80" s="2000"/>
      <c r="Q80" s="2000"/>
      <c r="R80" s="2000"/>
      <c r="S80" s="2000"/>
      <c r="T80" s="2000"/>
      <c r="U80" s="2000"/>
      <c r="V80" s="2000"/>
      <c r="W80" s="2000"/>
      <c r="X80" s="2000"/>
      <c r="Y80" s="2000"/>
      <c r="Z80" s="2000"/>
      <c r="AA80" s="2000"/>
      <c r="AB80" s="2000"/>
      <c r="AC80" s="2000"/>
      <c r="AD80" s="2000"/>
      <c r="AE80" s="2000"/>
      <c r="AF80" s="2000"/>
      <c r="AG80" s="2000"/>
      <c r="AH80" s="2000"/>
      <c r="AI80" s="2000"/>
      <c r="AJ80" s="2000"/>
      <c r="AK80" s="2000"/>
      <c r="AL80" s="2000"/>
      <c r="AM80" s="2000"/>
      <c r="AN80" s="2000"/>
      <c r="AO80" s="2000"/>
      <c r="AP80" s="2000"/>
      <c r="AQ80" s="2000"/>
      <c r="AR80" s="2000"/>
      <c r="AS80" s="2000"/>
      <c r="AT80" s="2000"/>
      <c r="AU80" s="2000"/>
      <c r="AV80" s="2000"/>
      <c r="AW80" s="2000"/>
      <c r="AX80" s="2000"/>
      <c r="AY80" s="2000"/>
      <c r="AZ80" s="2000"/>
      <c r="BA80" s="2000"/>
      <c r="BB80" s="2000"/>
      <c r="BC80" s="2000"/>
      <c r="BD80" s="2000"/>
      <c r="BE80" s="2000"/>
      <c r="BF80" s="2000"/>
      <c r="BG80" s="2000"/>
      <c r="BH80" s="2000"/>
      <c r="BI80" s="2000"/>
      <c r="BJ80" s="2000"/>
      <c r="BK80" s="2000"/>
      <c r="BL80" s="2000"/>
      <c r="BM80" s="2000"/>
      <c r="BN80" s="2000"/>
      <c r="BO80" s="2000"/>
      <c r="BP80" s="2000"/>
      <c r="BQ80" s="2000"/>
      <c r="BR80" s="2000"/>
    </row>
    <row r="81" spans="1:70" s="2012" customFormat="1" ht="11.25" customHeight="1">
      <c r="A81" s="2000"/>
      <c r="B81" s="2000"/>
      <c r="C81" s="2000"/>
      <c r="D81" s="2000"/>
      <c r="E81" s="2000"/>
      <c r="F81" s="2000"/>
      <c r="G81" s="2000"/>
      <c r="H81" s="2000"/>
      <c r="I81" s="2000"/>
      <c r="J81" s="2000"/>
      <c r="K81" s="2000"/>
      <c r="L81" s="2000"/>
      <c r="M81" s="2000"/>
      <c r="N81" s="2000"/>
      <c r="O81" s="2000"/>
      <c r="P81" s="2000"/>
      <c r="Q81" s="2000"/>
      <c r="R81" s="2000"/>
      <c r="S81" s="2000"/>
      <c r="T81" s="2000"/>
      <c r="U81" s="2000"/>
      <c r="V81" s="2000"/>
      <c r="W81" s="2000"/>
      <c r="X81" s="2000"/>
      <c r="Y81" s="2000"/>
      <c r="Z81" s="2000"/>
      <c r="AA81" s="2000"/>
      <c r="AB81" s="2000"/>
      <c r="AC81" s="2000"/>
      <c r="AD81" s="2000"/>
      <c r="AE81" s="2000"/>
      <c r="AF81" s="2000"/>
      <c r="AG81" s="2000"/>
      <c r="AH81" s="2000"/>
      <c r="AI81" s="2000"/>
      <c r="AJ81" s="2000"/>
      <c r="AK81" s="2000"/>
      <c r="AL81" s="2000"/>
      <c r="AM81" s="2000"/>
      <c r="AN81" s="2000"/>
      <c r="AO81" s="2000"/>
      <c r="AP81" s="2000"/>
      <c r="AQ81" s="2000"/>
      <c r="AR81" s="2000"/>
      <c r="AS81" s="2000"/>
      <c r="AT81" s="2000"/>
      <c r="AU81" s="2000"/>
      <c r="AV81" s="2000"/>
      <c r="AW81" s="2000"/>
      <c r="AX81" s="2000"/>
      <c r="AY81" s="2000"/>
      <c r="AZ81" s="2000"/>
      <c r="BA81" s="2000"/>
      <c r="BB81" s="2000"/>
      <c r="BC81" s="2000"/>
      <c r="BD81" s="2000"/>
      <c r="BE81" s="2000"/>
      <c r="BF81" s="2000"/>
      <c r="BG81" s="2000"/>
      <c r="BH81" s="2000"/>
      <c r="BI81" s="2000"/>
      <c r="BJ81" s="2000"/>
      <c r="BK81" s="2000"/>
      <c r="BL81" s="2000"/>
      <c r="BM81" s="2000"/>
      <c r="BN81" s="2000"/>
      <c r="BO81" s="2000"/>
      <c r="BP81" s="2000"/>
      <c r="BQ81" s="2000"/>
      <c r="BR81" s="2000"/>
    </row>
    <row r="82" spans="1:70" s="2012" customFormat="1" ht="11.25" hidden="1" customHeight="1" outlineLevel="1">
      <c r="A82" s="2072" t="s">
        <v>646</v>
      </c>
      <c r="B82" s="2073">
        <f>+B21</f>
        <v>1300</v>
      </c>
      <c r="C82" s="2073">
        <f>B21</f>
        <v>1300</v>
      </c>
      <c r="D82" s="2073">
        <f>C82</f>
        <v>1300</v>
      </c>
      <c r="E82" s="2073">
        <f>+D82</f>
        <v>1300</v>
      </c>
      <c r="F82" s="2069"/>
      <c r="G82" s="2069"/>
      <c r="H82" s="2014"/>
      <c r="I82" s="2014"/>
      <c r="J82" s="2000"/>
      <c r="K82" s="2000"/>
      <c r="L82" s="2000"/>
      <c r="M82" s="2000"/>
      <c r="N82" s="2000"/>
      <c r="O82" s="2000"/>
      <c r="P82" s="2000"/>
      <c r="Q82" s="2000"/>
      <c r="R82" s="2000"/>
      <c r="S82" s="2000"/>
      <c r="T82" s="2000"/>
      <c r="U82" s="2000"/>
      <c r="V82" s="2000"/>
      <c r="W82" s="2000"/>
      <c r="X82" s="2000"/>
      <c r="Y82" s="2000"/>
      <c r="Z82" s="2000"/>
      <c r="AA82" s="2000"/>
      <c r="AB82" s="2000"/>
      <c r="AC82" s="2000"/>
      <c r="AD82" s="2000"/>
      <c r="AE82" s="2000"/>
      <c r="AF82" s="2000"/>
      <c r="AG82" s="2000"/>
      <c r="AH82" s="2000"/>
      <c r="AI82" s="2000"/>
      <c r="AJ82" s="2000"/>
      <c r="AK82" s="2000"/>
      <c r="AL82" s="2000"/>
      <c r="AM82" s="2000"/>
      <c r="AN82" s="2000"/>
      <c r="AO82" s="2000"/>
      <c r="AP82" s="2000"/>
      <c r="AQ82" s="2000"/>
      <c r="AR82" s="2000"/>
      <c r="AS82" s="2000"/>
      <c r="AT82" s="2000"/>
      <c r="AU82" s="2000"/>
      <c r="AV82" s="2000"/>
      <c r="AW82" s="2000"/>
      <c r="AX82" s="2000"/>
      <c r="AY82" s="2000"/>
      <c r="AZ82" s="2000"/>
      <c r="BA82" s="2000"/>
      <c r="BB82" s="2000"/>
      <c r="BC82" s="2000"/>
      <c r="BD82" s="2000"/>
      <c r="BE82" s="2000"/>
      <c r="BF82" s="2000"/>
      <c r="BG82" s="2000"/>
      <c r="BH82" s="2000"/>
      <c r="BI82" s="2000"/>
      <c r="BJ82" s="2000"/>
      <c r="BK82" s="2000"/>
      <c r="BL82" s="2000"/>
      <c r="BM82" s="2000"/>
      <c r="BN82" s="2000"/>
      <c r="BO82" s="2000"/>
      <c r="BP82" s="2000"/>
      <c r="BQ82" s="2000"/>
      <c r="BR82" s="2000"/>
    </row>
    <row r="83" spans="1:70" s="2012" customFormat="1" ht="11.25" hidden="1" customHeight="1" outlineLevel="1">
      <c r="A83" s="2078"/>
      <c r="B83" s="2112"/>
      <c r="C83" s="2112"/>
      <c r="D83" s="2112"/>
      <c r="E83" s="2112"/>
      <c r="F83" s="2069"/>
      <c r="G83" s="2069"/>
      <c r="H83" s="2113"/>
      <c r="I83" s="2014"/>
      <c r="J83" s="2000"/>
      <c r="K83" s="2000"/>
      <c r="L83" s="2000"/>
      <c r="M83" s="2000"/>
      <c r="N83" s="2000"/>
      <c r="O83" s="2000"/>
      <c r="P83" s="2000"/>
      <c r="Q83" s="2000"/>
      <c r="R83" s="2000"/>
      <c r="S83" s="2000"/>
      <c r="T83" s="2000"/>
      <c r="U83" s="2000"/>
      <c r="V83" s="2000"/>
      <c r="W83" s="2000"/>
      <c r="X83" s="2000"/>
      <c r="Y83" s="2000"/>
      <c r="Z83" s="2000"/>
      <c r="AA83" s="2000"/>
      <c r="AB83" s="2000"/>
      <c r="AC83" s="2000"/>
      <c r="AD83" s="2000"/>
      <c r="AE83" s="2000"/>
      <c r="AF83" s="2000"/>
      <c r="AG83" s="2000"/>
      <c r="AH83" s="2000"/>
      <c r="AI83" s="2000"/>
      <c r="AJ83" s="2000"/>
      <c r="AK83" s="2000"/>
      <c r="AL83" s="2000"/>
      <c r="AM83" s="2000"/>
      <c r="AN83" s="2000"/>
      <c r="AO83" s="2000"/>
      <c r="AP83" s="2000"/>
      <c r="AQ83" s="2000"/>
      <c r="AR83" s="2000"/>
      <c r="AS83" s="2000"/>
      <c r="AT83" s="2000"/>
      <c r="AU83" s="2000"/>
      <c r="AV83" s="2000"/>
      <c r="AW83" s="2000"/>
      <c r="AX83" s="2000"/>
      <c r="AY83" s="2000"/>
      <c r="AZ83" s="2000"/>
      <c r="BA83" s="2000"/>
      <c r="BB83" s="2000"/>
      <c r="BC83" s="2000"/>
      <c r="BD83" s="2000"/>
      <c r="BE83" s="2000"/>
      <c r="BF83" s="2000"/>
      <c r="BG83" s="2000"/>
      <c r="BH83" s="2000"/>
      <c r="BI83" s="2000"/>
      <c r="BJ83" s="2000"/>
      <c r="BK83" s="2000"/>
      <c r="BL83" s="2000"/>
      <c r="BM83" s="2000"/>
      <c r="BN83" s="2000"/>
      <c r="BO83" s="2000"/>
      <c r="BP83" s="2000"/>
      <c r="BQ83" s="2000"/>
      <c r="BR83" s="2000"/>
    </row>
    <row r="84" spans="1:70" s="2012" customFormat="1" ht="11.25" customHeight="1" collapsed="1">
      <c r="A84" s="2072" t="s">
        <v>287</v>
      </c>
      <c r="B84" s="2073">
        <f>+B85*B$26</f>
        <v>0</v>
      </c>
      <c r="C84" s="2073">
        <f>+C85*C$26</f>
        <v>5.3760000000000003</v>
      </c>
      <c r="D84" s="2073">
        <f>+D85*D$26</f>
        <v>6.2848800000000002</v>
      </c>
      <c r="E84" s="2073">
        <f>+E85*E$26</f>
        <v>7.5790656000000007</v>
      </c>
      <c r="F84" s="2068"/>
      <c r="G84" s="2002"/>
      <c r="H84" s="2000"/>
      <c r="I84" s="2000"/>
      <c r="J84" s="2000"/>
      <c r="K84" s="2000"/>
      <c r="L84" s="2000"/>
      <c r="M84" s="2000"/>
      <c r="N84" s="2000"/>
      <c r="O84" s="2000"/>
      <c r="P84" s="2000"/>
      <c r="Q84" s="2000"/>
      <c r="R84" s="2000"/>
      <c r="S84" s="2000"/>
      <c r="T84" s="2000"/>
      <c r="U84" s="2000"/>
      <c r="V84" s="2000"/>
      <c r="W84" s="2000"/>
      <c r="X84" s="2000"/>
      <c r="Y84" s="2000"/>
      <c r="Z84" s="2000"/>
      <c r="AA84" s="2000"/>
      <c r="AB84" s="2000"/>
      <c r="AC84" s="2000"/>
      <c r="AD84" s="2000"/>
      <c r="AE84" s="2000"/>
      <c r="AF84" s="2000"/>
      <c r="AG84" s="2000"/>
      <c r="AH84" s="2000"/>
      <c r="AI84" s="2000"/>
      <c r="AJ84" s="2000"/>
      <c r="AK84" s="2000"/>
      <c r="AL84" s="2000"/>
      <c r="AM84" s="2000"/>
      <c r="AN84" s="2000"/>
      <c r="AO84" s="2000"/>
      <c r="AP84" s="2000"/>
      <c r="AQ84" s="2000"/>
      <c r="AR84" s="2000"/>
      <c r="AS84" s="2000"/>
      <c r="AT84" s="2000"/>
      <c r="AU84" s="2000"/>
      <c r="AV84" s="2000"/>
      <c r="AW84" s="2000"/>
      <c r="AX84" s="2000"/>
      <c r="AY84" s="2000"/>
      <c r="AZ84" s="2000"/>
      <c r="BA84" s="2000"/>
      <c r="BB84" s="2000"/>
      <c r="BC84" s="2000"/>
      <c r="BD84" s="2000"/>
      <c r="BE84" s="2000"/>
      <c r="BF84" s="2000"/>
      <c r="BG84" s="2000"/>
      <c r="BH84" s="2000"/>
      <c r="BI84" s="2000"/>
      <c r="BJ84" s="2000"/>
      <c r="BK84" s="2000"/>
      <c r="BL84" s="2000"/>
      <c r="BM84" s="2000"/>
      <c r="BN84" s="2000"/>
      <c r="BO84" s="2000"/>
      <c r="BP84" s="2000"/>
      <c r="BQ84" s="2000"/>
      <c r="BR84" s="2000"/>
    </row>
    <row r="85" spans="1:70" s="2012" customFormat="1" ht="11.25" customHeight="1">
      <c r="A85" s="2065" t="s">
        <v>625</v>
      </c>
      <c r="B85" s="2067">
        <v>0</v>
      </c>
      <c r="C85" s="2067">
        <v>1.4999999999999999E-2</v>
      </c>
      <c r="D85" s="2067">
        <f>+C85</f>
        <v>1.4999999999999999E-2</v>
      </c>
      <c r="E85" s="2067">
        <f>+D85</f>
        <v>1.4999999999999999E-2</v>
      </c>
      <c r="F85" s="2002"/>
      <c r="G85" s="2002"/>
      <c r="H85" s="2000"/>
      <c r="I85" s="2000"/>
      <c r="J85" s="2000"/>
      <c r="K85" s="2000"/>
      <c r="L85" s="2000"/>
      <c r="M85" s="2000"/>
      <c r="N85" s="2000"/>
      <c r="O85" s="2000"/>
      <c r="P85" s="2000"/>
      <c r="Q85" s="2000"/>
      <c r="R85" s="2000"/>
      <c r="S85" s="2000"/>
      <c r="T85" s="2000"/>
      <c r="U85" s="2000"/>
      <c r="V85" s="2000"/>
      <c r="W85" s="2000"/>
      <c r="X85" s="2000"/>
      <c r="Y85" s="2000"/>
      <c r="Z85" s="2000"/>
      <c r="AA85" s="2000"/>
      <c r="AB85" s="2000"/>
      <c r="AC85" s="2000"/>
      <c r="AD85" s="2000"/>
      <c r="AE85" s="2000"/>
      <c r="AF85" s="2000"/>
      <c r="AG85" s="2000"/>
      <c r="AH85" s="2000"/>
      <c r="AI85" s="2000"/>
      <c r="AJ85" s="2000"/>
      <c r="AK85" s="2000"/>
      <c r="AL85" s="2000"/>
      <c r="AM85" s="2000"/>
      <c r="AN85" s="2000"/>
      <c r="AO85" s="2000"/>
      <c r="AP85" s="2000"/>
      <c r="AQ85" s="2000"/>
      <c r="AR85" s="2000"/>
      <c r="AS85" s="2000"/>
      <c r="AT85" s="2000"/>
      <c r="AU85" s="2000"/>
      <c r="AV85" s="2000"/>
      <c r="AW85" s="2000"/>
      <c r="AX85" s="2000"/>
      <c r="AY85" s="2000"/>
      <c r="AZ85" s="2000"/>
      <c r="BA85" s="2000"/>
      <c r="BB85" s="2000"/>
      <c r="BC85" s="2000"/>
      <c r="BD85" s="2000"/>
      <c r="BE85" s="2000"/>
      <c r="BF85" s="2000"/>
      <c r="BG85" s="2000"/>
      <c r="BH85" s="2000"/>
      <c r="BI85" s="2000"/>
      <c r="BJ85" s="2000"/>
      <c r="BK85" s="2000"/>
      <c r="BL85" s="2000"/>
      <c r="BM85" s="2000"/>
      <c r="BN85" s="2000"/>
      <c r="BO85" s="2000"/>
      <c r="BP85" s="2000"/>
      <c r="BQ85" s="2000"/>
      <c r="BR85" s="2000"/>
    </row>
    <row r="86" spans="1:70" s="2012" customFormat="1" ht="11.25" customHeight="1">
      <c r="A86" s="2078"/>
      <c r="B86" s="2114"/>
      <c r="C86" s="2112"/>
      <c r="D86" s="2112"/>
      <c r="E86" s="2112"/>
      <c r="F86" s="2112"/>
      <c r="G86" s="2112"/>
      <c r="H86" s="2112"/>
      <c r="I86" s="2112"/>
      <c r="J86" s="2000"/>
      <c r="K86" s="2000"/>
      <c r="L86" s="2000"/>
      <c r="M86" s="2000"/>
      <c r="N86" s="2000"/>
      <c r="O86" s="2000"/>
      <c r="P86" s="2000"/>
      <c r="Q86" s="2000"/>
      <c r="R86" s="2000"/>
      <c r="S86" s="2000"/>
      <c r="T86" s="2000"/>
      <c r="U86" s="2000"/>
      <c r="V86" s="2000"/>
      <c r="W86" s="2000"/>
      <c r="X86" s="2000"/>
      <c r="Y86" s="2000"/>
      <c r="Z86" s="2000"/>
      <c r="AA86" s="2000"/>
      <c r="AB86" s="2000"/>
      <c r="AC86" s="2000"/>
      <c r="AD86" s="2000"/>
      <c r="AE86" s="2000"/>
      <c r="AF86" s="2000"/>
      <c r="AG86" s="2000"/>
      <c r="AH86" s="2000"/>
      <c r="AI86" s="2000"/>
      <c r="AJ86" s="2000"/>
      <c r="AK86" s="2000"/>
      <c r="AL86" s="2000"/>
      <c r="AM86" s="2000"/>
      <c r="AN86" s="2000"/>
      <c r="AO86" s="2000"/>
      <c r="AP86" s="2000"/>
      <c r="AQ86" s="2000"/>
      <c r="AR86" s="2000"/>
      <c r="AS86" s="2000"/>
      <c r="AT86" s="2000"/>
      <c r="AU86" s="2000"/>
      <c r="AV86" s="2000"/>
      <c r="AW86" s="2000"/>
      <c r="AX86" s="2000"/>
      <c r="AY86" s="2000"/>
      <c r="AZ86" s="2000"/>
      <c r="BA86" s="2000"/>
      <c r="BB86" s="2000"/>
      <c r="BC86" s="2000"/>
      <c r="BD86" s="2000"/>
      <c r="BE86" s="2000"/>
      <c r="BF86" s="2000"/>
      <c r="BG86" s="2000"/>
      <c r="BH86" s="2000"/>
      <c r="BI86" s="2000"/>
      <c r="BJ86" s="2000"/>
      <c r="BK86" s="2000"/>
      <c r="BL86" s="2000"/>
      <c r="BM86" s="2000"/>
      <c r="BN86" s="2000"/>
      <c r="BO86" s="2000"/>
      <c r="BP86" s="2000"/>
      <c r="BQ86" s="2000"/>
      <c r="BR86" s="2000"/>
    </row>
    <row r="87" spans="1:70" s="2012" customFormat="1" ht="11.25" customHeight="1">
      <c r="A87" s="2107" t="s">
        <v>647</v>
      </c>
      <c r="B87" s="2109">
        <f>+B62-B45-B42-B84</f>
        <v>45</v>
      </c>
      <c r="C87" s="2109">
        <f>+C62-C45-C42-C84</f>
        <v>42.537700000000008</v>
      </c>
      <c r="D87" s="2109">
        <f t="shared" ref="D87:E87" si="2">+D62-D45-D42-D84</f>
        <v>64.624224799999993</v>
      </c>
      <c r="E87" s="2109">
        <f t="shared" si="2"/>
        <v>91.44470323840001</v>
      </c>
      <c r="F87" s="2109"/>
      <c r="G87" s="2109"/>
      <c r="H87" s="2109"/>
      <c r="I87" s="2109"/>
      <c r="J87" s="2000"/>
      <c r="K87" s="2000"/>
      <c r="L87" s="2000"/>
      <c r="M87" s="2000"/>
      <c r="N87" s="2000"/>
      <c r="O87" s="2000"/>
      <c r="P87" s="2000"/>
      <c r="Q87" s="2000"/>
      <c r="R87" s="2000"/>
      <c r="S87" s="2000"/>
      <c r="T87" s="2000"/>
      <c r="U87" s="2000"/>
      <c r="V87" s="2000"/>
      <c r="W87" s="2000"/>
      <c r="X87" s="2000"/>
      <c r="Y87" s="2000"/>
      <c r="Z87" s="2000"/>
      <c r="AA87" s="2000"/>
      <c r="AB87" s="2000"/>
      <c r="AC87" s="2000"/>
      <c r="AD87" s="2000"/>
      <c r="AE87" s="2000"/>
      <c r="AF87" s="2000"/>
      <c r="AG87" s="2000"/>
      <c r="AH87" s="2000"/>
      <c r="AI87" s="2000"/>
      <c r="AJ87" s="2000"/>
      <c r="AK87" s="2000"/>
      <c r="AL87" s="2000"/>
      <c r="AM87" s="2000"/>
      <c r="AN87" s="2000"/>
      <c r="AO87" s="2000"/>
      <c r="AP87" s="2000"/>
      <c r="AQ87" s="2000"/>
      <c r="AR87" s="2000"/>
      <c r="AS87" s="2000"/>
      <c r="AT87" s="2000"/>
      <c r="AU87" s="2000"/>
      <c r="AV87" s="2000"/>
      <c r="AW87" s="2000"/>
      <c r="AX87" s="2000"/>
      <c r="AY87" s="2000"/>
      <c r="AZ87" s="2000"/>
      <c r="BA87" s="2000"/>
      <c r="BB87" s="2000"/>
      <c r="BC87" s="2000"/>
      <c r="BD87" s="2000"/>
      <c r="BE87" s="2000"/>
      <c r="BF87" s="2000"/>
      <c r="BG87" s="2000"/>
      <c r="BH87" s="2000"/>
      <c r="BI87" s="2000"/>
      <c r="BJ87" s="2000"/>
      <c r="BK87" s="2000"/>
      <c r="BL87" s="2000"/>
      <c r="BM87" s="2000"/>
      <c r="BN87" s="2000"/>
      <c r="BO87" s="2000"/>
      <c r="BP87" s="2000"/>
      <c r="BQ87" s="2000"/>
      <c r="BR87" s="2000"/>
    </row>
    <row r="88" spans="1:70" s="2012" customFormat="1" ht="11.25" customHeight="1">
      <c r="A88" s="2070" t="str">
        <f>+A63</f>
        <v>Pro forma Share Count</v>
      </c>
      <c r="B88" s="2094">
        <f>+B63</f>
        <v>110.85899999999999</v>
      </c>
      <c r="C88" s="2094">
        <f>+C63</f>
        <v>111.0665635748082</v>
      </c>
      <c r="D88" s="2094">
        <f>+D63</f>
        <v>110.54223900391328</v>
      </c>
      <c r="E88" s="2094">
        <f>+E63</f>
        <v>109.98019824242809</v>
      </c>
      <c r="F88" s="2094"/>
      <c r="G88" s="2094"/>
      <c r="H88" s="2094"/>
      <c r="I88" s="2094"/>
      <c r="J88" s="2000"/>
      <c r="K88" s="2000"/>
      <c r="L88" s="2000"/>
      <c r="M88" s="2000"/>
      <c r="N88" s="2000"/>
      <c r="O88" s="2000"/>
      <c r="P88" s="2000"/>
      <c r="Q88" s="2000"/>
      <c r="R88" s="2000"/>
      <c r="S88" s="2000"/>
      <c r="T88" s="2000"/>
      <c r="U88" s="2000"/>
      <c r="V88" s="2000"/>
      <c r="W88" s="2000"/>
      <c r="X88" s="2000"/>
      <c r="Y88" s="2000"/>
      <c r="Z88" s="2000"/>
      <c r="AA88" s="2000"/>
      <c r="AB88" s="2000"/>
      <c r="AC88" s="2000"/>
      <c r="AD88" s="2000"/>
      <c r="AE88" s="2000"/>
      <c r="AF88" s="2000"/>
      <c r="AG88" s="2000"/>
      <c r="AH88" s="2000"/>
      <c r="AI88" s="2000"/>
      <c r="AJ88" s="2000"/>
      <c r="AK88" s="2000"/>
      <c r="AL88" s="2000"/>
      <c r="AM88" s="2000"/>
      <c r="AN88" s="2000"/>
      <c r="AO88" s="2000"/>
      <c r="AP88" s="2000"/>
      <c r="AQ88" s="2000"/>
      <c r="AR88" s="2000"/>
      <c r="AS88" s="2000"/>
      <c r="AT88" s="2000"/>
      <c r="AU88" s="2000"/>
      <c r="AV88" s="2000"/>
      <c r="AW88" s="2000"/>
      <c r="AX88" s="2000"/>
      <c r="AY88" s="2000"/>
      <c r="AZ88" s="2000"/>
      <c r="BA88" s="2000"/>
      <c r="BB88" s="2000"/>
      <c r="BC88" s="2000"/>
      <c r="BD88" s="2000"/>
      <c r="BE88" s="2000"/>
      <c r="BF88" s="2000"/>
      <c r="BG88" s="2000"/>
      <c r="BH88" s="2000"/>
      <c r="BI88" s="2000"/>
      <c r="BJ88" s="2000"/>
      <c r="BK88" s="2000"/>
      <c r="BL88" s="2000"/>
      <c r="BM88" s="2000"/>
      <c r="BN88" s="2000"/>
      <c r="BO88" s="2000"/>
      <c r="BP88" s="2000"/>
      <c r="BQ88" s="2000"/>
      <c r="BR88" s="2000"/>
    </row>
    <row r="89" spans="1:70" s="2012" customFormat="1" ht="11.25" customHeight="1">
      <c r="A89" s="2110" t="s">
        <v>648</v>
      </c>
      <c r="B89" s="2105">
        <f>B87/B88</f>
        <v>0.40592103482802483</v>
      </c>
      <c r="C89" s="2105">
        <f>C87/C88</f>
        <v>0.38299285249200138</v>
      </c>
      <c r="D89" s="2105">
        <f>D87/D88</f>
        <v>0.58461114396020375</v>
      </c>
      <c r="E89" s="2105">
        <f>E87/E88</f>
        <v>0.83146516099952372</v>
      </c>
      <c r="F89" s="2105"/>
      <c r="G89" s="2105"/>
      <c r="H89" s="2105"/>
      <c r="I89" s="2105"/>
      <c r="J89" s="2000"/>
      <c r="K89" s="2000"/>
      <c r="L89" s="2000"/>
      <c r="M89" s="2000"/>
      <c r="N89" s="2000"/>
      <c r="O89" s="2000"/>
      <c r="P89" s="2000"/>
      <c r="Q89" s="2000"/>
      <c r="R89" s="2000"/>
      <c r="S89" s="2000"/>
      <c r="T89" s="2000"/>
      <c r="U89" s="2000"/>
      <c r="V89" s="2000"/>
      <c r="W89" s="2000"/>
      <c r="X89" s="2000"/>
      <c r="Y89" s="2000"/>
      <c r="Z89" s="2000"/>
      <c r="AA89" s="2000"/>
      <c r="AB89" s="2000"/>
      <c r="AC89" s="2000"/>
      <c r="AD89" s="2000"/>
      <c r="AE89" s="2000"/>
      <c r="AF89" s="2000"/>
      <c r="AG89" s="2000"/>
      <c r="AH89" s="2000"/>
      <c r="AI89" s="2000"/>
      <c r="AJ89" s="2000"/>
      <c r="AK89" s="2000"/>
      <c r="AL89" s="2000"/>
      <c r="AM89" s="2000"/>
      <c r="AN89" s="2000"/>
      <c r="AO89" s="2000"/>
      <c r="AP89" s="2000"/>
      <c r="AQ89" s="2000"/>
      <c r="AR89" s="2000"/>
      <c r="AS89" s="2000"/>
      <c r="AT89" s="2000"/>
      <c r="AU89" s="2000"/>
      <c r="AV89" s="2000"/>
      <c r="AW89" s="2000"/>
      <c r="AX89" s="2000"/>
      <c r="AY89" s="2000"/>
      <c r="AZ89" s="2000"/>
      <c r="BA89" s="2000"/>
      <c r="BB89" s="2000"/>
      <c r="BC89" s="2000"/>
      <c r="BD89" s="2000"/>
      <c r="BE89" s="2000"/>
      <c r="BF89" s="2000"/>
      <c r="BG89" s="2000"/>
      <c r="BH89" s="2000"/>
      <c r="BI89" s="2000"/>
      <c r="BJ89" s="2000"/>
      <c r="BK89" s="2000"/>
      <c r="BL89" s="2000"/>
      <c r="BM89" s="2000"/>
      <c r="BN89" s="2000"/>
      <c r="BO89" s="2000"/>
      <c r="BP89" s="2000"/>
      <c r="BQ89" s="2000"/>
      <c r="BR89" s="2000"/>
    </row>
    <row r="90" spans="1:70" s="2012" customFormat="1" ht="11.25" hidden="1" customHeight="1" outlineLevel="1">
      <c r="A90" s="2115" t="s">
        <v>649</v>
      </c>
      <c r="B90" s="2111"/>
      <c r="C90" s="2111">
        <f>C87/C82</f>
        <v>3.2721307692307695E-2</v>
      </c>
      <c r="D90" s="2111">
        <f>D87/D82</f>
        <v>4.9710942153846152E-2</v>
      </c>
      <c r="E90" s="2111">
        <f>E87/E82</f>
        <v>7.0342079414153852E-2</v>
      </c>
      <c r="F90" s="2111"/>
      <c r="G90" s="2111"/>
      <c r="H90" s="2111"/>
      <c r="I90" s="2111"/>
      <c r="J90" s="2000"/>
      <c r="K90" s="2000"/>
      <c r="L90" s="2000"/>
      <c r="M90" s="2000"/>
      <c r="N90" s="2000"/>
      <c r="O90" s="2000"/>
      <c r="P90" s="2000"/>
      <c r="Q90" s="2000"/>
      <c r="R90" s="2000"/>
      <c r="S90" s="2000"/>
      <c r="T90" s="2000"/>
      <c r="U90" s="2000"/>
      <c r="V90" s="2000"/>
      <c r="W90" s="2000"/>
      <c r="X90" s="2000"/>
      <c r="Y90" s="2000"/>
      <c r="Z90" s="2000"/>
      <c r="AA90" s="2000"/>
      <c r="AB90" s="2000"/>
      <c r="AC90" s="2000"/>
      <c r="AD90" s="2000"/>
      <c r="AE90" s="2000"/>
      <c r="AF90" s="2000"/>
      <c r="AG90" s="2000"/>
      <c r="AH90" s="2000"/>
      <c r="AI90" s="2000"/>
      <c r="AJ90" s="2000"/>
      <c r="AK90" s="2000"/>
      <c r="AL90" s="2000"/>
      <c r="AM90" s="2000"/>
      <c r="AN90" s="2000"/>
      <c r="AO90" s="2000"/>
      <c r="AP90" s="2000"/>
      <c r="AQ90" s="2000"/>
      <c r="AR90" s="2000"/>
      <c r="AS90" s="2000"/>
      <c r="AT90" s="2000"/>
      <c r="AU90" s="2000"/>
      <c r="AV90" s="2000"/>
      <c r="AW90" s="2000"/>
      <c r="AX90" s="2000"/>
      <c r="AY90" s="2000"/>
      <c r="AZ90" s="2000"/>
      <c r="BA90" s="2000"/>
      <c r="BB90" s="2000"/>
      <c r="BC90" s="2000"/>
      <c r="BD90" s="2000"/>
      <c r="BE90" s="2000"/>
      <c r="BF90" s="2000"/>
      <c r="BG90" s="2000"/>
      <c r="BH90" s="2000"/>
      <c r="BI90" s="2000"/>
      <c r="BJ90" s="2000"/>
      <c r="BK90" s="2000"/>
      <c r="BL90" s="2000"/>
      <c r="BM90" s="2000"/>
      <c r="BN90" s="2000"/>
      <c r="BO90" s="2000"/>
      <c r="BP90" s="2000"/>
      <c r="BQ90" s="2000"/>
      <c r="BR90" s="2000"/>
    </row>
    <row r="91" spans="1:70" s="2012" customFormat="1" ht="11.25" customHeight="1" collapsed="1">
      <c r="A91" s="2014"/>
      <c r="B91" s="2112"/>
      <c r="C91" s="2112"/>
      <c r="D91" s="2112"/>
      <c r="E91" s="2112"/>
      <c r="F91" s="2112"/>
      <c r="G91" s="2112"/>
      <c r="H91" s="2112"/>
      <c r="I91" s="2112"/>
      <c r="J91" s="2000"/>
      <c r="K91" s="2000"/>
      <c r="L91" s="2000"/>
      <c r="M91" s="2000"/>
      <c r="N91" s="2000"/>
      <c r="O91" s="2000"/>
      <c r="P91" s="2000"/>
      <c r="Q91" s="2000"/>
      <c r="R91" s="2000"/>
      <c r="S91" s="2000"/>
      <c r="T91" s="2000"/>
      <c r="U91" s="2000"/>
      <c r="V91" s="2000"/>
      <c r="W91" s="2000"/>
      <c r="X91" s="2000"/>
      <c r="Y91" s="2000"/>
      <c r="Z91" s="2000"/>
      <c r="AA91" s="2000"/>
      <c r="AB91" s="2000"/>
      <c r="AC91" s="2000"/>
      <c r="AD91" s="2000"/>
      <c r="AE91" s="2000"/>
      <c r="AF91" s="2000"/>
      <c r="AG91" s="2000"/>
      <c r="AH91" s="2000"/>
      <c r="AI91" s="2000"/>
      <c r="AJ91" s="2000"/>
      <c r="AK91" s="2000"/>
      <c r="AL91" s="2000"/>
      <c r="AM91" s="2000"/>
      <c r="AN91" s="2000"/>
      <c r="AO91" s="2000"/>
      <c r="AP91" s="2000"/>
      <c r="AQ91" s="2000"/>
      <c r="AR91" s="2000"/>
      <c r="AS91" s="2000"/>
      <c r="AT91" s="2000"/>
      <c r="AU91" s="2000"/>
      <c r="AV91" s="2000"/>
      <c r="AW91" s="2000"/>
      <c r="AX91" s="2000"/>
      <c r="AY91" s="2000"/>
      <c r="AZ91" s="2000"/>
      <c r="BA91" s="2000"/>
      <c r="BB91" s="2000"/>
      <c r="BC91" s="2000"/>
      <c r="BD91" s="2000"/>
      <c r="BE91" s="2000"/>
      <c r="BF91" s="2000"/>
      <c r="BG91" s="2000"/>
      <c r="BH91" s="2000"/>
      <c r="BI91" s="2000"/>
      <c r="BJ91" s="2000"/>
      <c r="BK91" s="2000"/>
      <c r="BL91" s="2000"/>
      <c r="BM91" s="2000"/>
      <c r="BN91" s="2000"/>
      <c r="BO91" s="2000"/>
      <c r="BP91" s="2000"/>
      <c r="BQ91" s="2000"/>
      <c r="BR91" s="2000"/>
    </row>
    <row r="92" spans="1:70" s="2012" customFormat="1">
      <c r="A92" s="2000"/>
      <c r="B92" s="2000"/>
      <c r="C92" s="2000"/>
      <c r="D92" s="2000"/>
      <c r="E92" s="2000"/>
      <c r="F92" s="2000"/>
      <c r="G92" s="2002"/>
      <c r="H92" s="2000"/>
      <c r="I92" s="2000"/>
      <c r="J92" s="2000"/>
      <c r="K92" s="2000"/>
      <c r="L92" s="2000"/>
      <c r="M92" s="2000"/>
      <c r="N92" s="2000"/>
      <c r="O92" s="2000"/>
      <c r="P92" s="2000"/>
      <c r="Q92" s="2000"/>
      <c r="R92" s="2000"/>
      <c r="S92" s="2000"/>
      <c r="T92" s="2000"/>
      <c r="U92" s="2000"/>
      <c r="V92" s="2000"/>
      <c r="W92" s="2000"/>
      <c r="X92" s="2000"/>
      <c r="Y92" s="2000"/>
      <c r="Z92" s="2000"/>
      <c r="AA92" s="2000"/>
      <c r="AB92" s="2000"/>
      <c r="AC92" s="2000"/>
      <c r="AD92" s="2000"/>
      <c r="AE92" s="2000"/>
      <c r="AF92" s="2000"/>
      <c r="AG92" s="2000"/>
      <c r="AH92" s="2000"/>
      <c r="AI92" s="2000"/>
      <c r="AJ92" s="2000"/>
      <c r="AK92" s="2000"/>
      <c r="AL92" s="2000"/>
      <c r="AM92" s="2000"/>
      <c r="AN92" s="2000"/>
      <c r="AO92" s="2000"/>
      <c r="AP92" s="2000"/>
      <c r="AQ92" s="2000"/>
      <c r="AR92" s="2000"/>
      <c r="AS92" s="2000"/>
      <c r="AT92" s="2000"/>
      <c r="AU92" s="2000"/>
      <c r="AV92" s="2000"/>
      <c r="AW92" s="2000"/>
      <c r="AX92" s="2000"/>
      <c r="AY92" s="2000"/>
      <c r="AZ92" s="2000"/>
      <c r="BA92" s="2000"/>
      <c r="BB92" s="2000"/>
      <c r="BC92" s="2000"/>
      <c r="BD92" s="2000"/>
      <c r="BE92" s="2000"/>
      <c r="BF92" s="2000"/>
      <c r="BG92" s="2000"/>
      <c r="BH92" s="2000"/>
      <c r="BI92" s="2000"/>
      <c r="BJ92" s="2000"/>
      <c r="BK92" s="2000"/>
      <c r="BL92" s="2000"/>
      <c r="BM92" s="2000"/>
      <c r="BN92" s="2000"/>
      <c r="BO92" s="2000"/>
      <c r="BP92" s="2000"/>
      <c r="BQ92" s="2000"/>
      <c r="BR92" s="2000"/>
    </row>
    <row r="93" spans="1:70" s="2012" customFormat="1">
      <c r="A93" s="2000"/>
      <c r="B93" s="2000"/>
      <c r="C93" s="2000"/>
      <c r="D93" s="2000"/>
      <c r="E93" s="2000"/>
      <c r="F93" s="2000"/>
      <c r="G93" s="2002"/>
      <c r="H93" s="2000"/>
      <c r="I93" s="2000"/>
      <c r="J93" s="2000"/>
      <c r="K93" s="2000"/>
      <c r="L93" s="2000"/>
      <c r="M93" s="2000"/>
      <c r="N93" s="2000"/>
      <c r="O93" s="2000"/>
      <c r="P93" s="2000"/>
      <c r="Q93" s="2000"/>
      <c r="R93" s="2000"/>
      <c r="S93" s="2000"/>
      <c r="T93" s="2000"/>
      <c r="U93" s="2000"/>
      <c r="V93" s="2000"/>
      <c r="W93" s="2000"/>
      <c r="X93" s="2000"/>
      <c r="Y93" s="2000"/>
      <c r="Z93" s="2000"/>
      <c r="AA93" s="2000"/>
      <c r="AB93" s="2000"/>
      <c r="AC93" s="2000"/>
      <c r="AD93" s="2000"/>
      <c r="AE93" s="2000"/>
      <c r="AF93" s="2000"/>
      <c r="AG93" s="2000"/>
      <c r="AH93" s="2000"/>
      <c r="AI93" s="2000"/>
      <c r="AJ93" s="2000"/>
      <c r="AK93" s="2000"/>
      <c r="AL93" s="2000"/>
      <c r="AM93" s="2000"/>
      <c r="AN93" s="2000"/>
      <c r="AO93" s="2000"/>
      <c r="AP93" s="2000"/>
      <c r="AQ93" s="2000"/>
      <c r="AR93" s="2000"/>
      <c r="AS93" s="2000"/>
      <c r="AT93" s="2000"/>
      <c r="AU93" s="2000"/>
      <c r="AV93" s="2000"/>
      <c r="AW93" s="2000"/>
      <c r="AX93" s="2000"/>
      <c r="AY93" s="2000"/>
      <c r="AZ93" s="2000"/>
      <c r="BA93" s="2000"/>
      <c r="BB93" s="2000"/>
      <c r="BC93" s="2000"/>
      <c r="BD93" s="2000"/>
      <c r="BE93" s="2000"/>
      <c r="BF93" s="2000"/>
      <c r="BG93" s="2000"/>
      <c r="BH93" s="2000"/>
      <c r="BI93" s="2000"/>
      <c r="BJ93" s="2000"/>
      <c r="BK93" s="2000"/>
      <c r="BL93" s="2000"/>
      <c r="BM93" s="2000"/>
      <c r="BN93" s="2000"/>
      <c r="BO93" s="2000"/>
      <c r="BP93" s="2000"/>
      <c r="BQ93" s="2000"/>
      <c r="BR93" s="2000"/>
    </row>
    <row r="94" spans="1:70" s="2012" customFormat="1">
      <c r="A94" s="2000"/>
      <c r="B94" s="2000"/>
      <c r="C94" s="2000"/>
      <c r="D94" s="2000"/>
      <c r="E94" s="2000"/>
      <c r="F94" s="2000"/>
      <c r="G94" s="2002"/>
      <c r="H94" s="2000"/>
      <c r="I94" s="2000"/>
      <c r="J94" s="2000"/>
      <c r="K94" s="2000"/>
      <c r="L94" s="2000"/>
      <c r="M94" s="2000"/>
      <c r="N94" s="2000"/>
      <c r="O94" s="2000"/>
      <c r="P94" s="2000"/>
      <c r="Q94" s="2000"/>
      <c r="R94" s="2000"/>
      <c r="S94" s="2000"/>
      <c r="T94" s="2000"/>
      <c r="U94" s="2000"/>
      <c r="V94" s="2000"/>
      <c r="W94" s="2000"/>
      <c r="X94" s="2000"/>
      <c r="Y94" s="2000"/>
      <c r="Z94" s="2000"/>
      <c r="AA94" s="2000"/>
      <c r="AB94" s="2000"/>
      <c r="AC94" s="2000"/>
      <c r="AD94" s="2000"/>
      <c r="AE94" s="2000"/>
      <c r="AF94" s="2000"/>
      <c r="AG94" s="2000"/>
      <c r="AH94" s="2000"/>
      <c r="AI94" s="2000"/>
      <c r="AJ94" s="2000"/>
      <c r="AK94" s="2000"/>
      <c r="AL94" s="2000"/>
      <c r="AM94" s="2000"/>
      <c r="AN94" s="2000"/>
      <c r="AO94" s="2000"/>
      <c r="AP94" s="2000"/>
      <c r="AQ94" s="2000"/>
      <c r="AR94" s="2000"/>
      <c r="AS94" s="2000"/>
      <c r="AT94" s="2000"/>
      <c r="AU94" s="2000"/>
      <c r="AV94" s="2000"/>
      <c r="AW94" s="2000"/>
      <c r="AX94" s="2000"/>
      <c r="AY94" s="2000"/>
      <c r="AZ94" s="2000"/>
      <c r="BA94" s="2000"/>
      <c r="BB94" s="2000"/>
      <c r="BC94" s="2000"/>
      <c r="BD94" s="2000"/>
      <c r="BE94" s="2000"/>
      <c r="BF94" s="2000"/>
      <c r="BG94" s="2000"/>
      <c r="BH94" s="2000"/>
      <c r="BI94" s="2000"/>
      <c r="BJ94" s="2000"/>
      <c r="BK94" s="2000"/>
      <c r="BL94" s="2000"/>
      <c r="BM94" s="2000"/>
      <c r="BN94" s="2000"/>
      <c r="BO94" s="2000"/>
      <c r="BP94" s="2000"/>
      <c r="BQ94" s="2000"/>
      <c r="BR94" s="2000"/>
    </row>
    <row r="95" spans="1:70" s="2012" customFormat="1">
      <c r="A95" s="2000"/>
      <c r="B95" s="2000"/>
      <c r="C95" s="2000"/>
      <c r="D95" s="2000"/>
      <c r="E95" s="2000"/>
      <c r="F95" s="2000"/>
      <c r="G95" s="2002"/>
      <c r="H95" s="2000"/>
      <c r="I95" s="2000"/>
      <c r="J95" s="2000"/>
      <c r="K95" s="2000"/>
      <c r="L95" s="2000"/>
      <c r="M95" s="2000"/>
      <c r="N95" s="2000"/>
      <c r="O95" s="2000"/>
      <c r="P95" s="2000"/>
      <c r="Q95" s="2000"/>
      <c r="R95" s="2000"/>
      <c r="S95" s="2000"/>
      <c r="T95" s="2000"/>
      <c r="U95" s="2000"/>
      <c r="V95" s="2000"/>
      <c r="W95" s="2000"/>
      <c r="X95" s="2000"/>
      <c r="Y95" s="2000"/>
      <c r="Z95" s="2000"/>
      <c r="AA95" s="2000"/>
      <c r="AB95" s="2000"/>
      <c r="AC95" s="2000"/>
      <c r="AD95" s="2000"/>
      <c r="AE95" s="2000"/>
      <c r="AF95" s="2000"/>
      <c r="AG95" s="2000"/>
      <c r="AH95" s="2000"/>
      <c r="AI95" s="2000"/>
      <c r="AJ95" s="2000"/>
      <c r="AK95" s="2000"/>
      <c r="AL95" s="2000"/>
      <c r="AM95" s="2000"/>
      <c r="AN95" s="2000"/>
      <c r="AO95" s="2000"/>
      <c r="AP95" s="2000"/>
      <c r="AQ95" s="2000"/>
      <c r="AR95" s="2000"/>
      <c r="AS95" s="2000"/>
      <c r="AT95" s="2000"/>
      <c r="AU95" s="2000"/>
      <c r="AV95" s="2000"/>
      <c r="AW95" s="2000"/>
      <c r="AX95" s="2000"/>
      <c r="AY95" s="2000"/>
      <c r="AZ95" s="2000"/>
      <c r="BA95" s="2000"/>
      <c r="BB95" s="2000"/>
      <c r="BC95" s="2000"/>
      <c r="BD95" s="2000"/>
      <c r="BE95" s="2000"/>
      <c r="BF95" s="2000"/>
      <c r="BG95" s="2000"/>
      <c r="BH95" s="2000"/>
      <c r="BI95" s="2000"/>
      <c r="BJ95" s="2000"/>
      <c r="BK95" s="2000"/>
      <c r="BL95" s="2000"/>
      <c r="BM95" s="2000"/>
      <c r="BN95" s="2000"/>
      <c r="BO95" s="2000"/>
      <c r="BP95" s="2000"/>
      <c r="BQ95" s="2000"/>
      <c r="BR95" s="2000"/>
    </row>
    <row r="96" spans="1:70" s="2012" customFormat="1">
      <c r="C96" s="2012" t="s">
        <v>666</v>
      </c>
      <c r="D96" s="2000" t="s">
        <v>667</v>
      </c>
      <c r="E96" s="2000" t="s">
        <v>668</v>
      </c>
      <c r="F96" s="2002"/>
      <c r="G96" s="2002"/>
      <c r="J96" s="2000"/>
      <c r="K96" s="2000"/>
      <c r="L96" s="2000"/>
      <c r="M96" s="2000"/>
      <c r="N96" s="2000"/>
      <c r="O96" s="2000"/>
      <c r="P96" s="2000"/>
      <c r="Q96" s="2000"/>
      <c r="R96" s="2000"/>
      <c r="S96" s="2000"/>
      <c r="T96" s="2000"/>
      <c r="U96" s="2000"/>
      <c r="V96" s="2000"/>
      <c r="W96" s="2000"/>
      <c r="X96" s="2000"/>
      <c r="Y96" s="2000"/>
      <c r="Z96" s="2000"/>
      <c r="AA96" s="2000"/>
      <c r="AB96" s="2000"/>
      <c r="AC96" s="2000"/>
      <c r="AD96" s="2000"/>
      <c r="AE96" s="2000"/>
      <c r="AF96" s="2000"/>
      <c r="AG96" s="2000"/>
      <c r="AH96" s="2000"/>
      <c r="AI96" s="2000"/>
      <c r="AJ96" s="2000"/>
      <c r="AK96" s="2000"/>
      <c r="AL96" s="2000"/>
      <c r="AM96" s="2000"/>
      <c r="AN96" s="2000"/>
      <c r="AO96" s="2000"/>
      <c r="AP96" s="2000"/>
      <c r="AQ96" s="2000"/>
      <c r="AR96" s="2000"/>
      <c r="AS96" s="2000"/>
      <c r="AT96" s="2000"/>
      <c r="AU96" s="2000"/>
      <c r="AV96" s="2000"/>
      <c r="AW96" s="2000"/>
      <c r="AX96" s="2000"/>
      <c r="AY96" s="2000"/>
      <c r="AZ96" s="2000"/>
      <c r="BA96" s="2000"/>
      <c r="BB96" s="2000"/>
      <c r="BC96" s="2000"/>
      <c r="BD96" s="2000"/>
      <c r="BE96" s="2000"/>
      <c r="BF96" s="2000"/>
      <c r="BG96" s="2000"/>
      <c r="BH96" s="2000"/>
      <c r="BI96" s="2000"/>
      <c r="BJ96" s="2000"/>
      <c r="BK96" s="2000"/>
      <c r="BL96" s="2000"/>
      <c r="BM96" s="2000"/>
      <c r="BN96" s="2000"/>
      <c r="BO96" s="2000"/>
      <c r="BP96" s="2000"/>
      <c r="BQ96" s="2000"/>
      <c r="BR96" s="2000"/>
    </row>
    <row r="97" spans="1:70" s="2012" customFormat="1">
      <c r="A97" s="2085" t="s">
        <v>582</v>
      </c>
      <c r="B97" s="2014"/>
      <c r="C97" s="2132">
        <f>F19</f>
        <v>2006.1089999999999</v>
      </c>
      <c r="D97" s="2132">
        <v>1849.509</v>
      </c>
      <c r="E97" s="2132">
        <v>1549.509</v>
      </c>
      <c r="F97" s="2002"/>
      <c r="J97" s="2000"/>
      <c r="K97" s="2000"/>
      <c r="L97" s="2000"/>
      <c r="M97" s="2000"/>
      <c r="N97" s="2000"/>
      <c r="O97" s="2000"/>
      <c r="P97" s="2000"/>
      <c r="Q97" s="2000"/>
      <c r="R97" s="2000"/>
      <c r="S97" s="2000"/>
      <c r="T97" s="2000"/>
      <c r="U97" s="2000"/>
      <c r="V97" s="2000"/>
      <c r="W97" s="2000"/>
      <c r="X97" s="2000"/>
      <c r="Y97" s="2000"/>
      <c r="Z97" s="2000"/>
      <c r="AA97" s="2000"/>
      <c r="AB97" s="2000"/>
      <c r="AC97" s="2000"/>
      <c r="AD97" s="2000"/>
      <c r="AE97" s="2000"/>
      <c r="AF97" s="2000"/>
      <c r="AG97" s="2000"/>
      <c r="AH97" s="2000"/>
      <c r="AI97" s="2000"/>
      <c r="AJ97" s="2000"/>
      <c r="AK97" s="2000"/>
      <c r="AL97" s="2000"/>
      <c r="AM97" s="2000"/>
      <c r="AN97" s="2000"/>
      <c r="AO97" s="2000"/>
      <c r="AP97" s="2000"/>
      <c r="AQ97" s="2000"/>
      <c r="AR97" s="2000"/>
      <c r="AS97" s="2000"/>
      <c r="AT97" s="2000"/>
      <c r="AU97" s="2000"/>
      <c r="AV97" s="2000"/>
      <c r="AW97" s="2000"/>
      <c r="AX97" s="2000"/>
      <c r="AY97" s="2000"/>
      <c r="AZ97" s="2000"/>
      <c r="BA97" s="2000"/>
      <c r="BB97" s="2000"/>
      <c r="BC97" s="2000"/>
      <c r="BD97" s="2000"/>
      <c r="BE97" s="2000"/>
      <c r="BF97" s="2000"/>
      <c r="BG97" s="2000"/>
      <c r="BH97" s="2000"/>
      <c r="BI97" s="2000"/>
      <c r="BJ97" s="2000"/>
      <c r="BK97" s="2000"/>
      <c r="BL97" s="2000"/>
      <c r="BM97" s="2000"/>
      <c r="BN97" s="2000"/>
      <c r="BO97" s="2000"/>
      <c r="BP97" s="2000"/>
      <c r="BQ97" s="2000"/>
      <c r="BR97" s="2000"/>
    </row>
    <row r="98" spans="1:70" s="2012" customFormat="1">
      <c r="A98" s="2085" t="s">
        <v>584</v>
      </c>
      <c r="B98" s="2014"/>
      <c r="C98" s="2132">
        <f>BS!BO10</f>
        <v>202.13399999999999</v>
      </c>
      <c r="D98" s="2132">
        <f>BS!BU10</f>
        <v>452.65784870023595</v>
      </c>
      <c r="E98" s="2132">
        <f>BS!CA10</f>
        <v>502.35963436609325</v>
      </c>
      <c r="F98" s="2002"/>
      <c r="J98" s="2000"/>
      <c r="K98" s="2000"/>
      <c r="L98" s="2000"/>
      <c r="M98" s="2000"/>
      <c r="N98" s="2000"/>
      <c r="O98" s="2000"/>
      <c r="P98" s="2000"/>
      <c r="Q98" s="2000"/>
      <c r="R98" s="2000"/>
      <c r="S98" s="2000"/>
      <c r="T98" s="2000"/>
      <c r="U98" s="2000"/>
      <c r="V98" s="2000"/>
      <c r="W98" s="2000"/>
      <c r="X98" s="2000"/>
      <c r="Y98" s="2000"/>
      <c r="Z98" s="2000"/>
      <c r="AA98" s="2000"/>
      <c r="AB98" s="2000"/>
      <c r="AC98" s="2000"/>
      <c r="AD98" s="2000"/>
      <c r="AE98" s="2000"/>
      <c r="AF98" s="2000"/>
      <c r="AG98" s="2000"/>
      <c r="AH98" s="2000"/>
      <c r="AI98" s="2000"/>
      <c r="AJ98" s="2000"/>
      <c r="AK98" s="2000"/>
      <c r="AL98" s="2000"/>
      <c r="AM98" s="2000"/>
      <c r="AN98" s="2000"/>
      <c r="AO98" s="2000"/>
      <c r="AP98" s="2000"/>
      <c r="AQ98" s="2000"/>
      <c r="AR98" s="2000"/>
      <c r="AS98" s="2000"/>
      <c r="AT98" s="2000"/>
      <c r="AU98" s="2000"/>
      <c r="AV98" s="2000"/>
      <c r="AW98" s="2000"/>
      <c r="AX98" s="2000"/>
      <c r="AY98" s="2000"/>
      <c r="AZ98" s="2000"/>
      <c r="BA98" s="2000"/>
      <c r="BB98" s="2000"/>
      <c r="BC98" s="2000"/>
      <c r="BD98" s="2000"/>
      <c r="BE98" s="2000"/>
      <c r="BF98" s="2000"/>
      <c r="BG98" s="2000"/>
      <c r="BH98" s="2000"/>
      <c r="BI98" s="2000"/>
      <c r="BJ98" s="2000"/>
      <c r="BK98" s="2000"/>
      <c r="BL98" s="2000"/>
      <c r="BM98" s="2000"/>
      <c r="BN98" s="2000"/>
      <c r="BO98" s="2000"/>
      <c r="BP98" s="2000"/>
      <c r="BQ98" s="2000"/>
      <c r="BR98" s="2000"/>
    </row>
    <row r="99" spans="1:70" s="2012" customFormat="1">
      <c r="A99" s="2085" t="s">
        <v>650</v>
      </c>
      <c r="B99" s="2014"/>
      <c r="C99" s="2133">
        <f>SUM(C97-C98)</f>
        <v>1803.9749999999999</v>
      </c>
      <c r="D99" s="2133">
        <f t="shared" ref="D99:E99" si="3">SUM(D97-D98)</f>
        <v>1396.8511512997641</v>
      </c>
      <c r="E99" s="2133">
        <f t="shared" si="3"/>
        <v>1047.1493656339067</v>
      </c>
      <c r="F99" s="2002"/>
      <c r="J99" s="2000"/>
      <c r="K99" s="2000"/>
      <c r="L99" s="2000"/>
      <c r="M99" s="2000"/>
      <c r="N99" s="2000"/>
      <c r="O99" s="2000"/>
      <c r="P99" s="2000"/>
      <c r="Q99" s="2000"/>
      <c r="R99" s="2000"/>
      <c r="S99" s="2000"/>
      <c r="T99" s="2000"/>
      <c r="U99" s="2000"/>
      <c r="V99" s="2000"/>
      <c r="W99" s="2000"/>
      <c r="X99" s="2000"/>
      <c r="Y99" s="2000"/>
      <c r="Z99" s="2000"/>
      <c r="AA99" s="2000"/>
      <c r="AB99" s="2000"/>
      <c r="AC99" s="2000"/>
      <c r="AD99" s="2000"/>
      <c r="AE99" s="2000"/>
      <c r="AF99" s="2000"/>
      <c r="AG99" s="2000"/>
      <c r="AH99" s="2000"/>
      <c r="AI99" s="2000"/>
      <c r="AJ99" s="2000"/>
      <c r="AK99" s="2000"/>
      <c r="AL99" s="2000"/>
      <c r="AM99" s="2000"/>
      <c r="AN99" s="2000"/>
      <c r="AO99" s="2000"/>
      <c r="AP99" s="2000"/>
      <c r="AQ99" s="2000"/>
      <c r="AR99" s="2000"/>
      <c r="AS99" s="2000"/>
      <c r="AT99" s="2000"/>
      <c r="AU99" s="2000"/>
      <c r="AV99" s="2000"/>
      <c r="AW99" s="2000"/>
      <c r="AX99" s="2000"/>
      <c r="AY99" s="2000"/>
      <c r="AZ99" s="2000"/>
      <c r="BA99" s="2000"/>
      <c r="BB99" s="2000"/>
      <c r="BC99" s="2000"/>
      <c r="BD99" s="2000"/>
      <c r="BE99" s="2000"/>
      <c r="BF99" s="2000"/>
      <c r="BG99" s="2000"/>
      <c r="BH99" s="2000"/>
      <c r="BI99" s="2000"/>
      <c r="BJ99" s="2000"/>
      <c r="BK99" s="2000"/>
      <c r="BL99" s="2000"/>
      <c r="BM99" s="2000"/>
      <c r="BN99" s="2000"/>
      <c r="BO99" s="2000"/>
      <c r="BP99" s="2000"/>
      <c r="BQ99" s="2000"/>
      <c r="BR99" s="2000"/>
    </row>
    <row r="100" spans="1:70" s="2012" customFormat="1">
      <c r="A100" s="2085" t="s">
        <v>583</v>
      </c>
      <c r="B100" s="2014"/>
      <c r="C100" s="2132">
        <f>IS!BO24</f>
        <v>480.44567903009971</v>
      </c>
      <c r="D100" s="2132">
        <f>IS!BU24</f>
        <v>625.2227212411816</v>
      </c>
      <c r="E100" s="2132">
        <f>IS!CA24</f>
        <v>707.14589459606816</v>
      </c>
      <c r="F100" s="2002"/>
      <c r="J100" s="2000"/>
      <c r="K100" s="2000"/>
      <c r="L100" s="2000"/>
      <c r="M100" s="2000"/>
      <c r="N100" s="2000"/>
      <c r="O100" s="2000"/>
      <c r="P100" s="2000"/>
      <c r="Q100" s="2000"/>
      <c r="R100" s="2000"/>
      <c r="S100" s="2000"/>
      <c r="T100" s="2000"/>
      <c r="U100" s="2000"/>
      <c r="V100" s="2000"/>
      <c r="W100" s="2000"/>
      <c r="X100" s="2000"/>
      <c r="Y100" s="2000"/>
      <c r="Z100" s="2000"/>
      <c r="AA100" s="2000"/>
      <c r="AB100" s="2000"/>
      <c r="AC100" s="2000"/>
      <c r="AD100" s="2000"/>
      <c r="AE100" s="2000"/>
      <c r="AF100" s="2000"/>
      <c r="AG100" s="2000"/>
      <c r="AH100" s="2000"/>
      <c r="AI100" s="2000"/>
      <c r="AJ100" s="2000"/>
      <c r="AK100" s="2000"/>
      <c r="AL100" s="2000"/>
      <c r="AM100" s="2000"/>
      <c r="AN100" s="2000"/>
      <c r="AO100" s="2000"/>
      <c r="AP100" s="2000"/>
      <c r="AQ100" s="2000"/>
      <c r="AR100" s="2000"/>
      <c r="AS100" s="2000"/>
      <c r="AT100" s="2000"/>
      <c r="AU100" s="2000"/>
      <c r="AV100" s="2000"/>
      <c r="AW100" s="2000"/>
      <c r="AX100" s="2000"/>
      <c r="AY100" s="2000"/>
      <c r="AZ100" s="2000"/>
      <c r="BA100" s="2000"/>
      <c r="BB100" s="2000"/>
      <c r="BC100" s="2000"/>
      <c r="BD100" s="2000"/>
      <c r="BE100" s="2000"/>
      <c r="BF100" s="2000"/>
      <c r="BG100" s="2000"/>
      <c r="BH100" s="2000"/>
      <c r="BI100" s="2000"/>
      <c r="BJ100" s="2000"/>
      <c r="BK100" s="2000"/>
      <c r="BL100" s="2000"/>
      <c r="BM100" s="2000"/>
      <c r="BN100" s="2000"/>
      <c r="BO100" s="2000"/>
      <c r="BP100" s="2000"/>
      <c r="BQ100" s="2000"/>
      <c r="BR100" s="2000"/>
    </row>
    <row r="101" spans="1:70" s="2012" customFormat="1">
      <c r="A101" s="2085" t="s">
        <v>651</v>
      </c>
      <c r="B101" s="2014"/>
      <c r="C101" s="2134">
        <f>+C100</f>
        <v>480.44567903009971</v>
      </c>
      <c r="D101" s="2134">
        <f>+D100</f>
        <v>625.2227212411816</v>
      </c>
      <c r="E101" s="2134">
        <f>+E100</f>
        <v>707.14589459606816</v>
      </c>
      <c r="G101" s="2002"/>
      <c r="J101" s="2000"/>
      <c r="K101" s="2000"/>
      <c r="L101" s="2000"/>
      <c r="M101" s="2000"/>
      <c r="N101" s="2000"/>
      <c r="O101" s="2000"/>
      <c r="P101" s="2000"/>
      <c r="Q101" s="2000"/>
      <c r="R101" s="2000"/>
      <c r="S101" s="2000"/>
      <c r="T101" s="2000"/>
      <c r="U101" s="2000"/>
      <c r="V101" s="2000"/>
      <c r="W101" s="2000"/>
      <c r="X101" s="2000"/>
      <c r="Y101" s="2000"/>
      <c r="Z101" s="2000"/>
      <c r="AA101" s="2000"/>
      <c r="AB101" s="2000"/>
      <c r="AC101" s="2000"/>
      <c r="AD101" s="2000"/>
      <c r="AE101" s="2000"/>
      <c r="AF101" s="2000"/>
      <c r="AG101" s="2000"/>
      <c r="AH101" s="2000"/>
      <c r="AI101" s="2000"/>
      <c r="AJ101" s="2000"/>
      <c r="AK101" s="2000"/>
      <c r="AL101" s="2000"/>
      <c r="AM101" s="2000"/>
      <c r="AN101" s="2000"/>
      <c r="AO101" s="2000"/>
      <c r="AP101" s="2000"/>
      <c r="AQ101" s="2000"/>
      <c r="AR101" s="2000"/>
      <c r="AS101" s="2000"/>
      <c r="AT101" s="2000"/>
      <c r="AU101" s="2000"/>
      <c r="AV101" s="2000"/>
      <c r="AW101" s="2000"/>
      <c r="AX101" s="2000"/>
      <c r="AY101" s="2000"/>
      <c r="AZ101" s="2000"/>
      <c r="BA101" s="2000"/>
      <c r="BB101" s="2000"/>
      <c r="BC101" s="2000"/>
      <c r="BD101" s="2000"/>
      <c r="BE101" s="2000"/>
      <c r="BF101" s="2000"/>
      <c r="BG101" s="2000"/>
      <c r="BH101" s="2000"/>
      <c r="BI101" s="2000"/>
      <c r="BJ101" s="2000"/>
      <c r="BK101" s="2000"/>
      <c r="BL101" s="2000"/>
      <c r="BM101" s="2000"/>
      <c r="BN101" s="2000"/>
      <c r="BO101" s="2000"/>
      <c r="BP101" s="2000"/>
      <c r="BQ101" s="2000"/>
      <c r="BR101" s="2000"/>
    </row>
    <row r="102" spans="1:70" s="2012" customFormat="1">
      <c r="A102" s="2085" t="s">
        <v>665</v>
      </c>
      <c r="B102" s="2014"/>
      <c r="C102" s="2135">
        <f>+C99/C101</f>
        <v>3.7547949304940706</v>
      </c>
      <c r="D102" s="2135">
        <f>+D99/D101</f>
        <v>2.2341656882314811</v>
      </c>
      <c r="E102" s="2135">
        <f>+E99/E101</f>
        <v>1.4808109240767824</v>
      </c>
      <c r="G102" s="2002"/>
      <c r="J102" s="2000"/>
      <c r="K102" s="2000"/>
      <c r="L102" s="2000"/>
      <c r="M102" s="2000"/>
      <c r="N102" s="2000"/>
      <c r="O102" s="2000"/>
      <c r="P102" s="2000"/>
      <c r="Q102" s="2000"/>
      <c r="R102" s="2000"/>
      <c r="S102" s="2000"/>
      <c r="T102" s="2000"/>
      <c r="U102" s="2000"/>
      <c r="V102" s="2000"/>
      <c r="W102" s="2000"/>
      <c r="X102" s="2000"/>
      <c r="Y102" s="2000"/>
      <c r="Z102" s="2000"/>
      <c r="AA102" s="2000"/>
      <c r="AB102" s="2000"/>
      <c r="AC102" s="2000"/>
      <c r="AD102" s="2000"/>
      <c r="AE102" s="2000"/>
      <c r="AF102" s="2000"/>
      <c r="AG102" s="2000"/>
      <c r="AH102" s="2000"/>
      <c r="AI102" s="2000"/>
      <c r="AJ102" s="2000"/>
      <c r="AK102" s="2000"/>
      <c r="AL102" s="2000"/>
      <c r="AM102" s="2000"/>
      <c r="AN102" s="2000"/>
      <c r="AO102" s="2000"/>
      <c r="AP102" s="2000"/>
      <c r="AQ102" s="2000"/>
      <c r="AR102" s="2000"/>
      <c r="AS102" s="2000"/>
      <c r="AT102" s="2000"/>
      <c r="AU102" s="2000"/>
      <c r="AV102" s="2000"/>
      <c r="AW102" s="2000"/>
      <c r="AX102" s="2000"/>
      <c r="AY102" s="2000"/>
      <c r="AZ102" s="2000"/>
      <c r="BA102" s="2000"/>
      <c r="BB102" s="2000"/>
      <c r="BC102" s="2000"/>
      <c r="BD102" s="2000"/>
      <c r="BE102" s="2000"/>
      <c r="BF102" s="2000"/>
      <c r="BG102" s="2000"/>
      <c r="BH102" s="2000"/>
      <c r="BI102" s="2000"/>
      <c r="BJ102" s="2000"/>
      <c r="BK102" s="2000"/>
      <c r="BL102" s="2000"/>
      <c r="BM102" s="2000"/>
      <c r="BN102" s="2000"/>
      <c r="BO102" s="2000"/>
      <c r="BP102" s="2000"/>
      <c r="BQ102" s="2000"/>
      <c r="BR102" s="2000"/>
    </row>
    <row r="103" spans="1:70" s="2012" customFormat="1">
      <c r="A103" s="2000"/>
      <c r="B103" s="2000"/>
      <c r="C103" s="2000"/>
      <c r="D103" s="2000"/>
      <c r="E103" s="2000"/>
      <c r="F103" s="2000"/>
      <c r="G103" s="2002"/>
      <c r="H103" s="2000"/>
      <c r="I103" s="2000"/>
      <c r="J103" s="2000"/>
      <c r="K103" s="2000"/>
      <c r="L103" s="2000"/>
      <c r="M103" s="2000"/>
      <c r="N103" s="2000"/>
      <c r="O103" s="2000"/>
      <c r="P103" s="2000"/>
      <c r="Q103" s="2000"/>
      <c r="R103" s="2000"/>
      <c r="S103" s="2000"/>
      <c r="T103" s="2000"/>
      <c r="U103" s="2000"/>
      <c r="V103" s="2000"/>
      <c r="W103" s="2000"/>
      <c r="X103" s="2000"/>
      <c r="Y103" s="2000"/>
      <c r="Z103" s="2000"/>
      <c r="AA103" s="2000"/>
      <c r="AB103" s="2000"/>
      <c r="AC103" s="2000"/>
      <c r="AD103" s="2000"/>
      <c r="AE103" s="2000"/>
      <c r="AF103" s="2000"/>
      <c r="AG103" s="2000"/>
      <c r="AH103" s="2000"/>
      <c r="AI103" s="2000"/>
      <c r="AJ103" s="2000"/>
      <c r="AK103" s="2000"/>
      <c r="AL103" s="2000"/>
      <c r="AM103" s="2000"/>
      <c r="AN103" s="2000"/>
      <c r="AO103" s="2000"/>
      <c r="AP103" s="2000"/>
      <c r="AQ103" s="2000"/>
      <c r="AR103" s="2000"/>
      <c r="AS103" s="2000"/>
      <c r="AT103" s="2000"/>
      <c r="AU103" s="2000"/>
      <c r="AV103" s="2000"/>
      <c r="AW103" s="2000"/>
      <c r="AX103" s="2000"/>
      <c r="AY103" s="2000"/>
      <c r="AZ103" s="2000"/>
      <c r="BA103" s="2000"/>
      <c r="BB103" s="2000"/>
      <c r="BC103" s="2000"/>
      <c r="BD103" s="2000"/>
      <c r="BE103" s="2000"/>
      <c r="BF103" s="2000"/>
      <c r="BG103" s="2000"/>
      <c r="BH103" s="2000"/>
      <c r="BI103" s="2000"/>
      <c r="BJ103" s="2000"/>
      <c r="BK103" s="2000"/>
      <c r="BL103" s="2000"/>
      <c r="BM103" s="2000"/>
      <c r="BN103" s="2000"/>
      <c r="BO103" s="2000"/>
      <c r="BP103" s="2000"/>
      <c r="BQ103" s="2000"/>
      <c r="BR103" s="2000"/>
    </row>
    <row r="104" spans="1:70" s="2012" customFormat="1">
      <c r="A104" s="2000"/>
      <c r="B104" s="2000"/>
      <c r="C104" s="2000"/>
      <c r="D104" s="2000"/>
      <c r="E104" s="2000"/>
      <c r="F104" s="2000"/>
      <c r="G104" s="2002"/>
      <c r="H104" s="2000"/>
      <c r="I104" s="2000"/>
      <c r="J104" s="2000"/>
      <c r="K104" s="2000"/>
      <c r="L104" s="2000"/>
      <c r="M104" s="2000"/>
      <c r="N104" s="2000"/>
      <c r="O104" s="2000"/>
      <c r="P104" s="2000"/>
      <c r="Q104" s="2000"/>
      <c r="R104" s="2000"/>
      <c r="S104" s="2000"/>
      <c r="T104" s="2000"/>
      <c r="U104" s="2000"/>
      <c r="V104" s="2000"/>
      <c r="W104" s="2000"/>
      <c r="X104" s="2000"/>
      <c r="Y104" s="2000"/>
      <c r="Z104" s="2000"/>
      <c r="AA104" s="2000"/>
      <c r="AB104" s="2000"/>
      <c r="AC104" s="2000"/>
      <c r="AD104" s="2000"/>
      <c r="AE104" s="2000"/>
      <c r="AF104" s="2000"/>
      <c r="AG104" s="2000"/>
      <c r="AH104" s="2000"/>
      <c r="AI104" s="2000"/>
      <c r="AJ104" s="2000"/>
      <c r="AK104" s="2000"/>
      <c r="AL104" s="2000"/>
      <c r="AM104" s="2000"/>
      <c r="AN104" s="2000"/>
      <c r="AO104" s="2000"/>
      <c r="AP104" s="2000"/>
      <c r="AQ104" s="2000"/>
      <c r="AR104" s="2000"/>
      <c r="AS104" s="2000"/>
      <c r="AT104" s="2000"/>
      <c r="AU104" s="2000"/>
      <c r="AV104" s="2000"/>
      <c r="AW104" s="2000"/>
      <c r="AX104" s="2000"/>
      <c r="AY104" s="2000"/>
      <c r="AZ104" s="2000"/>
      <c r="BA104" s="2000"/>
      <c r="BB104" s="2000"/>
      <c r="BC104" s="2000"/>
      <c r="BD104" s="2000"/>
      <c r="BE104" s="2000"/>
      <c r="BF104" s="2000"/>
      <c r="BG104" s="2000"/>
      <c r="BH104" s="2000"/>
      <c r="BI104" s="2000"/>
      <c r="BJ104" s="2000"/>
      <c r="BK104" s="2000"/>
      <c r="BL104" s="2000"/>
      <c r="BM104" s="2000"/>
      <c r="BN104" s="2000"/>
      <c r="BO104" s="2000"/>
      <c r="BP104" s="2000"/>
      <c r="BQ104" s="2000"/>
      <c r="BR104" s="2000"/>
    </row>
    <row r="105" spans="1:70" s="2012" customFormat="1">
      <c r="A105" s="2000"/>
      <c r="B105" s="2000"/>
      <c r="C105" s="2000"/>
      <c r="D105" s="2000"/>
      <c r="E105" s="2000"/>
      <c r="F105" s="2000"/>
      <c r="G105" s="2286">
        <v>42825</v>
      </c>
      <c r="H105" s="2286">
        <v>42916</v>
      </c>
      <c r="I105" s="2286">
        <v>43008</v>
      </c>
      <c r="J105" s="2286">
        <v>43100</v>
      </c>
      <c r="K105" s="2285"/>
      <c r="L105" s="2287">
        <v>43190</v>
      </c>
      <c r="M105" s="2288">
        <v>43281</v>
      </c>
      <c r="N105" s="2288">
        <v>43373</v>
      </c>
      <c r="O105" s="2289">
        <v>43465</v>
      </c>
      <c r="P105" s="2000"/>
      <c r="Q105" s="2287">
        <v>43555</v>
      </c>
      <c r="R105" s="2288">
        <v>43646</v>
      </c>
      <c r="S105" s="2288">
        <v>43738</v>
      </c>
      <c r="T105" s="2289">
        <v>43830</v>
      </c>
      <c r="U105" s="2000"/>
      <c r="V105" s="2287">
        <v>43921</v>
      </c>
      <c r="W105" s="2288">
        <v>44012</v>
      </c>
      <c r="X105" s="2288">
        <v>44104</v>
      </c>
      <c r="Y105" s="2289">
        <v>44196</v>
      </c>
      <c r="Z105" s="2000"/>
      <c r="AA105" s="2287">
        <v>80810</v>
      </c>
      <c r="AB105" s="2288">
        <v>80901</v>
      </c>
      <c r="AC105" s="2288">
        <v>80993</v>
      </c>
      <c r="AD105" s="2289">
        <v>81085</v>
      </c>
      <c r="AE105" s="2000"/>
      <c r="AF105" s="2000"/>
      <c r="AG105" s="2000"/>
      <c r="AH105" s="2000"/>
      <c r="AI105" s="2000"/>
      <c r="AJ105" s="2000"/>
      <c r="AK105" s="2000"/>
      <c r="AL105" s="2000"/>
      <c r="AM105" s="2000"/>
      <c r="AN105" s="2000"/>
      <c r="AO105" s="2000"/>
      <c r="AP105" s="2000"/>
      <c r="AQ105" s="2000"/>
      <c r="AR105" s="2000"/>
      <c r="AS105" s="2000"/>
      <c r="AT105" s="2000"/>
      <c r="AU105" s="2000"/>
      <c r="AV105" s="2000"/>
      <c r="AW105" s="2000"/>
      <c r="AX105" s="2000"/>
      <c r="AY105" s="2000"/>
      <c r="AZ105" s="2000"/>
      <c r="BA105" s="2000"/>
      <c r="BB105" s="2000"/>
      <c r="BC105" s="2000"/>
      <c r="BD105" s="2000"/>
      <c r="BE105" s="2000"/>
      <c r="BF105" s="2000"/>
      <c r="BG105" s="2000"/>
      <c r="BH105" s="2000"/>
      <c r="BI105" s="2000"/>
      <c r="BJ105" s="2000"/>
      <c r="BK105" s="2000"/>
      <c r="BL105" s="2000"/>
      <c r="BM105" s="2000"/>
      <c r="BN105" s="2000"/>
      <c r="BO105" s="2000"/>
      <c r="BP105" s="2000"/>
      <c r="BQ105" s="2000"/>
      <c r="BR105" s="2000"/>
    </row>
    <row r="106" spans="1:70" s="2012" customFormat="1">
      <c r="A106" s="2000"/>
      <c r="B106" s="2000"/>
      <c r="C106" s="2000"/>
      <c r="D106" s="2000"/>
      <c r="E106" s="2000"/>
      <c r="F106" s="2000"/>
      <c r="G106" s="2292">
        <v>60</v>
      </c>
      <c r="H106" s="2293">
        <v>81</v>
      </c>
      <c r="I106" s="2293">
        <v>83</v>
      </c>
      <c r="J106" s="2293">
        <v>86</v>
      </c>
      <c r="K106" s="2000"/>
      <c r="L106" s="2291">
        <f>G106*(1+L107)</f>
        <v>69.36</v>
      </c>
      <c r="M106" s="2291">
        <f t="shared" ref="M106:O106" si="4">H106*(1+M107)</f>
        <v>93.635999999999996</v>
      </c>
      <c r="N106" s="2291">
        <f t="shared" si="4"/>
        <v>95.947999999999993</v>
      </c>
      <c r="O106" s="2291">
        <f t="shared" si="4"/>
        <v>99.415999999999997</v>
      </c>
      <c r="P106" s="2000"/>
      <c r="Q106" s="2291">
        <f>L106*(1+Q107)</f>
        <v>81.08184</v>
      </c>
      <c r="R106" s="2291">
        <f t="shared" ref="R106" si="5">M106*(1+R107)</f>
        <v>109.46048399999999</v>
      </c>
      <c r="S106" s="2291">
        <f t="shared" ref="S106" si="6">N106*(1+S107)</f>
        <v>112.163212</v>
      </c>
      <c r="T106" s="2291">
        <f t="shared" ref="T106" si="7">O106*(1+T107)</f>
        <v>116.217304</v>
      </c>
      <c r="U106" s="2000"/>
      <c r="V106" s="2291">
        <f>Q106*(1+V107)</f>
        <v>97.784699039999992</v>
      </c>
      <c r="W106" s="2291">
        <f t="shared" ref="W106" si="8">R106*(1+W107)</f>
        <v>132.00934370399997</v>
      </c>
      <c r="X106" s="2291">
        <f t="shared" ref="X106" si="9">S106*(1+X107)</f>
        <v>135.268833672</v>
      </c>
      <c r="Y106" s="2291">
        <f t="shared" ref="Y106" si="10">T106*(1+Y107)</f>
        <v>140.15806862399998</v>
      </c>
      <c r="Z106" s="2000"/>
      <c r="AA106" s="2291">
        <f>V106*(1+AA107)</f>
        <v>108.54101593440001</v>
      </c>
      <c r="AB106" s="2291">
        <f t="shared" ref="AB106" si="11">W106*(1+AB107)</f>
        <v>146.53037151143999</v>
      </c>
      <c r="AC106" s="2291">
        <f t="shared" ref="AC106" si="12">X106*(1+AC107)</f>
        <v>150.14840537592002</v>
      </c>
      <c r="AD106" s="2291">
        <f t="shared" ref="AD106" si="13">Y106*(1+AD107)</f>
        <v>155.57545617264</v>
      </c>
      <c r="AE106" s="2000"/>
      <c r="AF106" s="2000"/>
      <c r="AG106" s="2000"/>
      <c r="AH106" s="2000"/>
      <c r="AI106" s="2000"/>
      <c r="AJ106" s="2000"/>
      <c r="AK106" s="2000"/>
      <c r="AL106" s="2000"/>
      <c r="AM106" s="2000"/>
      <c r="AN106" s="2000"/>
      <c r="AO106" s="2000"/>
      <c r="AP106" s="2000"/>
      <c r="AQ106" s="2000"/>
      <c r="AR106" s="2000"/>
      <c r="AS106" s="2000"/>
      <c r="AT106" s="2000"/>
      <c r="AU106" s="2000"/>
      <c r="AV106" s="2000"/>
      <c r="AW106" s="2000"/>
      <c r="AX106" s="2000"/>
      <c r="AY106" s="2000"/>
      <c r="AZ106" s="2000"/>
      <c r="BA106" s="2000"/>
      <c r="BB106" s="2000"/>
      <c r="BC106" s="2000"/>
      <c r="BD106" s="2000"/>
      <c r="BE106" s="2000"/>
      <c r="BF106" s="2000"/>
      <c r="BG106" s="2000"/>
      <c r="BH106" s="2000"/>
      <c r="BI106" s="2000"/>
      <c r="BJ106" s="2000"/>
      <c r="BK106" s="2000"/>
      <c r="BL106" s="2000"/>
      <c r="BM106" s="2000"/>
      <c r="BN106" s="2000"/>
      <c r="BO106" s="2000"/>
      <c r="BP106" s="2000"/>
      <c r="BQ106" s="2000"/>
      <c r="BR106" s="2000"/>
    </row>
    <row r="107" spans="1:70" s="2012" customFormat="1">
      <c r="A107" s="2000"/>
      <c r="B107" s="2000"/>
      <c r="C107" s="2000"/>
      <c r="D107" s="2000"/>
      <c r="E107" s="2000"/>
      <c r="F107" s="2000" t="s">
        <v>723</v>
      </c>
      <c r="G107" s="2002"/>
      <c r="H107" s="2000"/>
      <c r="I107" s="2000"/>
      <c r="J107" s="2000"/>
      <c r="K107" s="2000"/>
      <c r="L107" s="2290">
        <v>0.156</v>
      </c>
      <c r="M107" s="2301">
        <f>L107</f>
        <v>0.156</v>
      </c>
      <c r="N107" s="2301">
        <f>M107</f>
        <v>0.156</v>
      </c>
      <c r="O107" s="2301">
        <f>N107</f>
        <v>0.156</v>
      </c>
      <c r="P107" s="2000"/>
      <c r="Q107" s="2290">
        <v>0.16900000000000001</v>
      </c>
      <c r="R107" s="2301">
        <f>Q107</f>
        <v>0.16900000000000001</v>
      </c>
      <c r="S107" s="2301">
        <f>R107</f>
        <v>0.16900000000000001</v>
      </c>
      <c r="T107" s="2301">
        <f>S107</f>
        <v>0.16900000000000001</v>
      </c>
      <c r="U107" s="2000"/>
      <c r="V107" s="2290">
        <v>0.20599999999999999</v>
      </c>
      <c r="W107" s="2301">
        <f>V107</f>
        <v>0.20599999999999999</v>
      </c>
      <c r="X107" s="2301">
        <f>W107</f>
        <v>0.20599999999999999</v>
      </c>
      <c r="Y107" s="2301">
        <f>X107</f>
        <v>0.20599999999999999</v>
      </c>
      <c r="Z107" s="2000"/>
      <c r="AA107" s="2290">
        <v>0.11</v>
      </c>
      <c r="AB107" s="2301">
        <f>AA107</f>
        <v>0.11</v>
      </c>
      <c r="AC107" s="2301">
        <f>AB107</f>
        <v>0.11</v>
      </c>
      <c r="AD107" s="2301">
        <f>AC107</f>
        <v>0.11</v>
      </c>
      <c r="AE107" s="2000"/>
      <c r="AF107" s="2000"/>
      <c r="AG107" s="2000"/>
      <c r="AH107" s="2000"/>
      <c r="AI107" s="2000"/>
      <c r="AJ107" s="2000"/>
      <c r="AK107" s="2000"/>
      <c r="AL107" s="2000"/>
      <c r="AM107" s="2000"/>
      <c r="AN107" s="2000"/>
      <c r="AO107" s="2000"/>
      <c r="AP107" s="2000"/>
      <c r="AQ107" s="2000"/>
      <c r="AR107" s="2000"/>
      <c r="AS107" s="2000"/>
      <c r="AT107" s="2000"/>
      <c r="AU107" s="2000"/>
      <c r="AV107" s="2000"/>
      <c r="AW107" s="2000"/>
      <c r="AX107" s="2000"/>
      <c r="AY107" s="2000"/>
      <c r="AZ107" s="2000"/>
      <c r="BA107" s="2000"/>
      <c r="BB107" s="2000"/>
      <c r="BC107" s="2000"/>
      <c r="BD107" s="2000"/>
      <c r="BE107" s="2000"/>
      <c r="BF107" s="2000"/>
      <c r="BG107" s="2000"/>
      <c r="BH107" s="2000"/>
      <c r="BI107" s="2000"/>
      <c r="BJ107" s="2000"/>
      <c r="BK107" s="2000"/>
      <c r="BL107" s="2000"/>
      <c r="BM107" s="2000"/>
      <c r="BN107" s="2000"/>
      <c r="BO107" s="2000"/>
      <c r="BP107" s="2000"/>
      <c r="BQ107" s="2000"/>
      <c r="BR107" s="2000"/>
    </row>
    <row r="108" spans="1:70" s="2012" customFormat="1" ht="6" customHeight="1">
      <c r="A108" s="2000"/>
      <c r="B108" s="2000"/>
      <c r="C108" s="2000"/>
      <c r="D108" s="2000"/>
      <c r="E108" s="2000"/>
      <c r="F108" s="2000"/>
      <c r="G108" s="2002"/>
      <c r="H108" s="2000"/>
      <c r="I108" s="2000"/>
      <c r="J108" s="2000"/>
      <c r="K108" s="2000"/>
      <c r="L108" s="2000"/>
      <c r="M108" s="2000"/>
      <c r="N108" s="2000"/>
      <c r="O108" s="2000"/>
      <c r="P108" s="2000"/>
      <c r="Q108" s="2000"/>
      <c r="R108" s="2000"/>
      <c r="S108" s="2000"/>
      <c r="T108" s="2000"/>
      <c r="U108" s="2000"/>
      <c r="V108" s="2000"/>
      <c r="W108" s="2000"/>
      <c r="X108" s="2000"/>
      <c r="Y108" s="2000"/>
      <c r="Z108" s="2000"/>
      <c r="AA108" s="2000"/>
      <c r="AB108" s="2000"/>
      <c r="AC108" s="2000"/>
      <c r="AD108" s="2000"/>
      <c r="AE108" s="2000"/>
      <c r="AF108" s="2000"/>
      <c r="AG108" s="2000"/>
      <c r="AH108" s="2000"/>
      <c r="AI108" s="2000"/>
      <c r="AJ108" s="2000"/>
      <c r="AK108" s="2000"/>
      <c r="AL108" s="2000"/>
      <c r="AM108" s="2000"/>
      <c r="AN108" s="2000"/>
      <c r="AO108" s="2000"/>
      <c r="AP108" s="2000"/>
      <c r="AQ108" s="2000"/>
      <c r="AR108" s="2000"/>
      <c r="AS108" s="2000"/>
      <c r="AT108" s="2000"/>
      <c r="AU108" s="2000"/>
      <c r="AV108" s="2000"/>
      <c r="AW108" s="2000"/>
      <c r="AX108" s="2000"/>
      <c r="AY108" s="2000"/>
      <c r="AZ108" s="2000"/>
      <c r="BA108" s="2000"/>
      <c r="BB108" s="2000"/>
      <c r="BC108" s="2000"/>
      <c r="BD108" s="2000"/>
      <c r="BE108" s="2000"/>
      <c r="BF108" s="2000"/>
      <c r="BG108" s="2000"/>
      <c r="BH108" s="2000"/>
      <c r="BI108" s="2000"/>
      <c r="BJ108" s="2000"/>
      <c r="BK108" s="2000"/>
      <c r="BL108" s="2000"/>
      <c r="BM108" s="2000"/>
      <c r="BN108" s="2000"/>
      <c r="BO108" s="2000"/>
      <c r="BP108" s="2000"/>
      <c r="BQ108" s="2000"/>
      <c r="BR108" s="2000"/>
    </row>
    <row r="109" spans="1:70" s="2012" customFormat="1">
      <c r="A109" s="2000"/>
      <c r="B109" s="2000"/>
      <c r="C109" s="2000"/>
      <c r="D109" s="2000"/>
      <c r="E109" s="2000"/>
      <c r="F109" s="2000" t="s">
        <v>174</v>
      </c>
      <c r="G109" s="2002">
        <f>SUM(G106:J106)-B26</f>
        <v>0</v>
      </c>
      <c r="H109" s="2000"/>
      <c r="I109" s="2000"/>
      <c r="J109" s="2000"/>
      <c r="K109" s="2000"/>
      <c r="L109" s="2002">
        <f>SUM(L106:O106)-C26</f>
        <v>-4.0000000000077307E-2</v>
      </c>
      <c r="M109" s="2000"/>
      <c r="N109" s="2000"/>
      <c r="O109" s="2000"/>
      <c r="P109" s="2000"/>
      <c r="Q109" s="2002">
        <f>SUM(Q106:T106)-D26</f>
        <v>-6.9160000000010768E-2</v>
      </c>
      <c r="R109" s="2000"/>
      <c r="S109" s="2000"/>
      <c r="T109" s="2000"/>
      <c r="U109" s="2000"/>
      <c r="V109" s="2002">
        <f>SUM(V106:Y106)-E26</f>
        <v>-5.0094960000137689E-2</v>
      </c>
      <c r="W109" s="2000"/>
      <c r="X109" s="2000"/>
      <c r="Y109" s="2000"/>
      <c r="Z109" s="2000"/>
      <c r="AA109" s="2000"/>
      <c r="AB109" s="2000"/>
      <c r="AC109" s="2000"/>
      <c r="AD109" s="2000"/>
      <c r="AE109" s="2000"/>
      <c r="AF109" s="2000"/>
      <c r="AG109" s="2000"/>
      <c r="AH109" s="2000"/>
      <c r="AI109" s="2000"/>
      <c r="AJ109" s="2000"/>
      <c r="AK109" s="2000"/>
      <c r="AL109" s="2000"/>
      <c r="AM109" s="2000"/>
      <c r="AN109" s="2000"/>
      <c r="AO109" s="2000"/>
      <c r="AP109" s="2000"/>
      <c r="AQ109" s="2000"/>
      <c r="AR109" s="2000"/>
      <c r="AS109" s="2000"/>
      <c r="AT109" s="2000"/>
      <c r="AU109" s="2000"/>
      <c r="AV109" s="2000"/>
      <c r="AW109" s="2000"/>
      <c r="AX109" s="2000"/>
      <c r="AY109" s="2000"/>
      <c r="AZ109" s="2000"/>
      <c r="BA109" s="2000"/>
      <c r="BB109" s="2000"/>
      <c r="BC109" s="2000"/>
      <c r="BD109" s="2000"/>
      <c r="BE109" s="2000"/>
      <c r="BF109" s="2000"/>
      <c r="BG109" s="2000"/>
      <c r="BH109" s="2000"/>
      <c r="BI109" s="2000"/>
      <c r="BJ109" s="2000"/>
      <c r="BK109" s="2000"/>
      <c r="BL109" s="2000"/>
      <c r="BM109" s="2000"/>
      <c r="BN109" s="2000"/>
      <c r="BO109" s="2000"/>
      <c r="BP109" s="2000"/>
      <c r="BQ109" s="2000"/>
      <c r="BR109" s="2000"/>
    </row>
    <row r="110" spans="1:70" s="2012" customFormat="1">
      <c r="A110" s="2000"/>
      <c r="B110" s="2000"/>
      <c r="C110" s="2000"/>
      <c r="D110" s="2000"/>
      <c r="E110" s="2000"/>
      <c r="F110" s="2000"/>
      <c r="G110" s="2002"/>
      <c r="H110" s="2000"/>
      <c r="I110" s="2000"/>
      <c r="J110" s="2000"/>
      <c r="K110" s="2000"/>
      <c r="L110" s="2002"/>
      <c r="M110" s="2000"/>
      <c r="N110" s="2000"/>
      <c r="O110" s="2000"/>
      <c r="P110" s="2000"/>
      <c r="Q110" s="2002"/>
      <c r="R110" s="2000"/>
      <c r="S110" s="2000"/>
      <c r="T110" s="2000"/>
      <c r="U110" s="2000"/>
      <c r="V110" s="2000"/>
      <c r="W110" s="2000"/>
      <c r="X110" s="2000"/>
      <c r="Y110" s="2000"/>
      <c r="Z110" s="2000"/>
      <c r="AA110" s="2000"/>
      <c r="AB110" s="2000"/>
      <c r="AC110" s="2000"/>
      <c r="AD110" s="2000"/>
      <c r="AE110" s="2000"/>
      <c r="AF110" s="2000"/>
      <c r="AG110" s="2000"/>
      <c r="AH110" s="2000"/>
      <c r="AI110" s="2000"/>
      <c r="AJ110" s="2000"/>
      <c r="AK110" s="2000"/>
      <c r="AL110" s="2000"/>
      <c r="AM110" s="2000"/>
      <c r="AN110" s="2000"/>
      <c r="AO110" s="2000"/>
      <c r="AP110" s="2000"/>
      <c r="AQ110" s="2000"/>
      <c r="AR110" s="2000"/>
      <c r="AS110" s="2000"/>
      <c r="AT110" s="2000"/>
      <c r="AU110" s="2000"/>
      <c r="AV110" s="2000"/>
      <c r="AW110" s="2000"/>
      <c r="AX110" s="2000"/>
      <c r="AY110" s="2000"/>
      <c r="AZ110" s="2000"/>
      <c r="BA110" s="2000"/>
      <c r="BB110" s="2000"/>
      <c r="BC110" s="2000"/>
      <c r="BD110" s="2000"/>
      <c r="BE110" s="2000"/>
      <c r="BF110" s="2000"/>
      <c r="BG110" s="2000"/>
      <c r="BH110" s="2000"/>
      <c r="BI110" s="2000"/>
      <c r="BJ110" s="2000"/>
      <c r="BK110" s="2000"/>
      <c r="BL110" s="2000"/>
      <c r="BM110" s="2000"/>
      <c r="BN110" s="2000"/>
      <c r="BO110" s="2000"/>
      <c r="BP110" s="2000"/>
      <c r="BQ110" s="2000"/>
      <c r="BR110" s="2000"/>
    </row>
    <row r="111" spans="1:70" s="2012" customFormat="1">
      <c r="A111" s="2000"/>
      <c r="B111" s="2000"/>
      <c r="C111" s="2000"/>
      <c r="D111" s="2000"/>
      <c r="E111" s="2000"/>
      <c r="F111" s="2000"/>
      <c r="G111" s="2002"/>
      <c r="H111" s="2000"/>
      <c r="I111" s="2000"/>
      <c r="J111" s="2000"/>
      <c r="K111" s="2000"/>
      <c r="L111" s="2000"/>
      <c r="M111" s="2000"/>
      <c r="N111" s="2000"/>
      <c r="O111" s="2000"/>
      <c r="P111" s="2000"/>
      <c r="Q111" s="2000"/>
      <c r="R111" s="2000"/>
      <c r="S111" s="2000"/>
      <c r="T111" s="2000"/>
      <c r="U111" s="2000"/>
      <c r="V111" s="2000"/>
      <c r="W111" s="2000"/>
      <c r="X111" s="2000"/>
      <c r="Y111" s="2000"/>
      <c r="Z111" s="2000"/>
      <c r="AA111" s="2000"/>
      <c r="AB111" s="2000"/>
      <c r="AC111" s="2000"/>
      <c r="AD111" s="2000"/>
      <c r="AE111" s="2000"/>
      <c r="AF111" s="2000"/>
      <c r="AG111" s="2000"/>
      <c r="AH111" s="2000"/>
      <c r="AI111" s="2000"/>
      <c r="AJ111" s="2000"/>
      <c r="AK111" s="2000"/>
      <c r="AL111" s="2000"/>
      <c r="AM111" s="2000"/>
      <c r="AN111" s="2000"/>
      <c r="AO111" s="2000"/>
      <c r="AP111" s="2000"/>
      <c r="AQ111" s="2000"/>
      <c r="AR111" s="2000"/>
      <c r="AS111" s="2000"/>
      <c r="AT111" s="2000"/>
      <c r="AU111" s="2000"/>
      <c r="AV111" s="2000"/>
      <c r="AW111" s="2000"/>
      <c r="AX111" s="2000"/>
      <c r="AY111" s="2000"/>
      <c r="AZ111" s="2000"/>
      <c r="BA111" s="2000"/>
      <c r="BB111" s="2000"/>
      <c r="BC111" s="2000"/>
      <c r="BD111" s="2000"/>
      <c r="BE111" s="2000"/>
      <c r="BF111" s="2000"/>
      <c r="BG111" s="2000"/>
      <c r="BH111" s="2000"/>
      <c r="BI111" s="2000"/>
      <c r="BJ111" s="2000"/>
      <c r="BK111" s="2000"/>
      <c r="BL111" s="2000"/>
      <c r="BM111" s="2000"/>
      <c r="BN111" s="2000"/>
      <c r="BO111" s="2000"/>
      <c r="BP111" s="2000"/>
      <c r="BQ111" s="2000"/>
      <c r="BR111" s="2000"/>
    </row>
    <row r="112" spans="1:70" s="2012" customFormat="1">
      <c r="A112" s="2000"/>
      <c r="B112" s="2000"/>
      <c r="C112" s="2000"/>
      <c r="D112" s="2000"/>
      <c r="E112" s="2000"/>
      <c r="F112" s="2000"/>
      <c r="G112" s="2002"/>
      <c r="H112" s="2000"/>
      <c r="I112" s="2000"/>
      <c r="J112" s="2000"/>
      <c r="K112" s="2000"/>
      <c r="L112" s="2000"/>
      <c r="M112" s="2000"/>
      <c r="N112" s="2000"/>
      <c r="O112" s="2000"/>
      <c r="P112" s="2000"/>
      <c r="Q112" s="2000"/>
      <c r="R112" s="2000"/>
      <c r="S112" s="2000"/>
      <c r="T112" s="2000"/>
      <c r="U112" s="2000"/>
      <c r="V112" s="2000"/>
      <c r="W112" s="2000"/>
      <c r="X112" s="2000"/>
      <c r="Y112" s="2000"/>
      <c r="Z112" s="2000"/>
      <c r="AA112" s="2000"/>
      <c r="AB112" s="2000"/>
      <c r="AC112" s="2000"/>
      <c r="AD112" s="2000"/>
      <c r="AE112" s="2000"/>
      <c r="AF112" s="2000"/>
      <c r="AG112" s="2000"/>
      <c r="AH112" s="2000"/>
      <c r="AI112" s="2000"/>
      <c r="AJ112" s="2000"/>
      <c r="AK112" s="2000"/>
      <c r="AL112" s="2000"/>
      <c r="AM112" s="2000"/>
      <c r="AN112" s="2000"/>
      <c r="AO112" s="2000"/>
      <c r="AP112" s="2000"/>
      <c r="AQ112" s="2000"/>
      <c r="AR112" s="2000"/>
      <c r="AS112" s="2000"/>
      <c r="AT112" s="2000"/>
      <c r="AU112" s="2000"/>
      <c r="AV112" s="2000"/>
      <c r="AW112" s="2000"/>
      <c r="AX112" s="2000"/>
      <c r="AY112" s="2000"/>
      <c r="AZ112" s="2000"/>
      <c r="BA112" s="2000"/>
      <c r="BB112" s="2000"/>
      <c r="BC112" s="2000"/>
      <c r="BD112" s="2000"/>
      <c r="BE112" s="2000"/>
      <c r="BF112" s="2000"/>
      <c r="BG112" s="2000"/>
      <c r="BH112" s="2000"/>
      <c r="BI112" s="2000"/>
      <c r="BJ112" s="2000"/>
      <c r="BK112" s="2000"/>
      <c r="BL112" s="2000"/>
      <c r="BM112" s="2000"/>
      <c r="BN112" s="2000"/>
      <c r="BO112" s="2000"/>
      <c r="BP112" s="2000"/>
      <c r="BQ112" s="2000"/>
      <c r="BR112" s="2000"/>
    </row>
    <row r="113" spans="1:70" s="2012" customFormat="1">
      <c r="A113" s="2000"/>
      <c r="B113" s="2000"/>
      <c r="C113" s="2000"/>
      <c r="D113" s="2000"/>
      <c r="E113" s="2000"/>
      <c r="F113" s="2000"/>
      <c r="G113" s="2002"/>
      <c r="H113" s="2000"/>
      <c r="I113" s="2000"/>
      <c r="J113" s="2000"/>
      <c r="K113" s="2000"/>
      <c r="L113" s="2000"/>
      <c r="M113" s="2000"/>
      <c r="N113" s="2000"/>
      <c r="O113" s="2000"/>
      <c r="P113" s="2000"/>
      <c r="Q113" s="2000"/>
      <c r="R113" s="2000"/>
      <c r="S113" s="2000"/>
      <c r="T113" s="2000"/>
      <c r="U113" s="2000"/>
      <c r="V113" s="2000"/>
      <c r="W113" s="2000"/>
      <c r="X113" s="2000"/>
      <c r="Y113" s="2000"/>
      <c r="Z113" s="2000"/>
      <c r="AA113" s="2000"/>
      <c r="AB113" s="2000"/>
      <c r="AC113" s="2000"/>
      <c r="AD113" s="2000"/>
      <c r="AE113" s="2000"/>
      <c r="AF113" s="2000"/>
      <c r="AG113" s="2000"/>
      <c r="AH113" s="2000"/>
      <c r="AI113" s="2000"/>
      <c r="AJ113" s="2000"/>
      <c r="AK113" s="2000"/>
      <c r="AL113" s="2000"/>
      <c r="AM113" s="2000"/>
      <c r="AN113" s="2000"/>
      <c r="AO113" s="2000"/>
      <c r="AP113" s="2000"/>
      <c r="AQ113" s="2000"/>
      <c r="AR113" s="2000"/>
      <c r="AS113" s="2000"/>
      <c r="AT113" s="2000"/>
      <c r="AU113" s="2000"/>
      <c r="AV113" s="2000"/>
      <c r="AW113" s="2000"/>
      <c r="AX113" s="2000"/>
      <c r="AY113" s="2000"/>
      <c r="AZ113" s="2000"/>
      <c r="BA113" s="2000"/>
      <c r="BB113" s="2000"/>
      <c r="BC113" s="2000"/>
      <c r="BD113" s="2000"/>
      <c r="BE113" s="2000"/>
      <c r="BF113" s="2000"/>
      <c r="BG113" s="2000"/>
      <c r="BH113" s="2000"/>
      <c r="BI113" s="2000"/>
      <c r="BJ113" s="2000"/>
      <c r="BK113" s="2000"/>
      <c r="BL113" s="2000"/>
      <c r="BM113" s="2000"/>
      <c r="BN113" s="2000"/>
      <c r="BO113" s="2000"/>
      <c r="BP113" s="2000"/>
      <c r="BQ113" s="2000"/>
      <c r="BR113" s="2000"/>
    </row>
  </sheetData>
  <pageMargins left="0" right="0" top="0" bottom="0" header="0" footer="0"/>
  <pageSetup paperSize="5" scale="56"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X188"/>
  <sheetViews>
    <sheetView zoomScaleNormal="100" workbookViewId="0">
      <pane xSplit="2" ySplit="8" topLeftCell="AK9" activePane="bottomRight" state="frozen"/>
      <selection activeCell="A53" sqref="A53"/>
      <selection pane="topRight" activeCell="A53" sqref="A53"/>
      <selection pane="bottomLeft" activeCell="A53" sqref="A53"/>
      <selection pane="bottomRight"/>
    </sheetView>
  </sheetViews>
  <sheetFormatPr defaultColWidth="8.85546875" defaultRowHeight="12.75" outlineLevelRow="1" outlineLevelCol="1"/>
  <cols>
    <col min="1" max="1" width="27.85546875" style="226" customWidth="1"/>
    <col min="2" max="2" width="0.85546875" style="226" customWidth="1"/>
    <col min="3" max="7" width="6.42578125" style="226" hidden="1" customWidth="1" outlineLevel="1"/>
    <col min="8" max="8" width="0.85546875" style="226" hidden="1" customWidth="1" outlineLevel="1"/>
    <col min="9" max="12" width="6.42578125" style="226" hidden="1" customWidth="1" outlineLevel="1"/>
    <col min="13" max="13" width="6.42578125" style="226" hidden="1" customWidth="1" outlineLevel="1" collapsed="1"/>
    <col min="14" max="14" width="0.85546875" style="226" hidden="1" customWidth="1" outlineLevel="1"/>
    <col min="15" max="19" width="6.42578125" style="226" hidden="1" customWidth="1" outlineLevel="1"/>
    <col min="20" max="20" width="0.85546875" style="226" hidden="1" customWidth="1" outlineLevel="1"/>
    <col min="21" max="25" width="6.42578125" style="226" hidden="1" customWidth="1" outlineLevel="1"/>
    <col min="26" max="26" width="0.85546875" style="226" hidden="1" customWidth="1" outlineLevel="1"/>
    <col min="27" max="30" width="6.42578125" style="226" hidden="1" customWidth="1" outlineLevel="1"/>
    <col min="31" max="31" width="6.42578125" style="226" hidden="1" customWidth="1" outlineLevel="1" collapsed="1"/>
    <col min="32" max="32" width="0.85546875" style="226" hidden="1" customWidth="1" outlineLevel="1"/>
    <col min="33" max="36" width="6.42578125" style="226" hidden="1" customWidth="1" outlineLevel="1"/>
    <col min="37" max="37" width="6.42578125" style="226" customWidth="1" collapsed="1"/>
    <col min="38" max="38" width="0.85546875" style="226" customWidth="1"/>
    <col min="39" max="42" width="6.42578125" style="226" hidden="1" customWidth="1" outlineLevel="1"/>
    <col min="43" max="43" width="6.42578125" style="226" customWidth="1" collapsed="1"/>
    <col min="44" max="44" width="0.85546875" style="226" customWidth="1"/>
    <col min="45" max="48" width="6.42578125" style="226" hidden="1" customWidth="1" outlineLevel="1"/>
    <col min="49" max="49" width="6.42578125" style="226" customWidth="1" collapsed="1"/>
    <col min="50" max="50" width="0.85546875" style="226" customWidth="1"/>
    <col min="51" max="54" width="6.42578125" style="226" hidden="1" customWidth="1" outlineLevel="1"/>
    <col min="55" max="55" width="6.42578125" style="226" customWidth="1" collapsed="1"/>
    <col min="56" max="56" width="0.85546875" style="226" customWidth="1"/>
    <col min="57" max="60" width="6.42578125" style="226" hidden="1" customWidth="1" outlineLevel="1"/>
    <col min="61" max="61" width="6.42578125" style="226" customWidth="1" collapsed="1"/>
    <col min="62" max="62" width="0.85546875" style="226" customWidth="1"/>
    <col min="63" max="64" width="6.42578125" style="226" hidden="1" customWidth="1" outlineLevel="1"/>
    <col min="65" max="65" width="7.28515625" style="226" hidden="1" customWidth="1" outlineLevel="1"/>
    <col min="66" max="66" width="6.42578125" style="226" hidden="1" customWidth="1" outlineLevel="1"/>
    <col min="67" max="67" width="6.42578125" style="226" customWidth="1" collapsed="1"/>
    <col min="68" max="68" width="0.85546875" style="226" customWidth="1"/>
    <col min="69" max="72" width="6.42578125" style="226" customWidth="1" outlineLevel="1"/>
    <col min="73" max="73" width="6.42578125" style="226" customWidth="1"/>
    <col min="74" max="74" width="0.85546875" style="226" customWidth="1"/>
    <col min="75" max="78" width="6.42578125" style="226" customWidth="1" outlineLevel="1"/>
    <col min="79" max="79" width="6.42578125" style="226" customWidth="1"/>
    <col min="80" max="80" width="0.85546875" style="226" customWidth="1"/>
    <col min="81" max="84" width="6.42578125" style="226" hidden="1" customWidth="1" outlineLevel="1"/>
    <col min="85" max="85" width="6.42578125" style="226" customWidth="1" collapsed="1"/>
    <col min="86" max="86" width="0.85546875" style="226" customWidth="1"/>
    <col min="87" max="90" width="6.42578125" style="226" hidden="1" customWidth="1" outlineLevel="1"/>
    <col min="91" max="91" width="6.42578125" style="226" customWidth="1" collapsed="1"/>
    <col min="92" max="95" width="7" style="226" customWidth="1"/>
    <col min="96" max="96" width="26.28515625" hidden="1" customWidth="1" outlineLevel="1"/>
    <col min="97" max="97" width="7.28515625" hidden="1" customWidth="1" outlineLevel="1"/>
    <col min="98" max="98" width="6.5703125" hidden="1" customWidth="1" outlineLevel="1"/>
    <col min="99" max="101" width="8.85546875" hidden="1" customWidth="1" outlineLevel="1"/>
    <col min="102" max="102" width="8.85546875" style="226" collapsed="1"/>
    <col min="103" max="16384" width="8.85546875" style="226"/>
  </cols>
  <sheetData>
    <row r="1" spans="1:95">
      <c r="A1" s="228"/>
      <c r="B1" s="228"/>
      <c r="C1" s="228"/>
      <c r="D1" s="228"/>
      <c r="E1" s="228"/>
      <c r="F1" s="228"/>
      <c r="G1" s="228"/>
      <c r="H1" s="228"/>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c r="BM1" s="228"/>
      <c r="BN1" s="228"/>
      <c r="BO1" s="228"/>
      <c r="BP1" s="228"/>
      <c r="BQ1" s="228"/>
      <c r="BR1" s="228"/>
      <c r="BS1" s="228"/>
      <c r="BT1" s="228"/>
      <c r="BU1" s="228"/>
      <c r="BV1" s="228"/>
      <c r="BW1" s="228"/>
      <c r="BX1" s="228"/>
      <c r="BY1" s="228"/>
      <c r="BZ1" s="228"/>
      <c r="CA1" s="228"/>
      <c r="CB1" s="228"/>
      <c r="CC1" s="228"/>
      <c r="CD1" s="228"/>
      <c r="CE1" s="228"/>
      <c r="CF1" s="228"/>
      <c r="CG1" s="228"/>
      <c r="CH1" s="228"/>
      <c r="CI1" s="228"/>
      <c r="CJ1" s="228"/>
      <c r="CK1" s="228"/>
      <c r="CL1" s="228"/>
      <c r="CM1" s="228"/>
      <c r="CN1" s="228"/>
      <c r="CO1" s="228"/>
      <c r="CP1" s="228"/>
      <c r="CQ1" s="228"/>
    </row>
    <row r="2" spans="1:95" ht="15.75" customHeight="1">
      <c r="A2" s="37" t="s">
        <v>217</v>
      </c>
      <c r="B2" s="126"/>
      <c r="C2" s="126"/>
      <c r="D2" s="126"/>
      <c r="E2" s="126"/>
      <c r="F2" s="126"/>
      <c r="G2" s="126"/>
      <c r="H2" s="126"/>
      <c r="I2" s="126"/>
      <c r="J2" s="126"/>
      <c r="K2" s="126"/>
      <c r="L2" s="126"/>
      <c r="M2" s="126"/>
      <c r="N2" s="126"/>
      <c r="O2" s="126"/>
      <c r="P2" s="126"/>
      <c r="Q2" s="126"/>
      <c r="R2" s="126"/>
      <c r="S2" s="126"/>
      <c r="T2" s="126"/>
      <c r="U2" s="126"/>
      <c r="V2" s="126"/>
      <c r="W2" s="126"/>
      <c r="X2" s="126"/>
      <c r="Y2" s="98"/>
      <c r="Z2" s="126"/>
      <c r="AA2" s="126"/>
      <c r="AB2" s="126"/>
      <c r="AC2" s="126"/>
      <c r="AD2" s="126"/>
      <c r="AE2" s="98"/>
      <c r="AF2" s="126"/>
      <c r="AG2" s="126"/>
      <c r="AH2" s="126"/>
      <c r="AI2" s="126"/>
      <c r="AJ2" s="126"/>
      <c r="AK2" s="98"/>
      <c r="AL2" s="126"/>
      <c r="AM2" s="126"/>
      <c r="AN2" s="126"/>
      <c r="AO2" s="126"/>
      <c r="AP2" s="126"/>
      <c r="AQ2" s="98"/>
      <c r="AR2" s="126"/>
      <c r="AS2" s="126"/>
      <c r="AT2" s="126"/>
      <c r="AU2" s="126"/>
      <c r="AV2" s="126"/>
      <c r="AW2" s="98"/>
      <c r="AX2" s="126"/>
      <c r="AY2" s="126"/>
      <c r="AZ2" s="126"/>
      <c r="BA2" s="126"/>
      <c r="BB2" s="126"/>
      <c r="BC2" s="98"/>
      <c r="BD2" s="126"/>
      <c r="BE2" s="126"/>
      <c r="BF2" s="126"/>
      <c r="BG2" s="126"/>
      <c r="BH2" s="126"/>
      <c r="BI2" s="98"/>
      <c r="BJ2" s="126"/>
      <c r="BK2" s="126"/>
      <c r="BL2" s="126"/>
      <c r="BM2" s="126"/>
      <c r="BN2" s="126"/>
      <c r="BO2" s="98"/>
      <c r="BP2" s="126"/>
      <c r="BQ2" s="126"/>
      <c r="BR2" s="126"/>
      <c r="BS2" s="126"/>
      <c r="BT2" s="126"/>
      <c r="BU2" s="98"/>
      <c r="BV2" s="98"/>
      <c r="BW2" s="126"/>
      <c r="BX2" s="126"/>
      <c r="BY2" s="126"/>
      <c r="BZ2" s="126"/>
      <c r="CA2" s="98"/>
      <c r="CB2" s="98"/>
      <c r="CC2" s="126"/>
      <c r="CD2" s="126"/>
      <c r="CE2" s="126"/>
      <c r="CF2" s="126"/>
      <c r="CG2" s="98"/>
      <c r="CH2" s="98"/>
      <c r="CI2" s="126"/>
      <c r="CJ2" s="126"/>
      <c r="CK2" s="126"/>
      <c r="CL2" s="126"/>
      <c r="CM2" s="98"/>
      <c r="CN2" s="98"/>
      <c r="CO2" s="98"/>
      <c r="CP2" s="98"/>
      <c r="CQ2" s="98"/>
    </row>
    <row r="3" spans="1:95">
      <c r="A3" s="40" t="s">
        <v>16</v>
      </c>
      <c r="B3" s="127"/>
      <c r="C3" s="127"/>
      <c r="D3" s="127"/>
      <c r="E3" s="127"/>
      <c r="F3" s="127"/>
      <c r="G3" s="127"/>
      <c r="H3" s="127"/>
      <c r="I3" s="127"/>
      <c r="J3" s="127"/>
      <c r="K3" s="127"/>
      <c r="L3" s="127"/>
      <c r="M3" s="127"/>
      <c r="N3" s="127"/>
      <c r="O3" s="127"/>
      <c r="P3" s="127"/>
      <c r="Q3" s="127"/>
      <c r="R3" s="127"/>
      <c r="S3" s="127"/>
      <c r="T3" s="127"/>
      <c r="U3" s="127"/>
      <c r="V3" s="127"/>
      <c r="W3" s="127"/>
      <c r="X3" s="127"/>
      <c r="Y3" s="144"/>
      <c r="Z3" s="127"/>
      <c r="AA3" s="127"/>
      <c r="AB3" s="127"/>
      <c r="AC3" s="127"/>
      <c r="AD3" s="127"/>
      <c r="AE3" s="144"/>
      <c r="AF3" s="127"/>
      <c r="AG3" s="127"/>
      <c r="AH3" s="127"/>
      <c r="AI3" s="127"/>
      <c r="AJ3" s="127"/>
      <c r="AK3" s="144"/>
      <c r="AL3" s="127"/>
      <c r="AM3" s="127"/>
      <c r="AN3" s="127"/>
      <c r="AO3" s="127"/>
      <c r="AP3" s="127"/>
      <c r="AQ3" s="144"/>
      <c r="AR3" s="127"/>
      <c r="AS3" s="127"/>
      <c r="AT3" s="127"/>
      <c r="AU3" s="127"/>
      <c r="AV3" s="127"/>
      <c r="AW3" s="144"/>
      <c r="AX3" s="127"/>
      <c r="AY3" s="127"/>
      <c r="AZ3" s="127"/>
      <c r="BA3" s="127"/>
      <c r="BB3" s="127"/>
      <c r="BC3" s="144"/>
      <c r="BD3" s="127"/>
      <c r="BE3" s="127"/>
      <c r="BF3" s="127"/>
      <c r="BG3" s="127"/>
      <c r="BH3" s="127"/>
      <c r="BI3" s="144"/>
      <c r="BJ3" s="127"/>
      <c r="BK3" s="127"/>
      <c r="BL3" s="127"/>
      <c r="BM3" s="127"/>
      <c r="BN3" s="127"/>
      <c r="BO3" s="144"/>
      <c r="BP3" s="127"/>
      <c r="BQ3" s="127"/>
      <c r="BR3" s="127"/>
      <c r="BS3" s="127"/>
      <c r="BT3" s="127"/>
      <c r="BU3" s="144"/>
      <c r="BV3" s="36"/>
      <c r="BW3" s="127"/>
      <c r="BX3" s="127"/>
      <c r="BY3" s="127"/>
      <c r="BZ3" s="127"/>
      <c r="CA3" s="144"/>
      <c r="CB3" s="36"/>
      <c r="CC3" s="127"/>
      <c r="CD3" s="127"/>
      <c r="CE3" s="127"/>
      <c r="CF3" s="127"/>
      <c r="CG3" s="144"/>
      <c r="CH3" s="36"/>
      <c r="CI3" s="127"/>
      <c r="CJ3" s="127"/>
      <c r="CK3" s="127"/>
      <c r="CL3" s="127"/>
      <c r="CM3" s="144"/>
      <c r="CN3" s="98"/>
      <c r="CO3" s="98"/>
      <c r="CP3" s="98"/>
      <c r="CQ3" s="98"/>
    </row>
    <row r="4" spans="1:95">
      <c r="A4" s="486" t="s">
        <v>389</v>
      </c>
      <c r="B4" s="43"/>
      <c r="C4" s="43"/>
      <c r="D4" s="43"/>
      <c r="E4" s="43"/>
      <c r="F4" s="43"/>
      <c r="G4" s="43"/>
      <c r="H4" s="43"/>
      <c r="I4" s="43"/>
      <c r="J4" s="43"/>
      <c r="K4" s="43"/>
      <c r="L4" s="43"/>
      <c r="M4" s="43"/>
      <c r="N4" s="43"/>
      <c r="O4" s="43"/>
      <c r="P4" s="43"/>
      <c r="Q4" s="43"/>
      <c r="R4" s="43"/>
      <c r="S4" s="126"/>
      <c r="T4" s="43"/>
      <c r="U4" s="126"/>
      <c r="V4" s="126"/>
      <c r="W4" s="126"/>
      <c r="X4" s="126"/>
      <c r="Y4" s="98"/>
      <c r="Z4" s="43"/>
      <c r="AA4" s="126"/>
      <c r="AB4" s="126"/>
      <c r="AC4" s="126"/>
      <c r="AD4" s="126"/>
      <c r="AE4" s="98"/>
      <c r="AF4" s="43"/>
      <c r="AG4" s="126"/>
      <c r="AH4" s="126"/>
      <c r="AI4" s="126"/>
      <c r="AJ4" s="126"/>
      <c r="AK4" s="98"/>
      <c r="AL4" s="43"/>
      <c r="AM4" s="126"/>
      <c r="AN4" s="126"/>
      <c r="AO4" s="126"/>
      <c r="AP4" s="126"/>
      <c r="AQ4" s="98"/>
      <c r="AR4" s="43"/>
      <c r="AS4" s="126"/>
      <c r="AT4" s="126"/>
      <c r="AU4" s="126"/>
      <c r="AV4" s="126"/>
      <c r="AW4" s="98"/>
      <c r="AX4" s="43"/>
      <c r="AY4" s="126"/>
      <c r="AZ4" s="126"/>
      <c r="BA4" s="126"/>
      <c r="BB4" s="126"/>
      <c r="BC4" s="98"/>
      <c r="BD4" s="43"/>
      <c r="BE4" s="126"/>
      <c r="BF4" s="126"/>
      <c r="BG4" s="126"/>
      <c r="BH4" s="126"/>
      <c r="BI4" s="98"/>
      <c r="BJ4" s="43"/>
      <c r="BK4" s="126"/>
      <c r="BL4" s="126"/>
      <c r="BM4" s="126"/>
      <c r="BN4" s="126"/>
      <c r="BO4" s="98"/>
      <c r="BP4" s="43"/>
      <c r="BQ4" s="126"/>
      <c r="BR4" s="126"/>
      <c r="BS4" s="126"/>
      <c r="BT4" s="126"/>
      <c r="BU4" s="98"/>
      <c r="BV4" s="98"/>
      <c r="BW4" s="126"/>
      <c r="BX4" s="126"/>
      <c r="BY4" s="126"/>
      <c r="BZ4" s="126"/>
      <c r="CA4" s="98"/>
      <c r="CB4" s="98"/>
      <c r="CC4" s="126"/>
      <c r="CD4" s="126"/>
      <c r="CE4" s="126"/>
      <c r="CF4" s="126"/>
      <c r="CG4" s="98"/>
      <c r="CH4" s="98"/>
      <c r="CI4" s="126"/>
      <c r="CJ4" s="126"/>
      <c r="CK4" s="126"/>
      <c r="CL4" s="126"/>
      <c r="CM4" s="98"/>
      <c r="CN4" s="94"/>
      <c r="CO4" s="94"/>
      <c r="CP4" s="94"/>
      <c r="CQ4" s="94"/>
    </row>
    <row r="5" spans="1:95">
      <c r="A5" s="487" t="s">
        <v>83</v>
      </c>
      <c r="B5" s="48"/>
      <c r="C5" s="48"/>
      <c r="D5" s="48"/>
      <c r="E5" s="48"/>
      <c r="F5" s="48"/>
      <c r="G5" s="48"/>
      <c r="H5" s="48"/>
      <c r="I5" s="48"/>
      <c r="J5" s="48"/>
      <c r="K5" s="48"/>
      <c r="L5" s="48"/>
      <c r="M5" s="48"/>
      <c r="N5" s="48"/>
      <c r="O5" s="48"/>
      <c r="P5" s="48"/>
      <c r="Q5" s="48"/>
      <c r="R5" s="48"/>
      <c r="S5" s="530"/>
      <c r="T5" s="48"/>
      <c r="U5" s="530"/>
      <c r="V5" s="530"/>
      <c r="W5" s="530"/>
      <c r="X5" s="530"/>
      <c r="Y5" s="36"/>
      <c r="Z5" s="48"/>
      <c r="AA5" s="530"/>
      <c r="AB5" s="530"/>
      <c r="AC5" s="530"/>
      <c r="AD5" s="530"/>
      <c r="AE5" s="36"/>
      <c r="AF5" s="48"/>
      <c r="AG5" s="530"/>
      <c r="AH5" s="530"/>
      <c r="AI5" s="530"/>
      <c r="AJ5" s="530"/>
      <c r="AK5" s="36"/>
      <c r="AL5" s="48"/>
      <c r="AM5" s="530"/>
      <c r="AN5" s="530"/>
      <c r="AO5" s="530"/>
      <c r="AP5" s="530"/>
      <c r="AQ5" s="36"/>
      <c r="AR5" s="48"/>
      <c r="AS5" s="530"/>
      <c r="AT5" s="530"/>
      <c r="AU5" s="530"/>
      <c r="AV5" s="530"/>
      <c r="AW5" s="36"/>
      <c r="AX5" s="48"/>
      <c r="AY5" s="530"/>
      <c r="AZ5" s="530"/>
      <c r="BA5" s="530"/>
      <c r="BB5" s="530"/>
      <c r="BC5" s="36"/>
      <c r="BD5" s="48"/>
      <c r="BE5" s="530"/>
      <c r="BF5" s="530"/>
      <c r="BG5" s="530"/>
      <c r="BH5" s="530"/>
      <c r="BI5" s="36"/>
      <c r="BJ5" s="48"/>
      <c r="BK5" s="530"/>
      <c r="BL5" s="530"/>
      <c r="BM5" s="530"/>
      <c r="BN5" s="530"/>
      <c r="BO5" s="36"/>
      <c r="BP5" s="48"/>
      <c r="BQ5" s="530"/>
      <c r="BR5" s="530"/>
      <c r="BS5" s="530"/>
      <c r="BT5" s="530"/>
      <c r="BU5" s="36"/>
      <c r="BV5" s="36"/>
      <c r="BW5" s="530"/>
      <c r="BX5" s="530"/>
      <c r="BY5" s="530"/>
      <c r="BZ5" s="530"/>
      <c r="CA5" s="36"/>
      <c r="CB5" s="36"/>
      <c r="CC5" s="530"/>
      <c r="CD5" s="530"/>
      <c r="CE5" s="530"/>
      <c r="CF5" s="530"/>
      <c r="CG5" s="36"/>
      <c r="CH5" s="36"/>
      <c r="CI5" s="530"/>
      <c r="CJ5" s="530"/>
      <c r="CK5" s="530"/>
      <c r="CL5" s="530"/>
      <c r="CM5" s="36"/>
      <c r="CN5" s="98"/>
      <c r="CO5" s="98"/>
      <c r="CP5" s="98"/>
      <c r="CQ5" s="98"/>
    </row>
    <row r="6" spans="1:95" customFormat="1" ht="12.75" hidden="1" customHeight="1" outlineLevel="1"/>
    <row r="7" spans="1:95" ht="11.25" customHeight="1" collapsed="1">
      <c r="A7" s="48"/>
      <c r="B7" s="170"/>
      <c r="C7" s="260">
        <v>2007</v>
      </c>
      <c r="D7" s="261"/>
      <c r="E7" s="261"/>
      <c r="F7" s="261"/>
      <c r="G7" s="262">
        <v>2007</v>
      </c>
      <c r="H7" s="263"/>
      <c r="I7" s="260">
        <f>C7+1</f>
        <v>2008</v>
      </c>
      <c r="J7" s="261"/>
      <c r="K7" s="261"/>
      <c r="L7" s="261"/>
      <c r="M7" s="262">
        <f>G7+1</f>
        <v>2008</v>
      </c>
      <c r="N7" s="264"/>
      <c r="O7" s="260">
        <f>I7+1</f>
        <v>2009</v>
      </c>
      <c r="P7" s="261"/>
      <c r="Q7" s="261"/>
      <c r="R7" s="261"/>
      <c r="S7" s="262">
        <f>M7+1</f>
        <v>2009</v>
      </c>
      <c r="T7" s="264"/>
      <c r="U7" s="260">
        <f>O7+1</f>
        <v>2010</v>
      </c>
      <c r="V7" s="261"/>
      <c r="W7" s="261"/>
      <c r="X7" s="261"/>
      <c r="Y7" s="262">
        <f>S7+1</f>
        <v>2010</v>
      </c>
      <c r="Z7" s="264"/>
      <c r="AA7" s="260">
        <f>U7+1</f>
        <v>2011</v>
      </c>
      <c r="AB7" s="261"/>
      <c r="AC7" s="261"/>
      <c r="AD7" s="261"/>
      <c r="AE7" s="262">
        <f>Y7+1</f>
        <v>2011</v>
      </c>
      <c r="AF7" s="264"/>
      <c r="AG7" s="260">
        <f>AA7+1</f>
        <v>2012</v>
      </c>
      <c r="AH7" s="261"/>
      <c r="AI7" s="261"/>
      <c r="AJ7" s="261"/>
      <c r="AK7" s="262">
        <f>AE7+1</f>
        <v>2012</v>
      </c>
      <c r="AL7" s="264"/>
      <c r="AM7" s="260">
        <f>AG7+1</f>
        <v>2013</v>
      </c>
      <c r="AN7" s="261"/>
      <c r="AO7" s="261"/>
      <c r="AP7" s="261"/>
      <c r="AQ7" s="262">
        <f>AK7+1</f>
        <v>2013</v>
      </c>
      <c r="AR7" s="264"/>
      <c r="AS7" s="260">
        <f>AM7+1</f>
        <v>2014</v>
      </c>
      <c r="AT7" s="261"/>
      <c r="AU7" s="261"/>
      <c r="AV7" s="261"/>
      <c r="AW7" s="262">
        <f>AQ7+1</f>
        <v>2014</v>
      </c>
      <c r="AX7" s="264"/>
      <c r="AY7" s="260">
        <f>AS7+1</f>
        <v>2015</v>
      </c>
      <c r="AZ7" s="261"/>
      <c r="BA7" s="1766"/>
      <c r="BB7" s="261"/>
      <c r="BC7" s="262">
        <f>AW7+1</f>
        <v>2015</v>
      </c>
      <c r="BD7" s="264"/>
      <c r="BE7" s="260">
        <f>AY7+1</f>
        <v>2016</v>
      </c>
      <c r="BF7" s="261"/>
      <c r="BG7" s="1766"/>
      <c r="BH7" s="261"/>
      <c r="BI7" s="262">
        <f>BC7+1</f>
        <v>2016</v>
      </c>
      <c r="BJ7" s="264"/>
      <c r="BK7" s="260">
        <f>BE7+1</f>
        <v>2017</v>
      </c>
      <c r="BL7" s="261"/>
      <c r="BM7" s="1766"/>
      <c r="BN7" s="261"/>
      <c r="BO7" s="262">
        <f>BI7+1</f>
        <v>2017</v>
      </c>
      <c r="BP7" s="264"/>
      <c r="BQ7" s="265">
        <f>BK7+1</f>
        <v>2018</v>
      </c>
      <c r="BR7" s="261"/>
      <c r="BS7" s="261"/>
      <c r="BT7" s="261"/>
      <c r="BU7" s="266">
        <f>BO7+1</f>
        <v>2018</v>
      </c>
      <c r="BV7" s="1785"/>
      <c r="BW7" s="265">
        <f>BQ7+1</f>
        <v>2019</v>
      </c>
      <c r="BX7" s="261"/>
      <c r="BY7" s="261"/>
      <c r="BZ7" s="261"/>
      <c r="CA7" s="266">
        <f>BU7+1</f>
        <v>2019</v>
      </c>
      <c r="CB7" s="1785"/>
      <c r="CC7" s="265">
        <f>BW7+1</f>
        <v>2020</v>
      </c>
      <c r="CD7" s="261"/>
      <c r="CE7" s="261"/>
      <c r="CF7" s="261"/>
      <c r="CG7" s="266">
        <f>CA7+1</f>
        <v>2020</v>
      </c>
      <c r="CH7" s="1785"/>
      <c r="CI7" s="265">
        <f>CC7+1</f>
        <v>2021</v>
      </c>
      <c r="CJ7" s="261"/>
      <c r="CK7" s="261"/>
      <c r="CL7" s="261"/>
      <c r="CM7" s="266">
        <f>CG7+1</f>
        <v>2021</v>
      </c>
      <c r="CN7" s="1720"/>
      <c r="CO7" s="1720"/>
      <c r="CP7" s="1720"/>
      <c r="CQ7" s="1720"/>
    </row>
    <row r="8" spans="1:95" ht="13.5" thickBot="1">
      <c r="A8" s="36"/>
      <c r="B8" s="170"/>
      <c r="C8" s="267">
        <v>39172</v>
      </c>
      <c r="D8" s="268">
        <f>C8+FLOOR(365/4,1)</f>
        <v>39263</v>
      </c>
      <c r="E8" s="268">
        <f>D8+FLOOR(365/4,1)+1</f>
        <v>39355</v>
      </c>
      <c r="F8" s="268">
        <f>E8+FLOOR(365/4,1)+1</f>
        <v>39447</v>
      </c>
      <c r="G8" s="269"/>
      <c r="H8" s="270"/>
      <c r="I8" s="267">
        <f>C8+366</f>
        <v>39538</v>
      </c>
      <c r="J8" s="268">
        <f>I8+FLOOR(365/4,1)</f>
        <v>39629</v>
      </c>
      <c r="K8" s="268">
        <f>J8+FLOOR(365/4,1)+1</f>
        <v>39721</v>
      </c>
      <c r="L8" s="268">
        <f>K8+FLOOR(365/4,1)+1</f>
        <v>39813</v>
      </c>
      <c r="M8" s="269"/>
      <c r="N8" s="271"/>
      <c r="O8" s="267">
        <f>I8+365</f>
        <v>39903</v>
      </c>
      <c r="P8" s="268">
        <f>O8+FLOOR(365/4,1)</f>
        <v>39994</v>
      </c>
      <c r="Q8" s="268">
        <f>P8+FLOOR(365/4,1)+1</f>
        <v>40086</v>
      </c>
      <c r="R8" s="268">
        <f>Q8+FLOOR(365/4,1)+1</f>
        <v>40178</v>
      </c>
      <c r="S8" s="269"/>
      <c r="T8" s="271"/>
      <c r="U8" s="267">
        <f>O8+365</f>
        <v>40268</v>
      </c>
      <c r="V8" s="268">
        <f>U8+FLOOR(365/4,1)</f>
        <v>40359</v>
      </c>
      <c r="W8" s="268">
        <f>V8+FLOOR(365/4,1)+1</f>
        <v>40451</v>
      </c>
      <c r="X8" s="268">
        <f>W8+FLOOR(365/4,1)+1</f>
        <v>40543</v>
      </c>
      <c r="Y8" s="269"/>
      <c r="Z8" s="271"/>
      <c r="AA8" s="267">
        <f>U8+365</f>
        <v>40633</v>
      </c>
      <c r="AB8" s="268">
        <f>AA8+FLOOR(365/4,1)</f>
        <v>40724</v>
      </c>
      <c r="AC8" s="268">
        <f>AB8+FLOOR(365/4,1)+1</f>
        <v>40816</v>
      </c>
      <c r="AD8" s="268">
        <f>AC8+FLOOR(365/4,1)+1</f>
        <v>40908</v>
      </c>
      <c r="AE8" s="269"/>
      <c r="AF8" s="271"/>
      <c r="AG8" s="267">
        <f>AA8+366</f>
        <v>40999</v>
      </c>
      <c r="AH8" s="268">
        <f>AG8+FLOOR(365/4,1)</f>
        <v>41090</v>
      </c>
      <c r="AI8" s="268">
        <f>AH8+FLOOR(365/4,1)+1</f>
        <v>41182</v>
      </c>
      <c r="AJ8" s="268">
        <f>AI8+FLOOR(365/4,1)+1</f>
        <v>41274</v>
      </c>
      <c r="AK8" s="269"/>
      <c r="AL8" s="271"/>
      <c r="AM8" s="267">
        <f>AG8+365</f>
        <v>41364</v>
      </c>
      <c r="AN8" s="268">
        <f>AM8+FLOOR(365/4,1)</f>
        <v>41455</v>
      </c>
      <c r="AO8" s="268">
        <f>AN8+FLOOR(365/4,1)+1</f>
        <v>41547</v>
      </c>
      <c r="AP8" s="268">
        <f>AO8+FLOOR(365/4,1)+1</f>
        <v>41639</v>
      </c>
      <c r="AQ8" s="269"/>
      <c r="AR8" s="271"/>
      <c r="AS8" s="267">
        <f>AM8+365</f>
        <v>41729</v>
      </c>
      <c r="AT8" s="268">
        <f>AS8+FLOOR(365/4,1)</f>
        <v>41820</v>
      </c>
      <c r="AU8" s="268">
        <f>AT8+FLOOR(365/4,1)+1</f>
        <v>41912</v>
      </c>
      <c r="AV8" s="268">
        <f>AU8+FLOOR(365/4,1)+1</f>
        <v>42004</v>
      </c>
      <c r="AW8" s="269"/>
      <c r="AX8" s="271"/>
      <c r="AY8" s="267">
        <f>AS8+365</f>
        <v>42094</v>
      </c>
      <c r="AZ8" s="268">
        <f>AY8+FLOOR(365/4,1)</f>
        <v>42185</v>
      </c>
      <c r="BA8" s="268">
        <f>AZ8+FLOOR(365/4,1)+1</f>
        <v>42277</v>
      </c>
      <c r="BB8" s="268">
        <f>BA8+FLOOR(365/4,1)+1</f>
        <v>42369</v>
      </c>
      <c r="BC8" s="269"/>
      <c r="BD8" s="271"/>
      <c r="BE8" s="267">
        <f>AY8+365+1</f>
        <v>42460</v>
      </c>
      <c r="BF8" s="268">
        <f>BE8+FLOOR(365/4,1)</f>
        <v>42551</v>
      </c>
      <c r="BG8" s="268">
        <f>BF8+FLOOR(365/4,1)+1</f>
        <v>42643</v>
      </c>
      <c r="BH8" s="268">
        <f>BG8+FLOOR(365/4,1)+1</f>
        <v>42735</v>
      </c>
      <c r="BI8" s="269"/>
      <c r="BJ8" s="271"/>
      <c r="BK8" s="267">
        <f>BE8+365</f>
        <v>42825</v>
      </c>
      <c r="BL8" s="268">
        <f>BK8+FLOOR(365/4,1)</f>
        <v>42916</v>
      </c>
      <c r="BM8" s="268">
        <f>BL8+FLOOR(365/4,1)+1</f>
        <v>43008</v>
      </c>
      <c r="BN8" s="268">
        <f>BM8+FLOOR(365/4,1)+1</f>
        <v>43100</v>
      </c>
      <c r="BO8" s="269"/>
      <c r="BP8" s="271"/>
      <c r="BQ8" s="273">
        <f>BK8+365</f>
        <v>43190</v>
      </c>
      <c r="BR8" s="272">
        <f>BQ8+FLOOR(365/4,1)</f>
        <v>43281</v>
      </c>
      <c r="BS8" s="272">
        <f>BR8+FLOOR(365/4,1)+1</f>
        <v>43373</v>
      </c>
      <c r="BT8" s="274">
        <f>BS8+FLOOR(365/4,1)+1</f>
        <v>43465</v>
      </c>
      <c r="BU8" s="269"/>
      <c r="BV8" s="1786"/>
      <c r="BW8" s="273">
        <f>BQ8+365</f>
        <v>43555</v>
      </c>
      <c r="BX8" s="272">
        <f>BW8+FLOOR(365/4,1)</f>
        <v>43646</v>
      </c>
      <c r="BY8" s="272">
        <f>BX8+FLOOR(365/4,1)+1</f>
        <v>43738</v>
      </c>
      <c r="BZ8" s="274">
        <f>BY8+FLOOR(365/4,1)+1</f>
        <v>43830</v>
      </c>
      <c r="CA8" s="269"/>
      <c r="CB8" s="1786"/>
      <c r="CC8" s="273">
        <f>BW8+365</f>
        <v>43920</v>
      </c>
      <c r="CD8" s="272">
        <f>CC8+FLOOR(365/4,1)</f>
        <v>44011</v>
      </c>
      <c r="CE8" s="272">
        <f>CD8+FLOOR(365/4,1)+1</f>
        <v>44103</v>
      </c>
      <c r="CF8" s="274">
        <f>CE8+FLOOR(365/4,1)+1</f>
        <v>44195</v>
      </c>
      <c r="CG8" s="269"/>
      <c r="CH8" s="1786"/>
      <c r="CI8" s="273">
        <f>CC8+365</f>
        <v>44285</v>
      </c>
      <c r="CJ8" s="272">
        <f>CI8+FLOOR(365/4,1)</f>
        <v>44376</v>
      </c>
      <c r="CK8" s="272">
        <f>CJ8+FLOOR(365/4,1)+1</f>
        <v>44468</v>
      </c>
      <c r="CL8" s="274">
        <f>CK8+FLOOR(365/4,1)+1</f>
        <v>44560</v>
      </c>
      <c r="CM8" s="269"/>
      <c r="CN8" s="1720"/>
      <c r="CO8" s="1720"/>
      <c r="CP8" s="1720"/>
      <c r="CQ8" s="1720"/>
    </row>
    <row r="9" spans="1:95">
      <c r="A9" s="1692" t="s">
        <v>219</v>
      </c>
      <c r="B9" s="105"/>
      <c r="C9" s="531"/>
      <c r="D9" s="532"/>
      <c r="E9" s="532"/>
      <c r="F9" s="532"/>
      <c r="G9" s="533"/>
      <c r="H9" s="105"/>
      <c r="I9" s="531"/>
      <c r="J9" s="532"/>
      <c r="K9" s="532"/>
      <c r="L9" s="532"/>
      <c r="M9" s="533"/>
      <c r="N9" s="105"/>
      <c r="O9" s="531"/>
      <c r="P9" s="532"/>
      <c r="Q9" s="532"/>
      <c r="R9" s="532"/>
      <c r="S9" s="534"/>
      <c r="T9" s="105"/>
      <c r="U9" s="535"/>
      <c r="V9" s="536"/>
      <c r="W9" s="536"/>
      <c r="X9" s="536"/>
      <c r="Y9" s="534"/>
      <c r="Z9" s="105"/>
      <c r="AA9" s="535"/>
      <c r="AB9" s="536"/>
      <c r="AC9" s="536"/>
      <c r="AD9" s="536"/>
      <c r="AE9" s="534"/>
      <c r="AF9" s="105"/>
      <c r="AG9" s="535"/>
      <c r="AH9" s="536"/>
      <c r="AI9" s="536"/>
      <c r="AJ9" s="838"/>
      <c r="AK9" s="534"/>
      <c r="AL9" s="105"/>
      <c r="AM9" s="535"/>
      <c r="AN9" s="536"/>
      <c r="AO9" s="536"/>
      <c r="AP9" s="536"/>
      <c r="AQ9" s="534"/>
      <c r="AR9" s="105"/>
      <c r="AS9" s="535"/>
      <c r="AT9" s="536"/>
      <c r="AU9" s="536"/>
      <c r="AV9" s="536"/>
      <c r="AW9" s="534"/>
      <c r="AX9" s="105"/>
      <c r="AY9" s="535"/>
      <c r="AZ9" s="536"/>
      <c r="BA9" s="536"/>
      <c r="BB9" s="536"/>
      <c r="BC9" s="534"/>
      <c r="BD9" s="105"/>
      <c r="BE9" s="535"/>
      <c r="BF9" s="536"/>
      <c r="BG9" s="536"/>
      <c r="BH9" s="536"/>
      <c r="BI9" s="534"/>
      <c r="BJ9" s="105"/>
      <c r="BK9" s="535"/>
      <c r="BL9" s="536"/>
      <c r="BM9" s="536"/>
      <c r="BN9" s="536"/>
      <c r="BO9" s="534"/>
      <c r="BP9" s="105"/>
      <c r="BQ9" s="535"/>
      <c r="BR9" s="536"/>
      <c r="BS9" s="536"/>
      <c r="BT9" s="536"/>
      <c r="BU9" s="534"/>
      <c r="BV9" s="536"/>
      <c r="BW9" s="535"/>
      <c r="BX9" s="536"/>
      <c r="BY9" s="536"/>
      <c r="BZ9" s="536"/>
      <c r="CA9" s="534"/>
      <c r="CB9" s="536"/>
      <c r="CC9" s="535"/>
      <c r="CD9" s="536"/>
      <c r="CE9" s="536"/>
      <c r="CF9" s="536"/>
      <c r="CG9" s="534"/>
      <c r="CH9" s="536"/>
      <c r="CI9" s="535"/>
      <c r="CJ9" s="536"/>
      <c r="CK9" s="536"/>
      <c r="CL9" s="536"/>
      <c r="CM9" s="534"/>
      <c r="CN9" s="98"/>
      <c r="CO9" s="98"/>
      <c r="CP9" s="98"/>
      <c r="CQ9" s="98"/>
    </row>
    <row r="10" spans="1:95">
      <c r="A10" s="1693" t="s">
        <v>220</v>
      </c>
      <c r="B10" s="755"/>
      <c r="C10" s="698">
        <f>+CFS!C56</f>
        <v>119.56199999999998</v>
      </c>
      <c r="D10" s="697">
        <f>+CFS!D56</f>
        <v>150.03999999999996</v>
      </c>
      <c r="E10" s="697">
        <f>+CFS!E56</f>
        <v>160.90099999999993</v>
      </c>
      <c r="F10" s="697">
        <f>+CFS!F56</f>
        <v>203.34799999999993</v>
      </c>
      <c r="G10" s="756">
        <f>+CFS!G56</f>
        <v>203.34800000000001</v>
      </c>
      <c r="H10" s="757"/>
      <c r="I10" s="758">
        <f>+CFS!I56</f>
        <v>185.262</v>
      </c>
      <c r="J10" s="753">
        <f>+CFS!J56</f>
        <v>193.45099999999996</v>
      </c>
      <c r="K10" s="753">
        <f>+CFS!K56</f>
        <v>188.80799999999996</v>
      </c>
      <c r="L10" s="753">
        <f>+CFS!L56</f>
        <v>179.10999999999999</v>
      </c>
      <c r="M10" s="759">
        <f>+CFS!M56</f>
        <v>179.10999999999999</v>
      </c>
      <c r="N10" s="757"/>
      <c r="O10" s="758">
        <f>+CFS!O56</f>
        <v>162.04900000000001</v>
      </c>
      <c r="P10" s="753">
        <f>+CFS!P56</f>
        <v>151.339</v>
      </c>
      <c r="Q10" s="753">
        <f>+CFS!Q56</f>
        <v>150.58599999999996</v>
      </c>
      <c r="R10" s="753">
        <f>+CFS!R56</f>
        <v>179.70699999999999</v>
      </c>
      <c r="S10" s="759">
        <f>+CFS!S56</f>
        <v>179.70700000000005</v>
      </c>
      <c r="T10" s="757"/>
      <c r="U10" s="758">
        <f>+CFS!U56</f>
        <v>181.74400000000006</v>
      </c>
      <c r="V10" s="753">
        <f>+CFS!V56</f>
        <v>215.66400000000004</v>
      </c>
      <c r="W10" s="753">
        <f>+CFS!W56</f>
        <v>250.98800000000006</v>
      </c>
      <c r="X10" s="753">
        <f>+CFS!X56</f>
        <v>420.08600000000001</v>
      </c>
      <c r="Y10" s="759">
        <f>+CFS!Y56</f>
        <v>420.08600000000001</v>
      </c>
      <c r="Z10" s="757"/>
      <c r="AA10" s="758">
        <f>+CFS!AA56</f>
        <v>415.84800000000001</v>
      </c>
      <c r="AB10" s="753">
        <f>+CFS!AB56</f>
        <v>395.20800000000003</v>
      </c>
      <c r="AC10" s="753">
        <f>+CFS!AC56</f>
        <v>248.102</v>
      </c>
      <c r="AD10" s="753">
        <f>+CFS!AD56</f>
        <v>142.34200000000004</v>
      </c>
      <c r="AE10" s="759">
        <f>+CFS!AE56</f>
        <v>142.34199999999998</v>
      </c>
      <c r="AF10" s="648"/>
      <c r="AG10" s="650">
        <v>144.75700000000001</v>
      </c>
      <c r="AH10" s="651">
        <v>171.40299999999999</v>
      </c>
      <c r="AI10" s="651">
        <v>170.828</v>
      </c>
      <c r="AJ10" s="651">
        <v>171.44399999999999</v>
      </c>
      <c r="AK10" s="649">
        <f>AJ10</f>
        <v>171.44399999999999</v>
      </c>
      <c r="AL10" s="648"/>
      <c r="AM10" s="650">
        <v>125.871</v>
      </c>
      <c r="AN10" s="651">
        <v>112.47</v>
      </c>
      <c r="AO10" s="651">
        <v>132.303</v>
      </c>
      <c r="AP10" s="651">
        <v>173.24199999999999</v>
      </c>
      <c r="AQ10" s="649">
        <f>AP10</f>
        <v>173.24199999999999</v>
      </c>
      <c r="AR10" s="648"/>
      <c r="AS10" s="650">
        <v>224.113</v>
      </c>
      <c r="AT10" s="651">
        <v>205.25800000000001</v>
      </c>
      <c r="AU10" s="651">
        <v>203.68299999999999</v>
      </c>
      <c r="AV10" s="651">
        <v>174.821</v>
      </c>
      <c r="AW10" s="649">
        <f>+AV10</f>
        <v>174.821</v>
      </c>
      <c r="AX10" s="648"/>
      <c r="AY10" s="650">
        <v>168.92400000000001</v>
      </c>
      <c r="AZ10" s="651">
        <v>192.17</v>
      </c>
      <c r="BA10" s="651">
        <v>195.066</v>
      </c>
      <c r="BB10" s="651">
        <v>237.93199999999999</v>
      </c>
      <c r="BC10" s="649">
        <f>+CFS!BC56</f>
        <v>237.9319999999999</v>
      </c>
      <c r="BD10" s="648"/>
      <c r="BE10" s="650">
        <v>210.73099999999999</v>
      </c>
      <c r="BF10" s="651">
        <v>248.083</v>
      </c>
      <c r="BG10" s="651">
        <v>311.66300000000001</v>
      </c>
      <c r="BH10" s="651">
        <v>359.26499999999999</v>
      </c>
      <c r="BI10" s="649">
        <f>+CFS!BI56</f>
        <v>359.2650000000001</v>
      </c>
      <c r="BJ10" s="648"/>
      <c r="BK10" s="650">
        <v>288.32900000000001</v>
      </c>
      <c r="BL10" s="651">
        <v>616.30799999999999</v>
      </c>
      <c r="BM10" s="651">
        <v>709.48800000000006</v>
      </c>
      <c r="BN10" s="651">
        <v>202.13399999999999</v>
      </c>
      <c r="BO10" s="649">
        <f>+CFS!BO56</f>
        <v>202.13399999999999</v>
      </c>
      <c r="BP10" s="648"/>
      <c r="BQ10" s="758">
        <f>+CFS!BQ56</f>
        <v>255.20448090663058</v>
      </c>
      <c r="BR10" s="753">
        <f>+CFS!BR56</f>
        <v>430.69340058408403</v>
      </c>
      <c r="BS10" s="753">
        <f>+CFS!BS56</f>
        <v>485.50787212989223</v>
      </c>
      <c r="BT10" s="753">
        <f>+CFS!BT56</f>
        <v>452.65784870023589</v>
      </c>
      <c r="BU10" s="649">
        <f>+CFS!BU56</f>
        <v>452.65784870023595</v>
      </c>
      <c r="BV10" s="1787"/>
      <c r="BW10" s="758">
        <f>+CFS!BW56</f>
        <v>424.42425199596994</v>
      </c>
      <c r="BX10" s="753">
        <f>+CFS!BX56</f>
        <v>377.46428275559299</v>
      </c>
      <c r="BY10" s="753">
        <f>+CFS!BY56</f>
        <v>386.91606490056881</v>
      </c>
      <c r="BZ10" s="753">
        <f>+CFS!BZ56</f>
        <v>502.35963436609313</v>
      </c>
      <c r="CA10" s="649">
        <f>+CFS!CA56</f>
        <v>502.35963436609325</v>
      </c>
      <c r="CB10" s="1787"/>
      <c r="CC10" s="758">
        <f>+CFS!CC56</f>
        <v>598.9721282458911</v>
      </c>
      <c r="CD10" s="753">
        <f>+CFS!CD56</f>
        <v>679.95017940829098</v>
      </c>
      <c r="CE10" s="753">
        <f>+CFS!CE56</f>
        <v>827.31103714077506</v>
      </c>
      <c r="CF10" s="753">
        <f>+CFS!CF56</f>
        <v>874.80801740136087</v>
      </c>
      <c r="CG10" s="649">
        <f>+CFS!CG56</f>
        <v>874.80801740136087</v>
      </c>
      <c r="CH10" s="1787"/>
      <c r="CI10" s="758">
        <f>+CFS!CI56</f>
        <v>919.19826955712983</v>
      </c>
      <c r="CJ10" s="753">
        <f>+CFS!CJ56</f>
        <v>925.32758228587011</v>
      </c>
      <c r="CK10" s="753">
        <f>+CFS!CK56</f>
        <v>999.78557469135114</v>
      </c>
      <c r="CL10" s="753">
        <f>+CFS!CL56</f>
        <v>1000.2750922614124</v>
      </c>
      <c r="CM10" s="649">
        <f>+CFS!CM56</f>
        <v>1000.2750922614124</v>
      </c>
      <c r="CN10" s="98"/>
      <c r="CO10" s="98"/>
      <c r="CP10" s="98"/>
      <c r="CQ10" s="98"/>
    </row>
    <row r="11" spans="1:95">
      <c r="A11" s="1693" t="s">
        <v>221</v>
      </c>
      <c r="B11" s="142"/>
      <c r="C11" s="376">
        <v>267.62799999999999</v>
      </c>
      <c r="D11" s="377">
        <v>271.47000000000003</v>
      </c>
      <c r="E11" s="377">
        <v>287.08100000000002</v>
      </c>
      <c r="F11" s="377">
        <v>314.42500000000001</v>
      </c>
      <c r="G11" s="649">
        <f>F11</f>
        <v>314.42500000000001</v>
      </c>
      <c r="H11" s="648"/>
      <c r="I11" s="376">
        <v>353.48700000000002</v>
      </c>
      <c r="J11" s="377">
        <v>349.68799999999999</v>
      </c>
      <c r="K11" s="377">
        <v>345.25099999999998</v>
      </c>
      <c r="L11" s="377">
        <v>330.91500000000002</v>
      </c>
      <c r="M11" s="649">
        <f>L11</f>
        <v>330.91500000000002</v>
      </c>
      <c r="N11" s="648"/>
      <c r="O11" s="376">
        <v>292.10500000000002</v>
      </c>
      <c r="P11" s="377">
        <v>328.22800000000001</v>
      </c>
      <c r="Q11" s="377">
        <v>348.399</v>
      </c>
      <c r="R11" s="377">
        <v>320.18</v>
      </c>
      <c r="S11" s="649">
        <f>R11</f>
        <v>320.18</v>
      </c>
      <c r="T11" s="648"/>
      <c r="U11" s="376">
        <v>359.58499999999998</v>
      </c>
      <c r="V11" s="377">
        <v>365.17500000000001</v>
      </c>
      <c r="W11" s="377">
        <v>323.536</v>
      </c>
      <c r="X11" s="377">
        <v>356.76299999999998</v>
      </c>
      <c r="Y11" s="649">
        <f>X11</f>
        <v>356.76299999999998</v>
      </c>
      <c r="Z11" s="648"/>
      <c r="AA11" s="376">
        <v>345.49200000000002</v>
      </c>
      <c r="AB11" s="377">
        <v>382.71699999999998</v>
      </c>
      <c r="AC11" s="377">
        <v>359.67200000000003</v>
      </c>
      <c r="AD11" s="377">
        <v>409.88799999999998</v>
      </c>
      <c r="AE11" s="649">
        <f>AD11</f>
        <v>409.88799999999998</v>
      </c>
      <c r="AF11" s="648"/>
      <c r="AG11" s="376">
        <v>407.86700000000002</v>
      </c>
      <c r="AH11" s="377">
        <v>389.46600000000001</v>
      </c>
      <c r="AI11" s="377">
        <v>394.93700000000001</v>
      </c>
      <c r="AJ11" s="664">
        <v>457.01100000000002</v>
      </c>
      <c r="AK11" s="649">
        <f>AJ11</f>
        <v>457.01100000000002</v>
      </c>
      <c r="AL11" s="648"/>
      <c r="AM11" s="663">
        <v>410.78199999999998</v>
      </c>
      <c r="AN11" s="377">
        <v>434.798</v>
      </c>
      <c r="AO11" s="377">
        <v>428.53100000000001</v>
      </c>
      <c r="AP11" s="664">
        <v>470.02800000000002</v>
      </c>
      <c r="AQ11" s="649">
        <f>AP11</f>
        <v>470.02800000000002</v>
      </c>
      <c r="AR11" s="648"/>
      <c r="AS11" s="663">
        <v>442.976</v>
      </c>
      <c r="AT11" s="377">
        <v>443.72199999999998</v>
      </c>
      <c r="AU11" s="377">
        <v>427.00799999999998</v>
      </c>
      <c r="AV11" s="621">
        <v>470.56299999999999</v>
      </c>
      <c r="AW11" s="649">
        <f t="shared" ref="AW11:AW21" si="0">+AV11</f>
        <v>470.56299999999999</v>
      </c>
      <c r="AX11" s="648"/>
      <c r="AY11" s="663">
        <v>415.37799999999999</v>
      </c>
      <c r="AZ11" s="377">
        <v>425.69799999999998</v>
      </c>
      <c r="BA11" s="377">
        <v>414.19299999999998</v>
      </c>
      <c r="BB11" s="621">
        <v>439.01499999999999</v>
      </c>
      <c r="BC11" s="649">
        <f>BB11</f>
        <v>439.01499999999999</v>
      </c>
      <c r="BD11" s="648"/>
      <c r="BE11" s="663">
        <v>436.755</v>
      </c>
      <c r="BF11" s="377">
        <v>435.822</v>
      </c>
      <c r="BG11" s="377">
        <v>443.27499999999998</v>
      </c>
      <c r="BH11" s="621">
        <v>425.58800000000002</v>
      </c>
      <c r="BI11" s="649">
        <f>BH11</f>
        <v>425.58800000000002</v>
      </c>
      <c r="BJ11" s="648"/>
      <c r="BK11" s="663">
        <v>411.084</v>
      </c>
      <c r="BL11" s="377">
        <v>440.41199999999998</v>
      </c>
      <c r="BM11" s="377">
        <v>440.649</v>
      </c>
      <c r="BN11" s="621">
        <v>552.30399999999997</v>
      </c>
      <c r="BO11" s="649">
        <f>BN11</f>
        <v>552.30399999999997</v>
      </c>
      <c r="BP11" s="648"/>
      <c r="BQ11" s="654">
        <f>IS!BQ11*(BS!BQ69/BS!BQ68)</f>
        <v>456.9187368525541</v>
      </c>
      <c r="BR11" s="653">
        <f>IS!BR11*(BS!BR69/BS!BR68)</f>
        <v>506.34981590211521</v>
      </c>
      <c r="BS11" s="653">
        <f>IS!BS11*(BS!BS69/BS!BS68)</f>
        <v>497.17460611269871</v>
      </c>
      <c r="BT11" s="653">
        <f>IS!BT11*(BS!BT69/BS!BT68)</f>
        <v>608.10087810692551</v>
      </c>
      <c r="BU11" s="649">
        <f>BT11</f>
        <v>608.10087810692551</v>
      </c>
      <c r="BV11" s="1787"/>
      <c r="BW11" s="654">
        <f>IS!BW11*(BS!BW69/BS!BW68)</f>
        <v>489.71769154761449</v>
      </c>
      <c r="BX11" s="653">
        <f>IS!BX11*(BS!BX69/BS!BX68)</f>
        <v>545.98520552838283</v>
      </c>
      <c r="BY11" s="653">
        <f>IS!BY11*(BS!BY69/BS!BY68)</f>
        <v>538.8948555107645</v>
      </c>
      <c r="BZ11" s="653">
        <f>IS!BZ11*(BS!BZ69/BS!BZ68)</f>
        <v>659.33926808476576</v>
      </c>
      <c r="CA11" s="649">
        <f>BZ11</f>
        <v>659.33926808476576</v>
      </c>
      <c r="CB11" s="1787"/>
      <c r="CC11" s="654">
        <f>IS!CC11*(BS!CC69/BS!CC68)</f>
        <v>528.97667939916255</v>
      </c>
      <c r="CD11" s="653">
        <f>IS!CD11*(BS!CD69/BS!CD68)</f>
        <v>590.84790781432866</v>
      </c>
      <c r="CE11" s="653">
        <f>IS!CE11*(BS!CE69/BS!CE68)</f>
        <v>581.92857928084413</v>
      </c>
      <c r="CF11" s="653">
        <f>IS!CF11*(BS!CF69/BS!CF68)</f>
        <v>708.17739287573227</v>
      </c>
      <c r="CG11" s="649">
        <f>CF11</f>
        <v>708.17739287573227</v>
      </c>
      <c r="CH11" s="1787"/>
      <c r="CI11" s="654">
        <f>IS!CI11*(BS!CI69/BS!CI68)</f>
        <v>561.53299530155641</v>
      </c>
      <c r="CJ11" s="653">
        <f>IS!CJ11*(BS!CJ69/BS!CJ68)</f>
        <v>627.23862124330526</v>
      </c>
      <c r="CK11" s="653">
        <f>IS!CK11*(BS!CK69/BS!CK68)</f>
        <v>620.0875014464757</v>
      </c>
      <c r="CL11" s="653">
        <f>IS!CL11*(BS!CL69/BS!CL68)</f>
        <v>753.57284309493207</v>
      </c>
      <c r="CM11" s="649">
        <f>CL11</f>
        <v>753.57284309493207</v>
      </c>
      <c r="CN11" s="98"/>
      <c r="CO11" s="98"/>
      <c r="CP11" s="98"/>
      <c r="CQ11" s="98"/>
    </row>
    <row r="12" spans="1:95">
      <c r="A12" s="1693" t="s">
        <v>222</v>
      </c>
      <c r="B12" s="142"/>
      <c r="C12" s="376">
        <v>204.59700000000001</v>
      </c>
      <c r="D12" s="377">
        <v>204.059</v>
      </c>
      <c r="E12" s="377">
        <v>210.56</v>
      </c>
      <c r="F12" s="377">
        <v>192.708</v>
      </c>
      <c r="G12" s="649">
        <f>F12</f>
        <v>192.708</v>
      </c>
      <c r="H12" s="648"/>
      <c r="I12" s="376">
        <v>223.465</v>
      </c>
      <c r="J12" s="377">
        <v>222.636</v>
      </c>
      <c r="K12" s="377">
        <v>218.86799999999999</v>
      </c>
      <c r="L12" s="377">
        <v>200.18700000000001</v>
      </c>
      <c r="M12" s="649">
        <f>L12</f>
        <v>200.18700000000001</v>
      </c>
      <c r="N12" s="648"/>
      <c r="O12" s="376">
        <v>204.172</v>
      </c>
      <c r="P12" s="377">
        <v>216.32</v>
      </c>
      <c r="Q12" s="377">
        <v>224.42699999999999</v>
      </c>
      <c r="R12" s="377">
        <v>178.666</v>
      </c>
      <c r="S12" s="649">
        <f>R12</f>
        <v>178.666</v>
      </c>
      <c r="T12" s="648"/>
      <c r="U12" s="376">
        <v>226.614</v>
      </c>
      <c r="V12" s="377">
        <v>232.476</v>
      </c>
      <c r="W12" s="377">
        <v>210.15799999999999</v>
      </c>
      <c r="X12" s="377">
        <v>207.27799999999999</v>
      </c>
      <c r="Y12" s="649">
        <f>X12</f>
        <v>207.27799999999999</v>
      </c>
      <c r="Z12" s="648"/>
      <c r="AA12" s="376">
        <v>224.83199999999999</v>
      </c>
      <c r="AB12" s="377">
        <v>222.238</v>
      </c>
      <c r="AC12" s="377">
        <v>228.54900000000001</v>
      </c>
      <c r="AD12" s="377">
        <v>240.76300000000001</v>
      </c>
      <c r="AE12" s="649">
        <f>AD12</f>
        <v>240.76300000000001</v>
      </c>
      <c r="AF12" s="648"/>
      <c r="AG12" s="376">
        <v>251.858</v>
      </c>
      <c r="AH12" s="377">
        <v>244.43600000000001</v>
      </c>
      <c r="AI12" s="377">
        <v>261.39999999999998</v>
      </c>
      <c r="AJ12" s="664">
        <v>247.68799999999999</v>
      </c>
      <c r="AK12" s="649">
        <f>AJ12</f>
        <v>247.68799999999999</v>
      </c>
      <c r="AL12" s="648"/>
      <c r="AM12" s="663">
        <v>259.762</v>
      </c>
      <c r="AN12" s="377">
        <v>259.47000000000003</v>
      </c>
      <c r="AO12" s="377">
        <v>278.351</v>
      </c>
      <c r="AP12" s="664">
        <v>261.036</v>
      </c>
      <c r="AQ12" s="649">
        <f>AP12</f>
        <v>261.036</v>
      </c>
      <c r="AR12" s="648"/>
      <c r="AS12" s="663">
        <v>279.03100000000001</v>
      </c>
      <c r="AT12" s="377">
        <v>277.99099999999999</v>
      </c>
      <c r="AU12" s="377">
        <v>281.61700000000002</v>
      </c>
      <c r="AV12" s="621">
        <v>285.45699999999999</v>
      </c>
      <c r="AW12" s="649">
        <f t="shared" si="0"/>
        <v>285.45699999999999</v>
      </c>
      <c r="AX12" s="648"/>
      <c r="AY12" s="663">
        <v>291.12</v>
      </c>
      <c r="AZ12" s="377">
        <v>304.75400000000002</v>
      </c>
      <c r="BA12" s="377">
        <v>313.04700000000003</v>
      </c>
      <c r="BB12" s="621">
        <v>288.02800000000002</v>
      </c>
      <c r="BC12" s="649">
        <f>BB12</f>
        <v>288.02800000000002</v>
      </c>
      <c r="BD12" s="648"/>
      <c r="BE12" s="663">
        <v>314.06</v>
      </c>
      <c r="BF12" s="377">
        <v>300.262</v>
      </c>
      <c r="BG12" s="377">
        <v>306.041</v>
      </c>
      <c r="BH12" s="621">
        <v>246.84700000000001</v>
      </c>
      <c r="BI12" s="649">
        <f>BH12</f>
        <v>246.84700000000001</v>
      </c>
      <c r="BJ12" s="648"/>
      <c r="BK12" s="663">
        <v>264.63299999999998</v>
      </c>
      <c r="BL12" s="377">
        <v>275.08499999999998</v>
      </c>
      <c r="BM12" s="377">
        <v>295.17599999999999</v>
      </c>
      <c r="BN12" s="621">
        <v>351.67500000000001</v>
      </c>
      <c r="BO12" s="649">
        <f>BN12</f>
        <v>351.67500000000001</v>
      </c>
      <c r="BP12" s="648"/>
      <c r="BQ12" s="654">
        <f>IS!BQ12*(BS!BQ70/BS!BQ68)</f>
        <v>294.23460765033172</v>
      </c>
      <c r="BR12" s="653">
        <f>IS!BR12*(BS!BR70/BS!BR68)</f>
        <v>309.48256310439353</v>
      </c>
      <c r="BS12" s="653">
        <f>IS!BS12*(BS!BS70/BS!BS68)</f>
        <v>327.78782615351798</v>
      </c>
      <c r="BT12" s="653">
        <f>IS!BT12*(BS!BT70/BS!BT68)</f>
        <v>379.10039524864328</v>
      </c>
      <c r="BU12" s="649">
        <f>BT12</f>
        <v>379.10039524864328</v>
      </c>
      <c r="BV12" s="1787"/>
      <c r="BW12" s="654">
        <f>IS!BW12*(BS!BW70/BS!BW68)</f>
        <v>311.12215981258322</v>
      </c>
      <c r="BX12" s="653">
        <f>IS!BX12*(BS!BX70/BS!BX68)</f>
        <v>329.17567332493911</v>
      </c>
      <c r="BY12" s="653">
        <f>IS!BY12*(BS!BY70/BS!BY68)</f>
        <v>350.17024777842187</v>
      </c>
      <c r="BZ12" s="653">
        <f>IS!BZ12*(BS!BZ70/BS!BZ68)</f>
        <v>405.35377933971535</v>
      </c>
      <c r="CA12" s="649">
        <f>BZ12</f>
        <v>405.35377933971535</v>
      </c>
      <c r="CB12" s="1787"/>
      <c r="CC12" s="654">
        <f>IS!CC12*(BS!CC70/BS!CC68)</f>
        <v>332.18186028400424</v>
      </c>
      <c r="CD12" s="653">
        <f>IS!CD12*(BS!CD70/BS!CD68)</f>
        <v>352.06886134059198</v>
      </c>
      <c r="CE12" s="653">
        <f>IS!CE12*(BS!CE70/BS!CE68)</f>
        <v>373.42211031044161</v>
      </c>
      <c r="CF12" s="653">
        <f>IS!CF12*(BS!CF70/BS!CF68)</f>
        <v>430.19842919726068</v>
      </c>
      <c r="CG12" s="649">
        <f>CF12</f>
        <v>430.19842919726068</v>
      </c>
      <c r="CH12" s="1787"/>
      <c r="CI12" s="654">
        <f>IS!CI12*(BS!CI70/BS!CI68)</f>
        <v>348.52493437673121</v>
      </c>
      <c r="CJ12" s="653">
        <f>IS!CJ12*(BS!CJ70/BS!CJ68)</f>
        <v>369.36125135091311</v>
      </c>
      <c r="CK12" s="653">
        <f>IS!CK12*(BS!CK70/BS!CK68)</f>
        <v>392.91714798519592</v>
      </c>
      <c r="CL12" s="653">
        <f>IS!CL12*(BS!CL70/BS!CL68)</f>
        <v>452.28633027774572</v>
      </c>
      <c r="CM12" s="649">
        <f>CL12</f>
        <v>452.28633027774572</v>
      </c>
      <c r="CN12" s="94"/>
      <c r="CO12" s="94"/>
      <c r="CP12" s="94"/>
      <c r="CQ12" s="94"/>
    </row>
    <row r="13" spans="1:95">
      <c r="A13" s="1693" t="s">
        <v>223</v>
      </c>
      <c r="B13" s="142"/>
      <c r="C13" s="376">
        <v>82.378</v>
      </c>
      <c r="D13" s="377">
        <v>86.138999999999996</v>
      </c>
      <c r="E13" s="377">
        <v>95.98</v>
      </c>
      <c r="F13" s="377">
        <v>98.12</v>
      </c>
      <c r="G13" s="649">
        <f>F13</f>
        <v>98.12</v>
      </c>
      <c r="H13" s="648"/>
      <c r="I13" s="376">
        <v>113.306</v>
      </c>
      <c r="J13" s="377">
        <v>116.283</v>
      </c>
      <c r="K13" s="377">
        <v>111.48</v>
      </c>
      <c r="L13" s="377">
        <v>111.33</v>
      </c>
      <c r="M13" s="649">
        <f>L13</f>
        <v>111.33</v>
      </c>
      <c r="N13" s="648"/>
      <c r="O13" s="376">
        <v>107.81699999999999</v>
      </c>
      <c r="P13" s="377">
        <v>107.447</v>
      </c>
      <c r="Q13" s="377">
        <v>110.489</v>
      </c>
      <c r="R13" s="377">
        <v>108.93</v>
      </c>
      <c r="S13" s="649">
        <f>R13</f>
        <v>108.93</v>
      </c>
      <c r="T13" s="648"/>
      <c r="U13" s="376">
        <v>111.846</v>
      </c>
      <c r="V13" s="377">
        <v>108.417</v>
      </c>
      <c r="W13" s="377">
        <v>90.200999999999993</v>
      </c>
      <c r="X13" s="377">
        <v>100.685</v>
      </c>
      <c r="Y13" s="649">
        <f>X13</f>
        <v>100.685</v>
      </c>
      <c r="Z13" s="648"/>
      <c r="AA13" s="376">
        <v>101.297</v>
      </c>
      <c r="AB13" s="377">
        <v>75.777000000000001</v>
      </c>
      <c r="AC13" s="377">
        <v>93.296000000000006</v>
      </c>
      <c r="AD13" s="377">
        <v>69.022999999999996</v>
      </c>
      <c r="AE13" s="649">
        <f>AD13</f>
        <v>69.022999999999996</v>
      </c>
      <c r="AF13" s="655"/>
      <c r="AG13" s="376">
        <v>103.38</v>
      </c>
      <c r="AH13" s="377">
        <v>92.293000000000006</v>
      </c>
      <c r="AI13" s="377">
        <v>113.627</v>
      </c>
      <c r="AJ13" s="839">
        <v>95.611000000000004</v>
      </c>
      <c r="AK13" s="649">
        <f>AJ13</f>
        <v>95.611000000000004</v>
      </c>
      <c r="AL13" s="648"/>
      <c r="AM13" s="663">
        <v>100.277</v>
      </c>
      <c r="AN13" s="377">
        <v>99.766999999999996</v>
      </c>
      <c r="AO13" s="377">
        <v>109.239</v>
      </c>
      <c r="AP13" s="839">
        <v>140.53200000000001</v>
      </c>
      <c r="AQ13" s="649">
        <f>AP13</f>
        <v>140.53200000000001</v>
      </c>
      <c r="AR13" s="648"/>
      <c r="AS13" s="663">
        <v>151.46199999999999</v>
      </c>
      <c r="AT13" s="377">
        <v>151.715</v>
      </c>
      <c r="AU13" s="377">
        <v>161.38900000000001</v>
      </c>
      <c r="AV13" s="621">
        <v>137.71</v>
      </c>
      <c r="AW13" s="649">
        <f t="shared" si="0"/>
        <v>137.71</v>
      </c>
      <c r="AX13" s="648"/>
      <c r="AY13" s="663">
        <v>147.113</v>
      </c>
      <c r="AZ13" s="377">
        <v>147.70599999999999</v>
      </c>
      <c r="BA13" s="377">
        <v>151.53100000000001</v>
      </c>
      <c r="BB13" s="621">
        <v>68.186000000000007</v>
      </c>
      <c r="BC13" s="649">
        <f>BB13</f>
        <v>68.186000000000007</v>
      </c>
      <c r="BD13" s="648"/>
      <c r="BE13" s="663">
        <v>88.274000000000001</v>
      </c>
      <c r="BF13" s="377">
        <v>94.78</v>
      </c>
      <c r="BG13" s="377">
        <v>92.587000000000003</v>
      </c>
      <c r="BH13" s="621">
        <v>99.245999999999995</v>
      </c>
      <c r="BI13" s="649">
        <f>BH13</f>
        <v>99.245999999999995</v>
      </c>
      <c r="BJ13" s="648"/>
      <c r="BK13" s="663">
        <v>96.796000000000006</v>
      </c>
      <c r="BL13" s="377">
        <v>102.021</v>
      </c>
      <c r="BM13" s="377">
        <v>100.34699999999999</v>
      </c>
      <c r="BN13" s="621">
        <v>93.841999999999999</v>
      </c>
      <c r="BO13" s="649">
        <f>BN13</f>
        <v>93.841999999999999</v>
      </c>
      <c r="BP13" s="648"/>
      <c r="BQ13" s="654">
        <f>BQ81*(IS!BQ11*4)</f>
        <v>117.37850069457276</v>
      </c>
      <c r="BR13" s="653">
        <f>BR81*(IS!BR11*4)</f>
        <v>127.88754350897067</v>
      </c>
      <c r="BS13" s="653">
        <f>BS81*(IS!BS11*4)</f>
        <v>123.58641069049126</v>
      </c>
      <c r="BT13" s="653">
        <f>BT81*(IS!BT11*4)</f>
        <v>111.99922109746379</v>
      </c>
      <c r="BU13" s="649">
        <f>BT13</f>
        <v>111.99922109746379</v>
      </c>
      <c r="BV13" s="1787"/>
      <c r="BW13" s="654">
        <f>BW81*(IS!BW11*4)</f>
        <v>124.8574868321483</v>
      </c>
      <c r="BX13" s="653">
        <f>BX81*(IS!BX11*4)</f>
        <v>136.86819170978114</v>
      </c>
      <c r="BY13" s="653">
        <f>BY81*(IS!BY11*4)</f>
        <v>132.94270094945492</v>
      </c>
      <c r="BZ13" s="653">
        <f>BZ81*(IS!BZ11*4)</f>
        <v>120.59231940220033</v>
      </c>
      <c r="CA13" s="649">
        <f>BZ13</f>
        <v>120.59231940220033</v>
      </c>
      <c r="CB13" s="1787"/>
      <c r="CC13" s="654">
        <f>CC81*(IS!CC11*4)</f>
        <v>133.85947736455813</v>
      </c>
      <c r="CD13" s="653">
        <f>CD81*(IS!CD11*4)</f>
        <v>147.01635486086164</v>
      </c>
      <c r="CE13" s="653">
        <f>CE81*(IS!CE11*4)</f>
        <v>142.47994280390472</v>
      </c>
      <c r="CF13" s="653">
        <f>CF81*(IS!CF11*4)</f>
        <v>128.63083087513053</v>
      </c>
      <c r="CG13" s="649">
        <f>CF13</f>
        <v>128.63083087513053</v>
      </c>
      <c r="CH13" s="1787"/>
      <c r="CI13" s="654">
        <f>CI81*(IS!CI11*4)</f>
        <v>141.04442187412442</v>
      </c>
      <c r="CJ13" s="653">
        <f>CJ81*(IS!CJ11*4)</f>
        <v>154.92264552401366</v>
      </c>
      <c r="CK13" s="653">
        <f>CK81*(IS!CK11*4)</f>
        <v>150.6902459705843</v>
      </c>
      <c r="CL13" s="653">
        <f>CL81*(IS!CL11*4)</f>
        <v>135.938117549559</v>
      </c>
      <c r="CM13" s="649">
        <f>CL13</f>
        <v>135.938117549559</v>
      </c>
      <c r="CN13" s="94"/>
      <c r="CO13" s="94"/>
      <c r="CP13" s="94"/>
      <c r="CQ13" s="94"/>
    </row>
    <row r="14" spans="1:95" ht="12.75" hidden="1" customHeight="1" outlineLevel="1">
      <c r="A14" s="1693" t="s">
        <v>224</v>
      </c>
      <c r="B14" s="142"/>
      <c r="C14" s="656">
        <v>0.47699999999999998</v>
      </c>
      <c r="D14" s="657">
        <v>0.48499999999999999</v>
      </c>
      <c r="E14" s="657">
        <v>0.48699999999999999</v>
      </c>
      <c r="F14" s="657">
        <v>34.347000000000001</v>
      </c>
      <c r="G14" s="658">
        <f>F14</f>
        <v>34.347000000000001</v>
      </c>
      <c r="H14" s="648"/>
      <c r="I14" s="656">
        <v>0.628</v>
      </c>
      <c r="J14" s="657">
        <v>0.63300000000000001</v>
      </c>
      <c r="K14" s="657">
        <v>0.66400000000000003</v>
      </c>
      <c r="L14" s="657">
        <v>9.2050000000000001</v>
      </c>
      <c r="M14" s="658">
        <f>L14</f>
        <v>9.2050000000000001</v>
      </c>
      <c r="N14" s="648"/>
      <c r="O14" s="656">
        <v>14.382</v>
      </c>
      <c r="P14" s="657">
        <v>16.62</v>
      </c>
      <c r="Q14" s="657">
        <v>17.363</v>
      </c>
      <c r="R14" s="657">
        <v>96.534999999999997</v>
      </c>
      <c r="S14" s="658">
        <f>R14</f>
        <v>96.534999999999997</v>
      </c>
      <c r="T14" s="648"/>
      <c r="U14" s="656">
        <v>11.281000000000001</v>
      </c>
      <c r="V14" s="657">
        <v>2.1360000000000001</v>
      </c>
      <c r="W14" s="657">
        <v>102.702</v>
      </c>
      <c r="X14" s="657">
        <v>0.22700000000000001</v>
      </c>
      <c r="Y14" s="658">
        <f>X14</f>
        <v>0.22700000000000001</v>
      </c>
      <c r="Z14" s="648"/>
      <c r="AA14" s="376">
        <v>0.23100000000000001</v>
      </c>
      <c r="AB14" s="377">
        <v>0.23100000000000001</v>
      </c>
      <c r="AC14" s="377">
        <v>0.20599999999999999</v>
      </c>
      <c r="AD14" s="377">
        <v>0.20200000000000001</v>
      </c>
      <c r="AE14" s="658">
        <f>AD14</f>
        <v>0.20200000000000001</v>
      </c>
      <c r="AF14" s="648"/>
      <c r="AG14" s="376">
        <v>0.20200000000000001</v>
      </c>
      <c r="AH14" s="377">
        <v>0.20200000000000001</v>
      </c>
      <c r="AI14" s="377">
        <v>0.20200000000000001</v>
      </c>
      <c r="AJ14" s="664">
        <v>0</v>
      </c>
      <c r="AK14" s="658">
        <f>AJ14</f>
        <v>0</v>
      </c>
      <c r="AL14" s="648"/>
      <c r="AM14" s="663">
        <v>0</v>
      </c>
      <c r="AN14" s="377">
        <v>0</v>
      </c>
      <c r="AO14" s="377">
        <v>0</v>
      </c>
      <c r="AP14" s="664">
        <v>0</v>
      </c>
      <c r="AQ14" s="658">
        <f>AP14</f>
        <v>0</v>
      </c>
      <c r="AR14" s="648"/>
      <c r="AS14" s="663">
        <v>0</v>
      </c>
      <c r="AT14" s="377">
        <v>1.9630000000000001</v>
      </c>
      <c r="AU14" s="377">
        <v>0.65</v>
      </c>
      <c r="AV14" s="621">
        <v>0</v>
      </c>
      <c r="AW14" s="658">
        <f t="shared" si="0"/>
        <v>0</v>
      </c>
      <c r="AX14" s="648"/>
      <c r="AY14" s="663">
        <v>0</v>
      </c>
      <c r="AZ14" s="377">
        <v>0</v>
      </c>
      <c r="BA14" s="377">
        <v>0</v>
      </c>
      <c r="BB14" s="621">
        <v>0</v>
      </c>
      <c r="BC14" s="658">
        <f>BB14</f>
        <v>0</v>
      </c>
      <c r="BD14" s="648"/>
      <c r="BE14" s="663">
        <v>0</v>
      </c>
      <c r="BF14" s="377">
        <v>0</v>
      </c>
      <c r="BG14" s="377">
        <v>0</v>
      </c>
      <c r="BH14" s="621">
        <v>58.984999999999999</v>
      </c>
      <c r="BI14" s="658">
        <f>BH14</f>
        <v>58.984999999999999</v>
      </c>
      <c r="BJ14" s="648"/>
      <c r="BK14" s="663">
        <v>55.737000000000002</v>
      </c>
      <c r="BL14" s="377">
        <v>0</v>
      </c>
      <c r="BM14" s="377">
        <v>0</v>
      </c>
      <c r="BN14" s="621">
        <v>0</v>
      </c>
      <c r="BO14" s="658">
        <f>BN14</f>
        <v>0</v>
      </c>
      <c r="BP14" s="648"/>
      <c r="BQ14" s="654">
        <f>BO14-CFS!BQ25</f>
        <v>0</v>
      </c>
      <c r="BR14" s="653">
        <f>BQ14-CFS!BR25</f>
        <v>0</v>
      </c>
      <c r="BS14" s="653">
        <f>BR14-CFS!BS25</f>
        <v>0</v>
      </c>
      <c r="BT14" s="653">
        <f>BS14-CFS!BT25</f>
        <v>0</v>
      </c>
      <c r="BU14" s="658">
        <f>BT14</f>
        <v>0</v>
      </c>
      <c r="BV14" s="1787"/>
      <c r="BW14" s="654">
        <f>BU14-CFS!BW25</f>
        <v>0</v>
      </c>
      <c r="BX14" s="653">
        <f>BW14-CFS!BX25</f>
        <v>0</v>
      </c>
      <c r="BY14" s="653">
        <f>BX14-CFS!BY25</f>
        <v>0</v>
      </c>
      <c r="BZ14" s="653">
        <f>BY14-CFS!BZ25</f>
        <v>0</v>
      </c>
      <c r="CA14" s="658">
        <f>BZ14</f>
        <v>0</v>
      </c>
      <c r="CB14" s="1787"/>
      <c r="CC14" s="654">
        <f>CA14-CFS!CC25</f>
        <v>0</v>
      </c>
      <c r="CD14" s="653">
        <f>CC14-CFS!CD25</f>
        <v>0</v>
      </c>
      <c r="CE14" s="653">
        <f>CD14-CFS!CE25</f>
        <v>0</v>
      </c>
      <c r="CF14" s="653">
        <f>CE14-CFS!CF25</f>
        <v>0</v>
      </c>
      <c r="CG14" s="658">
        <f>CF14</f>
        <v>0</v>
      </c>
      <c r="CH14" s="1787"/>
      <c r="CI14" s="654">
        <f>CG14-CFS!CI25</f>
        <v>0</v>
      </c>
      <c r="CJ14" s="653">
        <f>CI14-CFS!CJ25</f>
        <v>0</v>
      </c>
      <c r="CK14" s="653">
        <f>CJ14-CFS!CK25</f>
        <v>0</v>
      </c>
      <c r="CL14" s="653">
        <f>CK14-CFS!CL25</f>
        <v>0</v>
      </c>
      <c r="CM14" s="658">
        <f>CL14</f>
        <v>0</v>
      </c>
      <c r="CN14" s="104"/>
      <c r="CO14" s="104"/>
      <c r="CP14" s="104"/>
      <c r="CQ14" s="104"/>
    </row>
    <row r="15" spans="1:95" collapsed="1">
      <c r="A15" s="1694" t="s">
        <v>225</v>
      </c>
      <c r="B15" s="537"/>
      <c r="C15" s="659">
        <f>SUM(C10:C14)</f>
        <v>674.64199999999994</v>
      </c>
      <c r="D15" s="660">
        <f>SUM(D10:D14)</f>
        <v>712.19299999999998</v>
      </c>
      <c r="E15" s="660">
        <f>SUM(E10:E14)</f>
        <v>755.0089999999999</v>
      </c>
      <c r="F15" s="660">
        <f>SUM(F10:F14)</f>
        <v>842.94799999999987</v>
      </c>
      <c r="G15" s="661">
        <f>SUM(G10:G14)</f>
        <v>842.94799999999998</v>
      </c>
      <c r="H15" s="662"/>
      <c r="I15" s="659">
        <f>SUM(I10:I14)</f>
        <v>876.14800000000014</v>
      </c>
      <c r="J15" s="660">
        <f>SUM(J10:J14)</f>
        <v>882.69099999999992</v>
      </c>
      <c r="K15" s="660">
        <f>SUM(K10:K14)</f>
        <v>865.07099999999991</v>
      </c>
      <c r="L15" s="660">
        <f>SUM(L10:L14)</f>
        <v>830.74700000000007</v>
      </c>
      <c r="M15" s="661">
        <f>SUM(M10:M14)</f>
        <v>830.74700000000007</v>
      </c>
      <c r="N15" s="662"/>
      <c r="O15" s="659">
        <f>SUM(O10:O14)</f>
        <v>780.52499999999998</v>
      </c>
      <c r="P15" s="660">
        <f>SUM(P10:P14)</f>
        <v>819.95399999999995</v>
      </c>
      <c r="Q15" s="660">
        <f>SUM(Q10:Q14)</f>
        <v>851.2639999999999</v>
      </c>
      <c r="R15" s="660">
        <f>SUM(R10:R14)</f>
        <v>884.01799999999992</v>
      </c>
      <c r="S15" s="661">
        <f>SUM(S10:S14)</f>
        <v>884.01800000000014</v>
      </c>
      <c r="T15" s="662"/>
      <c r="U15" s="659">
        <f>SUM(U10:U14)</f>
        <v>891.07</v>
      </c>
      <c r="V15" s="660">
        <f>SUM(V10:V14)</f>
        <v>923.86800000000005</v>
      </c>
      <c r="W15" s="660">
        <f>SUM(W10:W14)</f>
        <v>977.58500000000015</v>
      </c>
      <c r="X15" s="660">
        <f>SUM(X10:X14)</f>
        <v>1085.039</v>
      </c>
      <c r="Y15" s="661">
        <f>SUM(Y10:Y14)</f>
        <v>1085.039</v>
      </c>
      <c r="Z15" s="662"/>
      <c r="AA15" s="659">
        <f>SUM(AA10:AA14)</f>
        <v>1087.7</v>
      </c>
      <c r="AB15" s="660">
        <f>SUM(AB10:AB14)</f>
        <v>1076.171</v>
      </c>
      <c r="AC15" s="660">
        <f>SUM(AC10:AC14)</f>
        <v>929.82500000000005</v>
      </c>
      <c r="AD15" s="660">
        <f>SUM(AD10:AD14)</f>
        <v>862.21800000000007</v>
      </c>
      <c r="AE15" s="661">
        <f>SUM(AE10:AE14)</f>
        <v>862.21800000000007</v>
      </c>
      <c r="AF15" s="662"/>
      <c r="AG15" s="659">
        <f>SUM(AG10:AG14)</f>
        <v>908.06399999999996</v>
      </c>
      <c r="AH15" s="660">
        <f>SUM(AH10:AH14)</f>
        <v>897.80000000000007</v>
      </c>
      <c r="AI15" s="660">
        <f>SUM(AI10:AI14)</f>
        <v>940.99399999999991</v>
      </c>
      <c r="AJ15" s="660">
        <f>SUM(AJ10:AJ14)</f>
        <v>971.75400000000002</v>
      </c>
      <c r="AK15" s="661">
        <f>SUM(AK10:AK14)</f>
        <v>971.75400000000002</v>
      </c>
      <c r="AL15" s="662"/>
      <c r="AM15" s="659">
        <f>SUM(AM10:AM14)</f>
        <v>896.69200000000001</v>
      </c>
      <c r="AN15" s="660">
        <f>SUM(AN10:AN14)</f>
        <v>906.50500000000011</v>
      </c>
      <c r="AO15" s="660">
        <f>SUM(AO10:AO14)</f>
        <v>948.42400000000009</v>
      </c>
      <c r="AP15" s="660">
        <f>SUM(AP10:AP14)</f>
        <v>1044.838</v>
      </c>
      <c r="AQ15" s="661">
        <f>SUM(AQ10:AQ14)</f>
        <v>1044.838</v>
      </c>
      <c r="AR15" s="662"/>
      <c r="AS15" s="659">
        <f>SUM(AS10:AS14)</f>
        <v>1097.5819999999999</v>
      </c>
      <c r="AT15" s="660">
        <f>SUM(AT10:AT14)</f>
        <v>1080.6489999999999</v>
      </c>
      <c r="AU15" s="660">
        <f>SUM(AU10:AU14)</f>
        <v>1074.3470000000002</v>
      </c>
      <c r="AV15" s="660">
        <f>SUM(AV10:AV14)</f>
        <v>1068.5509999999999</v>
      </c>
      <c r="AW15" s="661">
        <f>SUM(AW10:AW14)</f>
        <v>1068.5509999999999</v>
      </c>
      <c r="AX15" s="662"/>
      <c r="AY15" s="659">
        <f>SUM(AY10:AY14)</f>
        <v>1022.5350000000001</v>
      </c>
      <c r="AZ15" s="660">
        <f>SUM(AZ10:AZ14)</f>
        <v>1070.328</v>
      </c>
      <c r="BA15" s="660">
        <f>SUM(BA10:BA14)</f>
        <v>1073.837</v>
      </c>
      <c r="BB15" s="660">
        <f>SUM(BB10:BB14)</f>
        <v>1033.1610000000001</v>
      </c>
      <c r="BC15" s="661">
        <f>SUM(BC10:BC14)</f>
        <v>1033.1609999999998</v>
      </c>
      <c r="BD15" s="662"/>
      <c r="BE15" s="659">
        <f>SUM(BE10:BE14)</f>
        <v>1049.8200000000002</v>
      </c>
      <c r="BF15" s="660">
        <f>SUM(BF10:BF14)</f>
        <v>1078.9469999999999</v>
      </c>
      <c r="BG15" s="660">
        <f>SUM(BG10:BG14)</f>
        <v>1153.566</v>
      </c>
      <c r="BH15" s="660">
        <f>SUM(BH10:BH14)</f>
        <v>1189.931</v>
      </c>
      <c r="BI15" s="661">
        <f>SUM(BI10:BI14)</f>
        <v>1189.931</v>
      </c>
      <c r="BJ15" s="662"/>
      <c r="BK15" s="659">
        <f>SUM(BK10:BK14)</f>
        <v>1116.5790000000002</v>
      </c>
      <c r="BL15" s="660">
        <f>SUM(BL10:BL14)</f>
        <v>1433.826</v>
      </c>
      <c r="BM15" s="660">
        <f>SUM(BM10:BM14)</f>
        <v>1545.66</v>
      </c>
      <c r="BN15" s="660">
        <f>SUM(BN10:BN14)</f>
        <v>1199.9550000000002</v>
      </c>
      <c r="BO15" s="661">
        <f>SUM(BO10:BO14)</f>
        <v>1199.9550000000002</v>
      </c>
      <c r="BP15" s="662"/>
      <c r="BQ15" s="659">
        <f>SUM(BQ10:BQ14)</f>
        <v>1123.7363261040891</v>
      </c>
      <c r="BR15" s="660">
        <f>SUM(BR10:BR14)</f>
        <v>1374.4133230995633</v>
      </c>
      <c r="BS15" s="660">
        <f>SUM(BS10:BS14)</f>
        <v>1434.0567150866002</v>
      </c>
      <c r="BT15" s="660">
        <f>SUM(BT10:BT14)</f>
        <v>1551.8583431532684</v>
      </c>
      <c r="BU15" s="661">
        <f>SUM(BU10:BU14)</f>
        <v>1551.8583431532686</v>
      </c>
      <c r="BV15" s="669"/>
      <c r="BW15" s="659">
        <f>SUM(BW10:BW14)</f>
        <v>1350.1215901883158</v>
      </c>
      <c r="BX15" s="660">
        <f>SUM(BX10:BX14)</f>
        <v>1389.4933533186959</v>
      </c>
      <c r="BY15" s="660">
        <f>SUM(BY10:BY14)</f>
        <v>1408.9238691392102</v>
      </c>
      <c r="BZ15" s="660">
        <f>SUM(BZ10:BZ14)</f>
        <v>1687.6450011927745</v>
      </c>
      <c r="CA15" s="661">
        <f>SUM(CA10:CA14)</f>
        <v>1687.6450011927745</v>
      </c>
      <c r="CB15" s="669"/>
      <c r="CC15" s="659">
        <f>SUM(CC10:CC14)</f>
        <v>1593.990145293616</v>
      </c>
      <c r="CD15" s="660">
        <f>SUM(CD10:CD14)</f>
        <v>1769.8833034240733</v>
      </c>
      <c r="CE15" s="660">
        <f>SUM(CE10:CE14)</f>
        <v>1925.1416695359658</v>
      </c>
      <c r="CF15" s="660">
        <f>SUM(CF10:CF14)</f>
        <v>2141.8146703494845</v>
      </c>
      <c r="CG15" s="661">
        <f>SUM(CG10:CG14)</f>
        <v>2141.8146703494845</v>
      </c>
      <c r="CH15" s="669"/>
      <c r="CI15" s="659">
        <f>SUM(CI10:CI14)</f>
        <v>1970.3006211095419</v>
      </c>
      <c r="CJ15" s="660">
        <f>SUM(CJ10:CJ14)</f>
        <v>2076.8501004041018</v>
      </c>
      <c r="CK15" s="660">
        <f>SUM(CK10:CK14)</f>
        <v>2163.480470093607</v>
      </c>
      <c r="CL15" s="660">
        <f>SUM(CL10:CL14)</f>
        <v>2342.0723831836494</v>
      </c>
      <c r="CM15" s="661">
        <f>SUM(CM10:CM14)</f>
        <v>2342.0723831836494</v>
      </c>
      <c r="CN15" s="94"/>
      <c r="CO15" s="94"/>
      <c r="CP15" s="94"/>
      <c r="CQ15" s="94"/>
    </row>
    <row r="16" spans="1:95">
      <c r="A16" s="1693" t="s">
        <v>226</v>
      </c>
      <c r="B16" s="142"/>
      <c r="C16" s="663">
        <v>188.35599999999999</v>
      </c>
      <c r="D16" s="664">
        <v>190.738</v>
      </c>
      <c r="E16" s="664">
        <v>194.61699999999999</v>
      </c>
      <c r="F16" s="664">
        <v>196.535</v>
      </c>
      <c r="G16" s="649">
        <f t="shared" ref="G16:G21" si="1">F16</f>
        <v>196.535</v>
      </c>
      <c r="H16" s="648"/>
      <c r="I16" s="663">
        <v>203.49799999999999</v>
      </c>
      <c r="J16" s="664">
        <v>207.03100000000006</v>
      </c>
      <c r="K16" s="664">
        <v>209.11500000000001</v>
      </c>
      <c r="L16" s="664">
        <v>205.047</v>
      </c>
      <c r="M16" s="649">
        <f t="shared" ref="M16:M21" si="2">L16</f>
        <v>205.047</v>
      </c>
      <c r="N16" s="648"/>
      <c r="O16" s="663">
        <v>198.34399999999999</v>
      </c>
      <c r="P16" s="664">
        <v>200.87</v>
      </c>
      <c r="Q16" s="664">
        <v>211.35499999999999</v>
      </c>
      <c r="R16" s="664">
        <v>153.02600000000001</v>
      </c>
      <c r="S16" s="649">
        <f t="shared" ref="S16:S21" si="3">R16</f>
        <v>153.02600000000001</v>
      </c>
      <c r="T16" s="648"/>
      <c r="U16" s="663">
        <v>202.60400000000004</v>
      </c>
      <c r="V16" s="664">
        <v>205.58899999999994</v>
      </c>
      <c r="W16" s="664">
        <v>161.05000000000001</v>
      </c>
      <c r="X16" s="664">
        <v>161.82</v>
      </c>
      <c r="Y16" s="649">
        <f t="shared" ref="Y16:Y21" si="4">X16</f>
        <v>161.82</v>
      </c>
      <c r="Z16" s="648"/>
      <c r="AA16" s="663">
        <v>165.10499999999999</v>
      </c>
      <c r="AB16" s="664">
        <v>167.25100000000003</v>
      </c>
      <c r="AC16" s="664">
        <v>165.858</v>
      </c>
      <c r="AD16" s="664">
        <v>174.56700000000001</v>
      </c>
      <c r="AE16" s="649">
        <f t="shared" ref="AE16:AE21" si="5">AD16</f>
        <v>174.56700000000001</v>
      </c>
      <c r="AF16" s="648"/>
      <c r="AG16" s="663">
        <v>171.68299999999999</v>
      </c>
      <c r="AH16" s="664">
        <v>167.17699999999999</v>
      </c>
      <c r="AI16" s="664">
        <v>201.648</v>
      </c>
      <c r="AJ16" s="664">
        <v>210.51599999999999</v>
      </c>
      <c r="AK16" s="649">
        <f t="shared" ref="AK16:AK21" si="6">AJ16</f>
        <v>210.51599999999999</v>
      </c>
      <c r="AL16" s="648"/>
      <c r="AM16" s="663">
        <v>212.672</v>
      </c>
      <c r="AN16" s="664">
        <v>214.12899999999999</v>
      </c>
      <c r="AO16" s="377">
        <v>194.69499999999999</v>
      </c>
      <c r="AP16" s="664">
        <v>185.37299999999999</v>
      </c>
      <c r="AQ16" s="649">
        <f t="shared" ref="AQ16:AQ21" si="7">AP16</f>
        <v>185.37299999999999</v>
      </c>
      <c r="AR16" s="648"/>
      <c r="AS16" s="663">
        <v>182.66800000000001</v>
      </c>
      <c r="AT16" s="377">
        <v>179.67599999999999</v>
      </c>
      <c r="AU16" s="377">
        <v>177.32400000000001</v>
      </c>
      <c r="AV16" s="621">
        <v>176.19399999999999</v>
      </c>
      <c r="AW16" s="649">
        <f t="shared" si="0"/>
        <v>176.19399999999999</v>
      </c>
      <c r="AX16" s="648"/>
      <c r="AY16" s="663">
        <v>168.499</v>
      </c>
      <c r="AZ16" s="377">
        <v>166.31700000000001</v>
      </c>
      <c r="BA16" s="377">
        <v>164.17699999999999</v>
      </c>
      <c r="BB16" s="621">
        <v>167.029</v>
      </c>
      <c r="BC16" s="649">
        <f t="shared" ref="BC16:BC21" si="8">BB16</f>
        <v>167.029</v>
      </c>
      <c r="BD16" s="648"/>
      <c r="BE16" s="663">
        <v>168.125</v>
      </c>
      <c r="BF16" s="377">
        <v>167.196</v>
      </c>
      <c r="BG16" s="377">
        <v>175.226</v>
      </c>
      <c r="BH16" s="621">
        <v>145.494</v>
      </c>
      <c r="BI16" s="649">
        <f t="shared" ref="BI16:BI21" si="9">BH16</f>
        <v>145.494</v>
      </c>
      <c r="BJ16" s="648"/>
      <c r="BK16" s="663">
        <v>153.93700000000001</v>
      </c>
      <c r="BL16" s="377">
        <v>154.15600000000001</v>
      </c>
      <c r="BM16" s="377">
        <v>157.66499999999999</v>
      </c>
      <c r="BN16" s="621">
        <v>298.06599999999997</v>
      </c>
      <c r="BO16" s="649">
        <f t="shared" ref="BO16:BO21" si="10">BN16</f>
        <v>298.06599999999997</v>
      </c>
      <c r="BP16" s="648"/>
      <c r="BQ16" s="654">
        <f>BQ110</f>
        <v>294.82066356740182</v>
      </c>
      <c r="BR16" s="653">
        <f>BR110</f>
        <v>292.21656363992201</v>
      </c>
      <c r="BS16" s="653">
        <f>BS110</f>
        <v>289.42486671558538</v>
      </c>
      <c r="BT16" s="653">
        <f>BT110</f>
        <v>287.52298082737275</v>
      </c>
      <c r="BU16" s="649">
        <f t="shared" ref="BU16:BU21" si="11">BT16</f>
        <v>287.52298082737275</v>
      </c>
      <c r="BV16" s="1787"/>
      <c r="BW16" s="654">
        <f>BW110</f>
        <v>282.50746645088208</v>
      </c>
      <c r="BX16" s="653">
        <f>BX110</f>
        <v>278.20909509352884</v>
      </c>
      <c r="BY16" s="653">
        <f>BY110</f>
        <v>273.73382039509005</v>
      </c>
      <c r="BZ16" s="653">
        <f>BZ110</f>
        <v>270.20251494313976</v>
      </c>
      <c r="CA16" s="649">
        <f t="shared" ref="CA16:CA21" si="12">BZ16</f>
        <v>270.20251494313976</v>
      </c>
      <c r="CB16" s="1787"/>
      <c r="CC16" s="654">
        <f>CC110</f>
        <v>265.04567853909674</v>
      </c>
      <c r="CD16" s="653">
        <f>CD110</f>
        <v>260.67647561390913</v>
      </c>
      <c r="CE16" s="653">
        <f>CE110</f>
        <v>256.09516046125913</v>
      </c>
      <c r="CF16" s="653">
        <f>CF110</f>
        <v>252.47315176523966</v>
      </c>
      <c r="CG16" s="649">
        <f t="shared" ref="CG16:CG21" si="13">CF16</f>
        <v>252.47315176523966</v>
      </c>
      <c r="CH16" s="1787"/>
      <c r="CI16" s="654">
        <f>CI110</f>
        <v>247.00183069771106</v>
      </c>
      <c r="CJ16" s="653">
        <f>CJ110</f>
        <v>242.36143499595846</v>
      </c>
      <c r="CK16" s="653">
        <f>CK110</f>
        <v>237.53536734319857</v>
      </c>
      <c r="CL16" s="653">
        <f>CL110</f>
        <v>233.71491126574142</v>
      </c>
      <c r="CM16" s="649">
        <f t="shared" ref="CM16:CM21" si="14">CL16</f>
        <v>233.71491126574142</v>
      </c>
      <c r="CN16" s="94"/>
      <c r="CO16" s="94"/>
      <c r="CP16" s="94"/>
      <c r="CQ16" s="94"/>
    </row>
    <row r="17" spans="1:95">
      <c r="A17" s="1693" t="s">
        <v>227</v>
      </c>
      <c r="B17" s="142"/>
      <c r="C17" s="376">
        <v>4.5890000000000004</v>
      </c>
      <c r="D17" s="377">
        <v>4.4850000000000003</v>
      </c>
      <c r="E17" s="377">
        <v>4.6580000000000004</v>
      </c>
      <c r="F17" s="377">
        <v>5.9189999999999996</v>
      </c>
      <c r="G17" s="649">
        <f t="shared" si="1"/>
        <v>5.9189999999999996</v>
      </c>
      <c r="H17" s="648"/>
      <c r="I17" s="376">
        <v>4.9850000000000003</v>
      </c>
      <c r="J17" s="377">
        <v>4.2539999999999996</v>
      </c>
      <c r="K17" s="377">
        <v>4.141</v>
      </c>
      <c r="L17" s="377">
        <v>3.4590000000000001</v>
      </c>
      <c r="M17" s="649">
        <f t="shared" si="2"/>
        <v>3.4590000000000001</v>
      </c>
      <c r="N17" s="648"/>
      <c r="O17" s="376">
        <v>3.0779999999999998</v>
      </c>
      <c r="P17" s="377">
        <v>2.0310000000000001</v>
      </c>
      <c r="Q17" s="377">
        <v>2.19</v>
      </c>
      <c r="R17" s="377">
        <v>2.2869999999999999</v>
      </c>
      <c r="S17" s="649">
        <f t="shared" si="3"/>
        <v>2.2869999999999999</v>
      </c>
      <c r="T17" s="648"/>
      <c r="U17" s="376">
        <v>2.3239999999999998</v>
      </c>
      <c r="V17" s="377">
        <v>1.1379999999999999</v>
      </c>
      <c r="W17" s="377">
        <v>1.228</v>
      </c>
      <c r="X17" s="377">
        <v>1.35</v>
      </c>
      <c r="Y17" s="649">
        <f t="shared" si="4"/>
        <v>1.35</v>
      </c>
      <c r="Z17" s="648"/>
      <c r="AA17" s="663">
        <v>1.389</v>
      </c>
      <c r="AB17" s="664">
        <v>1.177</v>
      </c>
      <c r="AC17" s="664">
        <v>1.0229999999999999</v>
      </c>
      <c r="AD17" s="664">
        <v>1.105</v>
      </c>
      <c r="AE17" s="649">
        <f t="shared" si="5"/>
        <v>1.105</v>
      </c>
      <c r="AF17" s="648"/>
      <c r="AG17" s="663">
        <v>1.113</v>
      </c>
      <c r="AH17" s="664">
        <v>1.1020000000000001</v>
      </c>
      <c r="AI17" s="664">
        <v>1.1439999999999999</v>
      </c>
      <c r="AJ17" s="664">
        <v>1.149</v>
      </c>
      <c r="AK17" s="649">
        <f t="shared" si="6"/>
        <v>1.149</v>
      </c>
      <c r="AL17" s="648"/>
      <c r="AM17" s="663">
        <v>1.18</v>
      </c>
      <c r="AN17" s="664">
        <v>1.139</v>
      </c>
      <c r="AO17" s="377">
        <v>1.22</v>
      </c>
      <c r="AP17" s="664">
        <v>1.319</v>
      </c>
      <c r="AQ17" s="649">
        <f t="shared" si="7"/>
        <v>1.319</v>
      </c>
      <c r="AR17" s="648"/>
      <c r="AS17" s="663">
        <v>1.3</v>
      </c>
      <c r="AT17" s="377">
        <v>1.327</v>
      </c>
      <c r="AU17" s="377">
        <v>1.391</v>
      </c>
      <c r="AV17" s="621">
        <v>1.5680000000000001</v>
      </c>
      <c r="AW17" s="649">
        <f t="shared" si="0"/>
        <v>1.5680000000000001</v>
      </c>
      <c r="AX17" s="648"/>
      <c r="AY17" s="663">
        <v>1.5980000000000001</v>
      </c>
      <c r="AZ17" s="377">
        <v>1.633</v>
      </c>
      <c r="BA17" s="377">
        <v>1.5740000000000001</v>
      </c>
      <c r="BB17" s="621">
        <v>1.5860000000000001</v>
      </c>
      <c r="BC17" s="649">
        <f t="shared" si="8"/>
        <v>1.5860000000000001</v>
      </c>
      <c r="BD17" s="648"/>
      <c r="BE17" s="663">
        <v>1.379</v>
      </c>
      <c r="BF17" s="377">
        <v>1.448</v>
      </c>
      <c r="BG17" s="377">
        <v>1.5389999999999999</v>
      </c>
      <c r="BH17" s="621">
        <v>0</v>
      </c>
      <c r="BI17" s="649">
        <f t="shared" si="9"/>
        <v>0</v>
      </c>
      <c r="BJ17" s="648"/>
      <c r="BK17" s="663">
        <v>0</v>
      </c>
      <c r="BL17" s="377">
        <v>0</v>
      </c>
      <c r="BM17" s="377">
        <v>0</v>
      </c>
      <c r="BN17" s="621">
        <v>0</v>
      </c>
      <c r="BO17" s="649">
        <f t="shared" si="10"/>
        <v>0</v>
      </c>
      <c r="BP17" s="648"/>
      <c r="BQ17" s="654">
        <f>BO17-CFS!BQ30</f>
        <v>0</v>
      </c>
      <c r="BR17" s="653">
        <f>BQ17-CFS!BR30</f>
        <v>0</v>
      </c>
      <c r="BS17" s="653">
        <f>BR17-CFS!BS30</f>
        <v>0</v>
      </c>
      <c r="BT17" s="653">
        <f>BS17-CFS!BT30</f>
        <v>0</v>
      </c>
      <c r="BU17" s="649">
        <f t="shared" si="11"/>
        <v>0</v>
      </c>
      <c r="BV17" s="1787"/>
      <c r="BW17" s="654">
        <f>BU17-CFS!BW30</f>
        <v>0</v>
      </c>
      <c r="BX17" s="653">
        <f>BW17-CFS!BX30</f>
        <v>0</v>
      </c>
      <c r="BY17" s="653">
        <f>BX17-CFS!BY30</f>
        <v>0</v>
      </c>
      <c r="BZ17" s="653">
        <f>BY17-CFS!BZ30</f>
        <v>0</v>
      </c>
      <c r="CA17" s="649">
        <f t="shared" si="12"/>
        <v>0</v>
      </c>
      <c r="CB17" s="1787"/>
      <c r="CC17" s="654">
        <f>CA17-CFS!CC30</f>
        <v>0</v>
      </c>
      <c r="CD17" s="653">
        <f>CC17-CFS!CD30</f>
        <v>0</v>
      </c>
      <c r="CE17" s="653">
        <f>CD17-CFS!CE30</f>
        <v>0</v>
      </c>
      <c r="CF17" s="653">
        <f>CE17-CFS!CF30</f>
        <v>0</v>
      </c>
      <c r="CG17" s="649">
        <f t="shared" si="13"/>
        <v>0</v>
      </c>
      <c r="CH17" s="1787"/>
      <c r="CI17" s="654">
        <f>CG17-CFS!CI30</f>
        <v>0</v>
      </c>
      <c r="CJ17" s="653">
        <f>CI17-CFS!CJ30</f>
        <v>0</v>
      </c>
      <c r="CK17" s="653">
        <f>CJ17-CFS!CK30</f>
        <v>0</v>
      </c>
      <c r="CL17" s="653">
        <f>CK17-CFS!CL30</f>
        <v>0</v>
      </c>
      <c r="CM17" s="649">
        <f t="shared" si="14"/>
        <v>0</v>
      </c>
      <c r="CN17" s="94"/>
      <c r="CO17" s="94"/>
      <c r="CP17" s="94"/>
      <c r="CQ17" s="94"/>
    </row>
    <row r="18" spans="1:95">
      <c r="A18" s="1693" t="s">
        <v>228</v>
      </c>
      <c r="B18" s="142"/>
      <c r="C18" s="376">
        <v>421.22800000000001</v>
      </c>
      <c r="D18" s="377">
        <v>414.73700000000002</v>
      </c>
      <c r="E18" s="377">
        <v>406.589</v>
      </c>
      <c r="F18" s="377">
        <v>479.209</v>
      </c>
      <c r="G18" s="649">
        <f t="shared" si="1"/>
        <v>479.209</v>
      </c>
      <c r="H18" s="648"/>
      <c r="I18" s="376">
        <v>493.976</v>
      </c>
      <c r="J18" s="377">
        <v>483.58199999999999</v>
      </c>
      <c r="K18" s="377">
        <v>466.82100000000003</v>
      </c>
      <c r="L18" s="377">
        <v>452.47300000000001</v>
      </c>
      <c r="M18" s="649">
        <f t="shared" si="2"/>
        <v>452.47300000000001</v>
      </c>
      <c r="N18" s="648"/>
      <c r="O18" s="376">
        <v>449.49299999999999</v>
      </c>
      <c r="P18" s="377">
        <v>456.363</v>
      </c>
      <c r="Q18" s="377">
        <v>474.61399999999998</v>
      </c>
      <c r="R18" s="377">
        <v>442.67500000000001</v>
      </c>
      <c r="S18" s="649">
        <f t="shared" si="3"/>
        <v>442.67500000000001</v>
      </c>
      <c r="T18" s="648"/>
      <c r="U18" s="376">
        <v>443.14299999999997</v>
      </c>
      <c r="V18" s="377">
        <v>459.42899999999997</v>
      </c>
      <c r="W18" s="377">
        <v>439.44</v>
      </c>
      <c r="X18" s="377">
        <v>424.24799999999999</v>
      </c>
      <c r="Y18" s="649">
        <f t="shared" si="4"/>
        <v>424.24799999999999</v>
      </c>
      <c r="Z18" s="648"/>
      <c r="AA18" s="663">
        <v>432.47199999999998</v>
      </c>
      <c r="AB18" s="664">
        <v>534.96500000000003</v>
      </c>
      <c r="AC18" s="664">
        <v>512.27700000000004</v>
      </c>
      <c r="AD18" s="664">
        <v>661.60699999999997</v>
      </c>
      <c r="AE18" s="649">
        <f t="shared" si="5"/>
        <v>661.60699999999997</v>
      </c>
      <c r="AF18" s="648"/>
      <c r="AG18" s="663">
        <v>638.76300000000003</v>
      </c>
      <c r="AH18" s="664">
        <v>613.00900000000001</v>
      </c>
      <c r="AI18" s="664">
        <v>606.1</v>
      </c>
      <c r="AJ18" s="664">
        <v>529.90099999999995</v>
      </c>
      <c r="AK18" s="649">
        <f t="shared" si="6"/>
        <v>529.90099999999995</v>
      </c>
      <c r="AL18" s="648"/>
      <c r="AM18" s="663">
        <v>506.54</v>
      </c>
      <c r="AN18" s="664">
        <v>487.31200000000001</v>
      </c>
      <c r="AO18" s="377">
        <v>481.41699999999997</v>
      </c>
      <c r="AP18" s="664">
        <v>460.43</v>
      </c>
      <c r="AQ18" s="649">
        <f t="shared" si="7"/>
        <v>460.43</v>
      </c>
      <c r="AR18" s="648"/>
      <c r="AS18" s="663">
        <v>437.88200000000001</v>
      </c>
      <c r="AT18" s="377">
        <v>417.30799999999999</v>
      </c>
      <c r="AU18" s="377">
        <v>396.46600000000001</v>
      </c>
      <c r="AV18" s="621">
        <v>490.26499999999999</v>
      </c>
      <c r="AW18" s="649">
        <f t="shared" si="0"/>
        <v>490.26499999999999</v>
      </c>
      <c r="AX18" s="648"/>
      <c r="AY18" s="663">
        <v>470.012</v>
      </c>
      <c r="AZ18" s="377">
        <v>454.25099999999998</v>
      </c>
      <c r="BA18" s="377">
        <v>424.23899999999998</v>
      </c>
      <c r="BB18" s="621">
        <v>490.81099999999998</v>
      </c>
      <c r="BC18" s="649">
        <f t="shared" si="8"/>
        <v>490.81099999999998</v>
      </c>
      <c r="BD18" s="648"/>
      <c r="BE18" s="663">
        <v>481.59800000000001</v>
      </c>
      <c r="BF18" s="377">
        <v>454.40699999999998</v>
      </c>
      <c r="BG18" s="377">
        <v>452.45800000000003</v>
      </c>
      <c r="BH18" s="621">
        <v>420.22399999999999</v>
      </c>
      <c r="BI18" s="649">
        <f t="shared" si="9"/>
        <v>420.22399999999999</v>
      </c>
      <c r="BJ18" s="648"/>
      <c r="BK18" s="663">
        <v>455.12799999999999</v>
      </c>
      <c r="BL18" s="377">
        <v>453.05900000000003</v>
      </c>
      <c r="BM18" s="377">
        <v>441.42500000000001</v>
      </c>
      <c r="BN18" s="621">
        <v>1346.94</v>
      </c>
      <c r="BO18" s="649">
        <f t="shared" si="10"/>
        <v>1346.94</v>
      </c>
      <c r="BP18" s="648"/>
      <c r="BQ18" s="654">
        <f>BQ122</f>
        <v>1326.7359000000001</v>
      </c>
      <c r="BR18" s="653">
        <f>BR122</f>
        <v>1306.8348615000002</v>
      </c>
      <c r="BS18" s="653">
        <f>BS122</f>
        <v>1287.2323385775003</v>
      </c>
      <c r="BT18" s="653">
        <f>BT122</f>
        <v>1267.9238534988378</v>
      </c>
      <c r="BU18" s="649">
        <f t="shared" si="11"/>
        <v>1267.9238534988378</v>
      </c>
      <c r="BV18" s="1787"/>
      <c r="BW18" s="654">
        <f>BW122</f>
        <v>1247.3200908794815</v>
      </c>
      <c r="BX18" s="653">
        <f>BX122</f>
        <v>1227.0511394026901</v>
      </c>
      <c r="BY18" s="653">
        <f>BY122</f>
        <v>1207.1115583873964</v>
      </c>
      <c r="BZ18" s="653">
        <f>BZ122</f>
        <v>1187.4959955636011</v>
      </c>
      <c r="CA18" s="649">
        <f t="shared" si="12"/>
        <v>1187.4959955636011</v>
      </c>
      <c r="CB18" s="1787"/>
      <c r="CC18" s="654">
        <f>CC122</f>
        <v>1166.7148156412381</v>
      </c>
      <c r="CD18" s="653">
        <f>CD122</f>
        <v>1146.2973063675165</v>
      </c>
      <c r="CE18" s="653">
        <f>CE122</f>
        <v>1126.2371035060851</v>
      </c>
      <c r="CF18" s="653">
        <f>CF122</f>
        <v>1106.5279541947286</v>
      </c>
      <c r="CG18" s="649">
        <f t="shared" si="13"/>
        <v>1106.5279541947286</v>
      </c>
      <c r="CH18" s="1787"/>
      <c r="CI18" s="654">
        <f>CI122</f>
        <v>1085.7805550535772</v>
      </c>
      <c r="CJ18" s="653">
        <f>CJ122</f>
        <v>1065.4221696463226</v>
      </c>
      <c r="CK18" s="653">
        <f>CK122</f>
        <v>1045.445503965454</v>
      </c>
      <c r="CL18" s="653">
        <f>CL122</f>
        <v>1025.8434007661017</v>
      </c>
      <c r="CM18" s="649">
        <f t="shared" si="14"/>
        <v>1025.8434007661017</v>
      </c>
      <c r="CN18" s="94"/>
      <c r="CO18" s="94"/>
      <c r="CP18" s="94"/>
      <c r="CQ18" s="94"/>
    </row>
    <row r="19" spans="1:95">
      <c r="A19" s="1693" t="s">
        <v>229</v>
      </c>
      <c r="B19" s="142"/>
      <c r="C19" s="376">
        <v>1156.4690000000001</v>
      </c>
      <c r="D19" s="377">
        <v>1158.836</v>
      </c>
      <c r="E19" s="377">
        <v>1178.008</v>
      </c>
      <c r="F19" s="377">
        <v>1355.6559999999999</v>
      </c>
      <c r="G19" s="649">
        <f t="shared" si="1"/>
        <v>1355.6559999999999</v>
      </c>
      <c r="H19" s="648"/>
      <c r="I19" s="376">
        <v>1437.817</v>
      </c>
      <c r="J19" s="377">
        <v>1442.4870000000001</v>
      </c>
      <c r="K19" s="377">
        <v>1419.01</v>
      </c>
      <c r="L19" s="377">
        <v>1396.2919999999999</v>
      </c>
      <c r="M19" s="649">
        <f t="shared" si="2"/>
        <v>1396.2919999999999</v>
      </c>
      <c r="N19" s="648"/>
      <c r="O19" s="376">
        <v>1385.268</v>
      </c>
      <c r="P19" s="377">
        <v>1425.4369999999999</v>
      </c>
      <c r="Q19" s="377">
        <v>1473.547</v>
      </c>
      <c r="R19" s="377">
        <v>1419.4849999999999</v>
      </c>
      <c r="S19" s="649">
        <f t="shared" si="3"/>
        <v>1419.4849999999999</v>
      </c>
      <c r="T19" s="648"/>
      <c r="U19" s="376">
        <v>1440.463</v>
      </c>
      <c r="V19" s="377">
        <v>1525.098</v>
      </c>
      <c r="W19" s="377">
        <v>1528.0840000000001</v>
      </c>
      <c r="X19" s="377">
        <v>1504.8150000000001</v>
      </c>
      <c r="Y19" s="649">
        <f t="shared" si="4"/>
        <v>1504.8150000000001</v>
      </c>
      <c r="Z19" s="648"/>
      <c r="AA19" s="663">
        <v>1585.355</v>
      </c>
      <c r="AB19" s="664">
        <v>1781.127</v>
      </c>
      <c r="AC19" s="664">
        <v>1758.405</v>
      </c>
      <c r="AD19" s="664">
        <v>2093.6260000000002</v>
      </c>
      <c r="AE19" s="649">
        <f t="shared" si="5"/>
        <v>2093.6260000000002</v>
      </c>
      <c r="AF19" s="648"/>
      <c r="AG19" s="663">
        <v>2103.0590000000002</v>
      </c>
      <c r="AH19" s="664">
        <v>2080.0309999999999</v>
      </c>
      <c r="AI19" s="664">
        <v>2092.3510000000001</v>
      </c>
      <c r="AJ19" s="664">
        <v>2122.788</v>
      </c>
      <c r="AK19" s="649">
        <f t="shared" si="6"/>
        <v>2122.788</v>
      </c>
      <c r="AL19" s="648"/>
      <c r="AM19" s="663">
        <v>2111.6210000000001</v>
      </c>
      <c r="AN19" s="664">
        <v>2117.0619999999999</v>
      </c>
      <c r="AO19" s="377">
        <v>2131.0509999999999</v>
      </c>
      <c r="AP19" s="664">
        <v>2143.12</v>
      </c>
      <c r="AQ19" s="649">
        <f t="shared" si="7"/>
        <v>2143.12</v>
      </c>
      <c r="AR19" s="648"/>
      <c r="AS19" s="663">
        <v>2142.4749999999999</v>
      </c>
      <c r="AT19" s="377">
        <v>2141.819</v>
      </c>
      <c r="AU19" s="377">
        <v>2123.2350000000001</v>
      </c>
      <c r="AV19" s="621">
        <v>2284.0770000000002</v>
      </c>
      <c r="AW19" s="649">
        <f t="shared" si="0"/>
        <v>2284.0770000000002</v>
      </c>
      <c r="AX19" s="648"/>
      <c r="AY19" s="663">
        <v>2253.2080000000001</v>
      </c>
      <c r="AZ19" s="377">
        <v>2275.8980000000001</v>
      </c>
      <c r="BA19" s="621">
        <v>2253.9430000000002</v>
      </c>
      <c r="BB19" s="621">
        <v>2276.1489999999999</v>
      </c>
      <c r="BC19" s="649">
        <f t="shared" si="8"/>
        <v>2276.1489999999999</v>
      </c>
      <c r="BD19" s="648"/>
      <c r="BE19" s="663">
        <v>2296.1460000000002</v>
      </c>
      <c r="BF19" s="377">
        <v>2272.2020000000002</v>
      </c>
      <c r="BG19" s="377">
        <v>2313.9</v>
      </c>
      <c r="BH19" s="621">
        <v>2247.9659999999999</v>
      </c>
      <c r="BI19" s="649">
        <f t="shared" si="9"/>
        <v>2247.9659999999999</v>
      </c>
      <c r="BJ19" s="648"/>
      <c r="BK19" s="663">
        <v>2332.5329999999999</v>
      </c>
      <c r="BL19" s="377">
        <v>2356.69</v>
      </c>
      <c r="BM19" s="377">
        <v>2373.009</v>
      </c>
      <c r="BN19" s="621">
        <v>3002.1979999999999</v>
      </c>
      <c r="BO19" s="649">
        <f t="shared" si="10"/>
        <v>3002.1979999999999</v>
      </c>
      <c r="BP19" s="648"/>
      <c r="BQ19" s="654">
        <f>BQ129</f>
        <v>3002.1979999999999</v>
      </c>
      <c r="BR19" s="653">
        <f>BR129</f>
        <v>3002.1979999999999</v>
      </c>
      <c r="BS19" s="653">
        <f>BS129</f>
        <v>3002.1979999999999</v>
      </c>
      <c r="BT19" s="653">
        <f>BT129</f>
        <v>3002.1979999999999</v>
      </c>
      <c r="BU19" s="649">
        <f t="shared" si="11"/>
        <v>3002.1979999999999</v>
      </c>
      <c r="BV19" s="1787"/>
      <c r="BW19" s="654">
        <f>BW129</f>
        <v>3002.1979999999999</v>
      </c>
      <c r="BX19" s="653">
        <f>BX129</f>
        <v>3002.1979999999999</v>
      </c>
      <c r="BY19" s="653">
        <f>BY129</f>
        <v>3002.1979999999999</v>
      </c>
      <c r="BZ19" s="653">
        <f>BZ129</f>
        <v>3002.1979999999999</v>
      </c>
      <c r="CA19" s="649">
        <f t="shared" si="12"/>
        <v>3002.1979999999999</v>
      </c>
      <c r="CB19" s="1787"/>
      <c r="CC19" s="654">
        <f>CC129</f>
        <v>3002.1979999999999</v>
      </c>
      <c r="CD19" s="653">
        <f>CD129</f>
        <v>3002.1979999999999</v>
      </c>
      <c r="CE19" s="653">
        <f>CE129</f>
        <v>3002.1979999999999</v>
      </c>
      <c r="CF19" s="653">
        <f>CF129</f>
        <v>3002.1979999999999</v>
      </c>
      <c r="CG19" s="649">
        <f t="shared" si="13"/>
        <v>3002.1979999999999</v>
      </c>
      <c r="CH19" s="1787"/>
      <c r="CI19" s="654">
        <f>CI129</f>
        <v>3002.1979999999999</v>
      </c>
      <c r="CJ19" s="653">
        <f>CJ129</f>
        <v>3002.1979999999999</v>
      </c>
      <c r="CK19" s="653">
        <f>CK129</f>
        <v>3002.1979999999999</v>
      </c>
      <c r="CL19" s="653">
        <f>CL129</f>
        <v>3002.1979999999999</v>
      </c>
      <c r="CM19" s="649">
        <f t="shared" si="14"/>
        <v>3002.1979999999999</v>
      </c>
      <c r="CN19" s="94"/>
      <c r="CO19" s="94"/>
      <c r="CP19" s="94"/>
      <c r="CQ19" s="94"/>
    </row>
    <row r="20" spans="1:95">
      <c r="A20" s="1693" t="s">
        <v>230</v>
      </c>
      <c r="B20" s="142"/>
      <c r="C20" s="376">
        <v>51.128999999999998</v>
      </c>
      <c r="D20" s="377">
        <v>49.970999999999997</v>
      </c>
      <c r="E20" s="377">
        <v>51.015999999999998</v>
      </c>
      <c r="F20" s="377">
        <v>59.412999999999997</v>
      </c>
      <c r="G20" s="649">
        <f t="shared" si="1"/>
        <v>59.412999999999997</v>
      </c>
      <c r="H20" s="648"/>
      <c r="I20" s="376">
        <v>56.984999999999999</v>
      </c>
      <c r="J20" s="377">
        <v>55.012999999999998</v>
      </c>
      <c r="K20" s="377">
        <v>55.756999999999998</v>
      </c>
      <c r="L20" s="377">
        <v>38.76</v>
      </c>
      <c r="M20" s="649">
        <f t="shared" si="2"/>
        <v>38.76</v>
      </c>
      <c r="N20" s="648"/>
      <c r="O20" s="376">
        <v>36.286000000000001</v>
      </c>
      <c r="P20" s="377">
        <v>35.747</v>
      </c>
      <c r="Q20" s="377">
        <v>41.37</v>
      </c>
      <c r="R20" s="377">
        <v>43.625</v>
      </c>
      <c r="S20" s="649">
        <f t="shared" si="3"/>
        <v>43.625</v>
      </c>
      <c r="T20" s="648"/>
      <c r="U20" s="376">
        <v>44.237000000000002</v>
      </c>
      <c r="V20" s="377">
        <v>30.917000000000002</v>
      </c>
      <c r="W20" s="377">
        <f>31.688</f>
        <v>31.687999999999999</v>
      </c>
      <c r="X20" s="377">
        <v>32.100999999999999</v>
      </c>
      <c r="Y20" s="649">
        <f t="shared" si="4"/>
        <v>32.100999999999999</v>
      </c>
      <c r="Z20" s="648"/>
      <c r="AA20" s="663">
        <v>34.079000000000001</v>
      </c>
      <c r="AB20" s="664">
        <v>35.167999999999999</v>
      </c>
      <c r="AC20" s="664">
        <v>34.549999999999997</v>
      </c>
      <c r="AD20" s="664">
        <v>41.075000000000003</v>
      </c>
      <c r="AE20" s="649">
        <f t="shared" si="5"/>
        <v>41.075000000000003</v>
      </c>
      <c r="AF20" s="648"/>
      <c r="AG20" s="663">
        <v>41.555999999999997</v>
      </c>
      <c r="AH20" s="664">
        <v>41.817999999999998</v>
      </c>
      <c r="AI20" s="664">
        <v>47.734000000000002</v>
      </c>
      <c r="AJ20" s="664">
        <v>65.653999999999996</v>
      </c>
      <c r="AK20" s="649">
        <f t="shared" si="6"/>
        <v>65.653999999999996</v>
      </c>
      <c r="AL20" s="648"/>
      <c r="AM20" s="663">
        <v>79.441000000000003</v>
      </c>
      <c r="AN20" s="664">
        <v>85.137</v>
      </c>
      <c r="AO20" s="377">
        <v>94.718999999999994</v>
      </c>
      <c r="AP20" s="664">
        <v>111.63200000000001</v>
      </c>
      <c r="AQ20" s="649">
        <f t="shared" si="7"/>
        <v>111.63200000000001</v>
      </c>
      <c r="AR20" s="648"/>
      <c r="AS20" s="663">
        <v>109.17100000000001</v>
      </c>
      <c r="AT20" s="377">
        <v>113.714</v>
      </c>
      <c r="AU20" s="377">
        <v>111.898</v>
      </c>
      <c r="AV20" s="621">
        <v>113.42</v>
      </c>
      <c r="AW20" s="649">
        <f t="shared" si="0"/>
        <v>113.42</v>
      </c>
      <c r="AX20" s="648"/>
      <c r="AY20" s="663">
        <v>112.419</v>
      </c>
      <c r="AZ20" s="377">
        <v>114.32899999999999</v>
      </c>
      <c r="BA20" s="377">
        <v>113.89700000000001</v>
      </c>
      <c r="BB20" s="621">
        <v>197.559</v>
      </c>
      <c r="BC20" s="649">
        <f t="shared" si="8"/>
        <v>197.559</v>
      </c>
      <c r="BD20" s="648"/>
      <c r="BE20" s="663">
        <v>213.65299999999999</v>
      </c>
      <c r="BF20" s="377">
        <v>219.79599999999999</v>
      </c>
      <c r="BG20" s="377">
        <v>207.86699999999999</v>
      </c>
      <c r="BH20" s="621">
        <v>204.679</v>
      </c>
      <c r="BI20" s="649">
        <f t="shared" si="9"/>
        <v>204.679</v>
      </c>
      <c r="BJ20" s="648"/>
      <c r="BK20" s="663">
        <v>215.99600000000001</v>
      </c>
      <c r="BL20" s="377">
        <v>207.37299999999999</v>
      </c>
      <c r="BM20" s="377">
        <v>221.196</v>
      </c>
      <c r="BN20" s="621">
        <v>244.304</v>
      </c>
      <c r="BO20" s="649">
        <f t="shared" si="10"/>
        <v>244.304</v>
      </c>
      <c r="BP20" s="648"/>
      <c r="BQ20" s="654">
        <f>BO20</f>
        <v>244.304</v>
      </c>
      <c r="BR20" s="653">
        <f>BQ20</f>
        <v>244.304</v>
      </c>
      <c r="BS20" s="653">
        <f>BR20</f>
        <v>244.304</v>
      </c>
      <c r="BT20" s="653">
        <f>BS20</f>
        <v>244.304</v>
      </c>
      <c r="BU20" s="649">
        <f t="shared" si="11"/>
        <v>244.304</v>
      </c>
      <c r="BV20" s="1787"/>
      <c r="BW20" s="654">
        <f>BU20</f>
        <v>244.304</v>
      </c>
      <c r="BX20" s="653">
        <f>BW20</f>
        <v>244.304</v>
      </c>
      <c r="BY20" s="653">
        <f>BX20</f>
        <v>244.304</v>
      </c>
      <c r="BZ20" s="653">
        <f>BY20</f>
        <v>244.304</v>
      </c>
      <c r="CA20" s="649">
        <f t="shared" si="12"/>
        <v>244.304</v>
      </c>
      <c r="CB20" s="1787"/>
      <c r="CC20" s="654">
        <f>CA20</f>
        <v>244.304</v>
      </c>
      <c r="CD20" s="653">
        <f>CC20</f>
        <v>244.304</v>
      </c>
      <c r="CE20" s="653">
        <f>CD20</f>
        <v>244.304</v>
      </c>
      <c r="CF20" s="653">
        <f>CE20</f>
        <v>244.304</v>
      </c>
      <c r="CG20" s="649">
        <f t="shared" si="13"/>
        <v>244.304</v>
      </c>
      <c r="CH20" s="1787"/>
      <c r="CI20" s="654">
        <f>CG20</f>
        <v>244.304</v>
      </c>
      <c r="CJ20" s="653">
        <f>CI20</f>
        <v>244.304</v>
      </c>
      <c r="CK20" s="653">
        <f>CJ20</f>
        <v>244.304</v>
      </c>
      <c r="CL20" s="653">
        <f>CK20</f>
        <v>244.304</v>
      </c>
      <c r="CM20" s="649">
        <f t="shared" si="14"/>
        <v>244.304</v>
      </c>
      <c r="CN20" s="94"/>
      <c r="CO20" s="94"/>
      <c r="CP20" s="94"/>
      <c r="CQ20" s="94"/>
    </row>
    <row r="21" spans="1:95" ht="12.75" hidden="1" customHeight="1" outlineLevel="1">
      <c r="A21" s="1693" t="s">
        <v>231</v>
      </c>
      <c r="B21" s="142"/>
      <c r="C21" s="376">
        <v>1.5569999999999999</v>
      </c>
      <c r="D21" s="377">
        <v>1.5089999999999999</v>
      </c>
      <c r="E21" s="377">
        <v>1.4610000000000001</v>
      </c>
      <c r="F21" s="377">
        <v>9.657</v>
      </c>
      <c r="G21" s="649">
        <f t="shared" si="1"/>
        <v>9.657</v>
      </c>
      <c r="H21" s="648"/>
      <c r="I21" s="376">
        <v>5.194</v>
      </c>
      <c r="J21" s="377">
        <v>1.41</v>
      </c>
      <c r="K21" s="377">
        <v>1.343</v>
      </c>
      <c r="L21" s="377">
        <v>4.9889999999999999</v>
      </c>
      <c r="M21" s="649">
        <f t="shared" si="2"/>
        <v>4.9889999999999999</v>
      </c>
      <c r="N21" s="648"/>
      <c r="O21" s="376">
        <v>5.4989999999999997</v>
      </c>
      <c r="P21" s="377">
        <v>5.4710000000000001</v>
      </c>
      <c r="Q21" s="377">
        <v>4.4459999999999997</v>
      </c>
      <c r="R21" s="377">
        <v>113.92400000000001</v>
      </c>
      <c r="S21" s="649">
        <f t="shared" si="3"/>
        <v>113.92400000000001</v>
      </c>
      <c r="T21" s="648"/>
      <c r="U21" s="376">
        <v>3.1829999999999998</v>
      </c>
      <c r="V21" s="377">
        <v>0</v>
      </c>
      <c r="W21" s="377">
        <v>108.93600000000001</v>
      </c>
      <c r="X21" s="377">
        <v>0</v>
      </c>
      <c r="Y21" s="649">
        <f t="shared" si="4"/>
        <v>0</v>
      </c>
      <c r="Z21" s="648"/>
      <c r="AA21" s="663">
        <v>0</v>
      </c>
      <c r="AB21" s="664">
        <v>0</v>
      </c>
      <c r="AC21" s="664">
        <v>0</v>
      </c>
      <c r="AD21" s="664">
        <v>0</v>
      </c>
      <c r="AE21" s="649">
        <f t="shared" si="5"/>
        <v>0</v>
      </c>
      <c r="AF21" s="648"/>
      <c r="AG21" s="663">
        <v>0</v>
      </c>
      <c r="AH21" s="664">
        <v>0</v>
      </c>
      <c r="AI21" s="664">
        <v>0</v>
      </c>
      <c r="AJ21" s="664">
        <v>0</v>
      </c>
      <c r="AK21" s="649">
        <f t="shared" si="6"/>
        <v>0</v>
      </c>
      <c r="AL21" s="648"/>
      <c r="AM21" s="663">
        <v>0</v>
      </c>
      <c r="AN21" s="664">
        <v>0</v>
      </c>
      <c r="AO21" s="377">
        <v>0</v>
      </c>
      <c r="AP21" s="664">
        <v>0</v>
      </c>
      <c r="AQ21" s="649">
        <f t="shared" si="7"/>
        <v>0</v>
      </c>
      <c r="AR21" s="648"/>
      <c r="AS21" s="663">
        <v>0</v>
      </c>
      <c r="AT21" s="377">
        <v>2.0750000000000002</v>
      </c>
      <c r="AU21" s="377">
        <v>1.8089999999999999</v>
      </c>
      <c r="AV21" s="621">
        <v>0</v>
      </c>
      <c r="AW21" s="649">
        <f t="shared" si="0"/>
        <v>0</v>
      </c>
      <c r="AX21" s="648"/>
      <c r="AY21" s="663">
        <v>0</v>
      </c>
      <c r="AZ21" s="377">
        <v>0</v>
      </c>
      <c r="BA21" s="377">
        <v>0</v>
      </c>
      <c r="BB21" s="621">
        <v>0</v>
      </c>
      <c r="BC21" s="649">
        <f t="shared" si="8"/>
        <v>0</v>
      </c>
      <c r="BD21" s="648"/>
      <c r="BE21" s="663">
        <v>0</v>
      </c>
      <c r="BF21" s="377">
        <v>0</v>
      </c>
      <c r="BG21" s="377">
        <v>0</v>
      </c>
      <c r="BH21" s="621">
        <v>68.388999999999996</v>
      </c>
      <c r="BI21" s="649">
        <f t="shared" si="9"/>
        <v>68.388999999999996</v>
      </c>
      <c r="BJ21" s="648"/>
      <c r="BK21" s="663">
        <v>66.328000000000003</v>
      </c>
      <c r="BL21" s="377">
        <v>0</v>
      </c>
      <c r="BM21" s="377">
        <v>0</v>
      </c>
      <c r="BN21" s="621">
        <v>0</v>
      </c>
      <c r="BO21" s="649">
        <f t="shared" si="10"/>
        <v>0</v>
      </c>
      <c r="BP21" s="648"/>
      <c r="BQ21" s="654">
        <f>BO21-CFS!BQ34</f>
        <v>0</v>
      </c>
      <c r="BR21" s="653">
        <f>BQ21-CFS!BR34</f>
        <v>0</v>
      </c>
      <c r="BS21" s="653">
        <f>BR21-CFS!BS34</f>
        <v>0</v>
      </c>
      <c r="BT21" s="653">
        <f>BS21-CFS!BT34</f>
        <v>0</v>
      </c>
      <c r="BU21" s="649">
        <f t="shared" si="11"/>
        <v>0</v>
      </c>
      <c r="BV21" s="1787"/>
      <c r="BW21" s="654">
        <f>BU21-CFS!BW34</f>
        <v>0</v>
      </c>
      <c r="BX21" s="653">
        <f>BW21-CFS!BX34</f>
        <v>0</v>
      </c>
      <c r="BY21" s="653">
        <f>BX21-CFS!BY34</f>
        <v>0</v>
      </c>
      <c r="BZ21" s="653">
        <f>BY21-CFS!BZ34</f>
        <v>0</v>
      </c>
      <c r="CA21" s="649">
        <f t="shared" si="12"/>
        <v>0</v>
      </c>
      <c r="CB21" s="1787"/>
      <c r="CC21" s="654">
        <f>CA21-CFS!CC34</f>
        <v>0</v>
      </c>
      <c r="CD21" s="653">
        <f>CC21-CFS!CD34</f>
        <v>0</v>
      </c>
      <c r="CE21" s="653">
        <f>CD21-CFS!CE34</f>
        <v>0</v>
      </c>
      <c r="CF21" s="653">
        <f>CE21-CFS!CF34</f>
        <v>0</v>
      </c>
      <c r="CG21" s="649">
        <f t="shared" si="13"/>
        <v>0</v>
      </c>
      <c r="CH21" s="1787"/>
      <c r="CI21" s="654">
        <f>CG21-CFS!CI34</f>
        <v>0</v>
      </c>
      <c r="CJ21" s="653">
        <f>CI21-CFS!CJ34</f>
        <v>0</v>
      </c>
      <c r="CK21" s="653">
        <f>CJ21-CFS!CK34</f>
        <v>0</v>
      </c>
      <c r="CL21" s="653">
        <f>CK21-CFS!CL34</f>
        <v>0</v>
      </c>
      <c r="CM21" s="649">
        <f t="shared" si="14"/>
        <v>0</v>
      </c>
      <c r="CN21" s="104"/>
      <c r="CO21" s="104"/>
      <c r="CP21" s="104"/>
      <c r="CQ21" s="104"/>
    </row>
    <row r="22" spans="1:95" collapsed="1">
      <c r="A22" s="1694" t="s">
        <v>232</v>
      </c>
      <c r="B22" s="537"/>
      <c r="C22" s="659">
        <f>SUM(C16:C21)+C15</f>
        <v>2497.9699999999998</v>
      </c>
      <c r="D22" s="660">
        <f>SUM(D16:D21)+D15</f>
        <v>2532.4690000000001</v>
      </c>
      <c r="E22" s="660">
        <f>SUM(E16:E21)+E15</f>
        <v>2591.3580000000002</v>
      </c>
      <c r="F22" s="660">
        <f>SUM(F16:F21)+F15</f>
        <v>2949.337</v>
      </c>
      <c r="G22" s="661">
        <f>SUM(G16:G21)+G15</f>
        <v>2949.337</v>
      </c>
      <c r="H22" s="662"/>
      <c r="I22" s="659">
        <f>SUM(I16:I21)+I15</f>
        <v>3078.6030000000001</v>
      </c>
      <c r="J22" s="660">
        <f>SUM(J16:J21)+J15</f>
        <v>3076.4679999999998</v>
      </c>
      <c r="K22" s="660">
        <f>SUM(K16:K21)+K15</f>
        <v>3021.2579999999998</v>
      </c>
      <c r="L22" s="660">
        <f>SUM(L16:L21)+L15</f>
        <v>2931.7669999999998</v>
      </c>
      <c r="M22" s="661">
        <f>SUM(M16:M21)+M15</f>
        <v>2931.7669999999998</v>
      </c>
      <c r="N22" s="662"/>
      <c r="O22" s="659">
        <f>SUM(O16:O21)+O15</f>
        <v>2858.4929999999999</v>
      </c>
      <c r="P22" s="660">
        <f>SUM(P16:P21)+P15</f>
        <v>2945.8729999999996</v>
      </c>
      <c r="Q22" s="660">
        <f>SUM(Q16:Q21)+Q15</f>
        <v>3058.7860000000001</v>
      </c>
      <c r="R22" s="660">
        <f>SUM(R16:R21)+R15</f>
        <v>3059.04</v>
      </c>
      <c r="S22" s="661">
        <f>SUM(S16:S21)+S15</f>
        <v>3059.04</v>
      </c>
      <c r="T22" s="662"/>
      <c r="U22" s="659">
        <f>SUM(U16:U21)+U15</f>
        <v>3027.0240000000003</v>
      </c>
      <c r="V22" s="660">
        <f>SUM(V16:V21)+V15</f>
        <v>3146.0389999999998</v>
      </c>
      <c r="W22" s="660">
        <f>SUM(W16:W21)+W15</f>
        <v>3248.0110000000004</v>
      </c>
      <c r="X22" s="660">
        <f>SUM(X16:X21)+X15</f>
        <v>3209.3730000000005</v>
      </c>
      <c r="Y22" s="661">
        <f>SUM(Y16:Y21)+Y15</f>
        <v>3209.3730000000005</v>
      </c>
      <c r="Z22" s="662"/>
      <c r="AA22" s="659">
        <f>SUM(AA16:AA21)+AA15</f>
        <v>3306.1000000000004</v>
      </c>
      <c r="AB22" s="660">
        <f>SUM(AB16:AB21)+AB15</f>
        <v>3595.8590000000004</v>
      </c>
      <c r="AC22" s="660">
        <f>SUM(AC16:AC21)+AC15</f>
        <v>3401.9380000000001</v>
      </c>
      <c r="AD22" s="660">
        <f>SUM(AD16:AD21)+AD15</f>
        <v>3834.1980000000003</v>
      </c>
      <c r="AE22" s="661">
        <f>SUM(AE16:AE21)+AE15</f>
        <v>3834.1980000000003</v>
      </c>
      <c r="AF22" s="662"/>
      <c r="AG22" s="659">
        <f>SUM(AG16:AG21)+AG15</f>
        <v>3864.2380000000003</v>
      </c>
      <c r="AH22" s="660">
        <f>SUM(AH16:AH21)+AH15</f>
        <v>3800.9370000000004</v>
      </c>
      <c r="AI22" s="660">
        <f>SUM(AI16:AI21)+AI15</f>
        <v>3889.9710000000005</v>
      </c>
      <c r="AJ22" s="660">
        <f>SUM(AJ16:AJ21)+AJ15</f>
        <v>3901.7619999999997</v>
      </c>
      <c r="AK22" s="661">
        <f>SUM(AK16:AK21)+AK15</f>
        <v>3901.7619999999997</v>
      </c>
      <c r="AL22" s="662"/>
      <c r="AM22" s="659">
        <f>SUM(AM16:AM21)+AM15</f>
        <v>3808.1459999999997</v>
      </c>
      <c r="AN22" s="660">
        <f>SUM(AN16:AN21)+AN15</f>
        <v>3811.2840000000001</v>
      </c>
      <c r="AO22" s="660">
        <f>SUM(AO16:AO21)+AO15</f>
        <v>3851.5259999999998</v>
      </c>
      <c r="AP22" s="660">
        <f>SUM(AP16:AP21)+AP15</f>
        <v>3946.7119999999995</v>
      </c>
      <c r="AQ22" s="661">
        <f>SUM(AQ16:AQ21)+AQ15</f>
        <v>3946.7119999999995</v>
      </c>
      <c r="AR22" s="662"/>
      <c r="AS22" s="659">
        <f>SUM(AS16:AS21)+AS15</f>
        <v>3971.0779999999995</v>
      </c>
      <c r="AT22" s="660">
        <f>SUM(AT16:AT21)+AT15</f>
        <v>3936.5679999999998</v>
      </c>
      <c r="AU22" s="660">
        <f>SUM(AU16:AU21)+AU15</f>
        <v>3886.4700000000007</v>
      </c>
      <c r="AV22" s="660">
        <f>SUM(AV16:AV21)+AV15</f>
        <v>4134.0750000000007</v>
      </c>
      <c r="AW22" s="661">
        <f>SUM(AW16:AW21)+AW15</f>
        <v>4134.0750000000007</v>
      </c>
      <c r="AX22" s="662"/>
      <c r="AY22" s="659">
        <f>SUM(AY16:AY21)+AY15</f>
        <v>4028.2709999999997</v>
      </c>
      <c r="AZ22" s="660">
        <f>SUM(AZ16:AZ21)+AZ15</f>
        <v>4082.7560000000003</v>
      </c>
      <c r="BA22" s="660">
        <f>SUM(BA16:BA21)+BA15</f>
        <v>4031.6669999999999</v>
      </c>
      <c r="BB22" s="660">
        <f>SUM(BB16:BB21)+BB15</f>
        <v>4166.2950000000001</v>
      </c>
      <c r="BC22" s="661">
        <f>SUM(BC16:BC21)+BC15</f>
        <v>4166.2950000000001</v>
      </c>
      <c r="BD22" s="662"/>
      <c r="BE22" s="659">
        <f>SUM(BE16:BE21)+BE15</f>
        <v>4210.7209999999995</v>
      </c>
      <c r="BF22" s="660">
        <f>SUM(BF16:BF21)+BF15</f>
        <v>4193.9960000000001</v>
      </c>
      <c r="BG22" s="660">
        <f>SUM(BG16:BG21)+BG15</f>
        <v>4304.5560000000005</v>
      </c>
      <c r="BH22" s="660">
        <f>SUM(BH16:BH21)+BH15</f>
        <v>4276.683</v>
      </c>
      <c r="BI22" s="661">
        <f>SUM(BI16:BI21)+BI15</f>
        <v>4276.683</v>
      </c>
      <c r="BJ22" s="662"/>
      <c r="BK22" s="659">
        <f>SUM(BK16:BK21)+BK15</f>
        <v>4340.5010000000002</v>
      </c>
      <c r="BL22" s="660">
        <f>SUM(BL16:BL21)+BL15</f>
        <v>4605.1040000000003</v>
      </c>
      <c r="BM22" s="660">
        <f>SUM(BM16:BM21)+BM15</f>
        <v>4738.9549999999999</v>
      </c>
      <c r="BN22" s="660">
        <f>SUM(BN16:BN21)+BN15</f>
        <v>6091.4629999999997</v>
      </c>
      <c r="BO22" s="661">
        <f>SUM(BO16:BO21)+BO15</f>
        <v>6091.4629999999997</v>
      </c>
      <c r="BP22" s="662"/>
      <c r="BQ22" s="659">
        <f>SUM(BQ16:BQ21)+BQ15</f>
        <v>5991.7948896714906</v>
      </c>
      <c r="BR22" s="660">
        <f>SUM(BR16:BR21)+BR15</f>
        <v>6219.9667482394852</v>
      </c>
      <c r="BS22" s="660">
        <f>SUM(BS16:BS21)+BS15</f>
        <v>6257.2159203796855</v>
      </c>
      <c r="BT22" s="660">
        <f>SUM(BT16:BT21)+BT15</f>
        <v>6353.8071774794789</v>
      </c>
      <c r="BU22" s="661">
        <f>SUM(BU16:BU21)+BU15</f>
        <v>6353.8071774794798</v>
      </c>
      <c r="BV22" s="669"/>
      <c r="BW22" s="659">
        <f>SUM(BW16:BW21)+BW15</f>
        <v>6126.45114751868</v>
      </c>
      <c r="BX22" s="660">
        <f>SUM(BX16:BX21)+BX15</f>
        <v>6141.2555878149142</v>
      </c>
      <c r="BY22" s="660">
        <f>SUM(BY16:BY21)+BY15</f>
        <v>6136.2712479216962</v>
      </c>
      <c r="BZ22" s="660">
        <f>SUM(BZ16:BZ21)+BZ15</f>
        <v>6391.8455116995156</v>
      </c>
      <c r="CA22" s="661">
        <f>SUM(CA16:CA21)+CA15</f>
        <v>6391.8455116995156</v>
      </c>
      <c r="CB22" s="669"/>
      <c r="CC22" s="659">
        <f>SUM(CC16:CC21)+CC15</f>
        <v>6272.2526394739507</v>
      </c>
      <c r="CD22" s="660">
        <f>SUM(CD16:CD21)+CD15</f>
        <v>6423.3590854054992</v>
      </c>
      <c r="CE22" s="660">
        <f>SUM(CE16:CE21)+CE15</f>
        <v>6553.9759335033104</v>
      </c>
      <c r="CF22" s="660">
        <f>SUM(CF16:CF21)+CF15</f>
        <v>6747.3177763094518</v>
      </c>
      <c r="CG22" s="661">
        <f>SUM(CG16:CG21)+CG15</f>
        <v>6747.3177763094518</v>
      </c>
      <c r="CH22" s="669"/>
      <c r="CI22" s="659">
        <f>SUM(CI16:CI21)+CI15</f>
        <v>6549.5850068608297</v>
      </c>
      <c r="CJ22" s="660">
        <f>SUM(CJ16:CJ21)+CJ15</f>
        <v>6631.135705046383</v>
      </c>
      <c r="CK22" s="660">
        <f>SUM(CK16:CK21)+CK15</f>
        <v>6692.9633414022592</v>
      </c>
      <c r="CL22" s="660">
        <f>SUM(CL16:CL21)+CL15</f>
        <v>6848.1326952154923</v>
      </c>
      <c r="CM22" s="661">
        <f>SUM(CM16:CM21)+CM15</f>
        <v>6848.1326952154923</v>
      </c>
      <c r="CN22" s="94"/>
      <c r="CO22" s="94"/>
      <c r="CP22" s="94"/>
      <c r="CQ22" s="94"/>
    </row>
    <row r="23" spans="1:95">
      <c r="A23" s="533" t="s">
        <v>233</v>
      </c>
      <c r="B23" s="538"/>
      <c r="C23" s="665"/>
      <c r="D23" s="666"/>
      <c r="E23" s="666"/>
      <c r="F23" s="666"/>
      <c r="G23" s="667"/>
      <c r="H23" s="668"/>
      <c r="I23" s="665"/>
      <c r="J23" s="666"/>
      <c r="K23" s="666"/>
      <c r="L23" s="666"/>
      <c r="M23" s="667"/>
      <c r="N23" s="668"/>
      <c r="O23" s="665"/>
      <c r="P23" s="666"/>
      <c r="Q23" s="666"/>
      <c r="R23" s="666"/>
      <c r="S23" s="667"/>
      <c r="T23" s="668"/>
      <c r="U23" s="665"/>
      <c r="V23" s="666"/>
      <c r="W23" s="666"/>
      <c r="X23" s="666"/>
      <c r="Y23" s="667"/>
      <c r="Z23" s="668"/>
      <c r="AA23" s="665"/>
      <c r="AB23" s="666"/>
      <c r="AC23" s="666"/>
      <c r="AD23" s="666"/>
      <c r="AE23" s="667"/>
      <c r="AF23" s="668"/>
      <c r="AG23" s="665"/>
      <c r="AH23" s="666"/>
      <c r="AI23" s="666"/>
      <c r="AJ23" s="669"/>
      <c r="AK23" s="667"/>
      <c r="AL23" s="668"/>
      <c r="AM23" s="670"/>
      <c r="AN23" s="666"/>
      <c r="AO23" s="669"/>
      <c r="AP23" s="669"/>
      <c r="AQ23" s="667"/>
      <c r="AR23" s="668"/>
      <c r="AS23" s="670"/>
      <c r="AT23" s="666"/>
      <c r="AU23" s="666"/>
      <c r="AV23" s="666"/>
      <c r="AW23" s="667"/>
      <c r="AX23" s="668"/>
      <c r="AY23" s="670"/>
      <c r="AZ23" s="666"/>
      <c r="BA23" s="666"/>
      <c r="BB23" s="666"/>
      <c r="BC23" s="667"/>
      <c r="BD23" s="668"/>
      <c r="BE23" s="670"/>
      <c r="BF23" s="666"/>
      <c r="BG23" s="666"/>
      <c r="BH23" s="666"/>
      <c r="BI23" s="667"/>
      <c r="BJ23" s="668"/>
      <c r="BK23" s="670"/>
      <c r="BL23" s="666"/>
      <c r="BM23" s="666"/>
      <c r="BN23" s="666"/>
      <c r="BO23" s="667"/>
      <c r="BP23" s="668"/>
      <c r="BQ23" s="670"/>
      <c r="BR23" s="669"/>
      <c r="BS23" s="669"/>
      <c r="BT23" s="669"/>
      <c r="BU23" s="667"/>
      <c r="BV23" s="666"/>
      <c r="BW23" s="670"/>
      <c r="BX23" s="669"/>
      <c r="BY23" s="669"/>
      <c r="BZ23" s="669"/>
      <c r="CA23" s="667"/>
      <c r="CB23" s="666"/>
      <c r="CC23" s="670"/>
      <c r="CD23" s="669"/>
      <c r="CE23" s="669"/>
      <c r="CF23" s="669"/>
      <c r="CG23" s="667"/>
      <c r="CH23" s="666"/>
      <c r="CI23" s="670"/>
      <c r="CJ23" s="669"/>
      <c r="CK23" s="669"/>
      <c r="CL23" s="669"/>
      <c r="CM23" s="667"/>
      <c r="CN23" s="94"/>
      <c r="CO23" s="94"/>
      <c r="CP23" s="94"/>
      <c r="CQ23" s="94"/>
    </row>
    <row r="24" spans="1:95" ht="12.75" hidden="1" customHeight="1" outlineLevel="1">
      <c r="A24" s="1693" t="s">
        <v>234</v>
      </c>
      <c r="B24" s="142"/>
      <c r="C24" s="376">
        <v>1.627</v>
      </c>
      <c r="D24" s="377">
        <v>0.89800000000000002</v>
      </c>
      <c r="E24" s="377">
        <v>0.93500000000000005</v>
      </c>
      <c r="F24" s="377">
        <v>0.56200000000000006</v>
      </c>
      <c r="G24" s="649">
        <f t="shared" ref="G24:G32" si="15">F24</f>
        <v>0.56200000000000006</v>
      </c>
      <c r="H24" s="648"/>
      <c r="I24" s="376">
        <v>0.54900000000000004</v>
      </c>
      <c r="J24" s="377">
        <v>4.2999999999999997E-2</v>
      </c>
      <c r="K24" s="377">
        <v>0.04</v>
      </c>
      <c r="L24" s="377">
        <v>0.04</v>
      </c>
      <c r="M24" s="649">
        <f t="shared" ref="M24:M32" si="16">L24</f>
        <v>0.04</v>
      </c>
      <c r="N24" s="648"/>
      <c r="O24" s="376">
        <v>0.04</v>
      </c>
      <c r="P24" s="377">
        <v>0</v>
      </c>
      <c r="Q24" s="377">
        <v>0.14599999999999999</v>
      </c>
      <c r="R24" s="377">
        <v>0.14599999999999999</v>
      </c>
      <c r="S24" s="649">
        <f t="shared" ref="S24:S32" si="17">R24</f>
        <v>0.14599999999999999</v>
      </c>
      <c r="T24" s="648"/>
      <c r="U24" s="376">
        <v>0.14699999999999999</v>
      </c>
      <c r="V24" s="377">
        <v>0.14699999999999999</v>
      </c>
      <c r="W24" s="377">
        <v>0.15</v>
      </c>
      <c r="X24" s="377">
        <v>2.2549999999999999</v>
      </c>
      <c r="Y24" s="649">
        <f t="shared" ref="Y24:Y32" si="18">X24</f>
        <v>2.2549999999999999</v>
      </c>
      <c r="Z24" s="648"/>
      <c r="AA24" s="376">
        <v>2.25</v>
      </c>
      <c r="AB24" s="377">
        <v>0</v>
      </c>
      <c r="AC24" s="377">
        <v>358</v>
      </c>
      <c r="AD24" s="377">
        <v>0</v>
      </c>
      <c r="AE24" s="649">
        <f t="shared" ref="AE24:AE32" si="19">AD24</f>
        <v>0</v>
      </c>
      <c r="AF24" s="655"/>
      <c r="AG24" s="376">
        <v>0</v>
      </c>
      <c r="AH24" s="377">
        <v>0</v>
      </c>
      <c r="AI24" s="377">
        <v>1.47</v>
      </c>
      <c r="AJ24" s="664">
        <v>1.772</v>
      </c>
      <c r="AK24" s="649">
        <f t="shared" ref="AK24:AK32" si="20">AJ24</f>
        <v>1.772</v>
      </c>
      <c r="AL24" s="655"/>
      <c r="AM24" s="664">
        <v>7.3010000000000002</v>
      </c>
      <c r="AN24" s="377">
        <v>2.2149999999999999</v>
      </c>
      <c r="AO24" s="377">
        <v>2.6219999999999999</v>
      </c>
      <c r="AP24" s="664">
        <v>2.6240000000000001</v>
      </c>
      <c r="AQ24" s="649">
        <f t="shared" ref="AQ24:AQ32" si="21">AP24</f>
        <v>2.6240000000000001</v>
      </c>
      <c r="AR24" s="655"/>
      <c r="AS24" s="664">
        <v>2.6259999999999999</v>
      </c>
      <c r="AT24" s="377">
        <v>1.0509999999999999</v>
      </c>
      <c r="AU24" s="377">
        <v>1.157</v>
      </c>
      <c r="AV24" s="621">
        <v>1.075</v>
      </c>
      <c r="AW24" s="649">
        <f>AV24</f>
        <v>1.075</v>
      </c>
      <c r="AX24" s="671"/>
      <c r="AY24" s="663">
        <v>1.083</v>
      </c>
      <c r="AZ24" s="377">
        <v>1.974</v>
      </c>
      <c r="BA24" s="377">
        <v>1.107</v>
      </c>
      <c r="BB24" s="621">
        <v>1.123</v>
      </c>
      <c r="BC24" s="649">
        <f t="shared" ref="BC24:BC32" si="22">BB24</f>
        <v>1.123</v>
      </c>
      <c r="BD24" s="672"/>
      <c r="BE24" s="663">
        <v>1.135</v>
      </c>
      <c r="BF24" s="377">
        <v>1.147</v>
      </c>
      <c r="BG24" s="377">
        <v>1.1599999999999999</v>
      </c>
      <c r="BH24" s="621">
        <v>1.1719999999999999</v>
      </c>
      <c r="BI24" s="649">
        <f t="shared" ref="BI24:BI32" si="23">BH24</f>
        <v>1.1719999999999999</v>
      </c>
      <c r="BJ24" s="672"/>
      <c r="BK24" s="663">
        <v>2.1869999999999998</v>
      </c>
      <c r="BL24" s="377">
        <v>2.2250000000000001</v>
      </c>
      <c r="BM24" s="377">
        <v>1.294</v>
      </c>
      <c r="BN24" s="621">
        <v>217.30600000000001</v>
      </c>
      <c r="BO24" s="649">
        <f t="shared" ref="BO24:BO32" si="24">BN24</f>
        <v>217.30600000000001</v>
      </c>
      <c r="BP24" s="672"/>
      <c r="BQ24" s="654">
        <f>Debt!BQ17</f>
        <v>217.30600000000001</v>
      </c>
      <c r="BR24" s="653">
        <f>Debt!BR17</f>
        <v>217.30600000000001</v>
      </c>
      <c r="BS24" s="653">
        <f>Debt!BS17</f>
        <v>217.30600000000001</v>
      </c>
      <c r="BT24" s="653">
        <f>Debt!BT17</f>
        <v>217.30600000000001</v>
      </c>
      <c r="BU24" s="649">
        <f t="shared" ref="BU24:BU32" si="25">BT24</f>
        <v>217.30600000000001</v>
      </c>
      <c r="BV24" s="1787"/>
      <c r="BW24" s="654">
        <f>Debt!BW17</f>
        <v>217.30600000000001</v>
      </c>
      <c r="BX24" s="653">
        <f>Debt!BX17</f>
        <v>217.30600000000001</v>
      </c>
      <c r="BY24" s="653">
        <f>Debt!BY17</f>
        <v>217.30600000000001</v>
      </c>
      <c r="BZ24" s="653">
        <f>Debt!BZ17</f>
        <v>217.30600000000001</v>
      </c>
      <c r="CA24" s="649">
        <f>BZ24</f>
        <v>217.30600000000001</v>
      </c>
      <c r="CB24" s="1787"/>
      <c r="CC24" s="654">
        <f>Debt!CC17</f>
        <v>217.30600000000001</v>
      </c>
      <c r="CD24" s="653">
        <f>Debt!CD17</f>
        <v>217.30600000000001</v>
      </c>
      <c r="CE24" s="653">
        <f>Debt!CE17</f>
        <v>217.30600000000001</v>
      </c>
      <c r="CF24" s="653">
        <f>Debt!CF17</f>
        <v>217.30600000000001</v>
      </c>
      <c r="CG24" s="649">
        <f>CF24</f>
        <v>217.30600000000001</v>
      </c>
      <c r="CH24" s="1787"/>
      <c r="CI24" s="654">
        <f>Debt!CI17</f>
        <v>217.30600000000001</v>
      </c>
      <c r="CJ24" s="653">
        <f>Debt!CJ17</f>
        <v>217.30600000000001</v>
      </c>
      <c r="CK24" s="653">
        <f>Debt!CK17</f>
        <v>217.30600000000001</v>
      </c>
      <c r="CL24" s="653">
        <f>Debt!CL17</f>
        <v>217.30600000000001</v>
      </c>
      <c r="CM24" s="649">
        <f>CL24</f>
        <v>217.30600000000001</v>
      </c>
      <c r="CN24" s="94"/>
      <c r="CO24" s="94"/>
      <c r="CP24" s="94"/>
      <c r="CQ24" s="94"/>
    </row>
    <row r="25" spans="1:95" collapsed="1">
      <c r="A25" s="1693" t="s">
        <v>235</v>
      </c>
      <c r="B25" s="142"/>
      <c r="C25" s="376">
        <v>147.708</v>
      </c>
      <c r="D25" s="377">
        <v>151.93</v>
      </c>
      <c r="E25" s="377">
        <v>158.636</v>
      </c>
      <c r="F25" s="377">
        <v>164.80600000000001</v>
      </c>
      <c r="G25" s="649">
        <f t="shared" si="15"/>
        <v>164.80600000000001</v>
      </c>
      <c r="H25" s="648"/>
      <c r="I25" s="376">
        <v>189.8</v>
      </c>
      <c r="J25" s="377">
        <v>194.69900000000001</v>
      </c>
      <c r="K25" s="377">
        <v>184.857</v>
      </c>
      <c r="L25" s="377">
        <v>169.447</v>
      </c>
      <c r="M25" s="649">
        <f t="shared" si="16"/>
        <v>169.447</v>
      </c>
      <c r="N25" s="648"/>
      <c r="O25" s="376">
        <v>143.34700000000001</v>
      </c>
      <c r="P25" s="377">
        <v>153.905</v>
      </c>
      <c r="Q25" s="377">
        <v>158.95699999999999</v>
      </c>
      <c r="R25" s="377">
        <v>133.792</v>
      </c>
      <c r="S25" s="649">
        <f t="shared" si="17"/>
        <v>133.792</v>
      </c>
      <c r="T25" s="648"/>
      <c r="U25" s="376">
        <v>168.483</v>
      </c>
      <c r="V25" s="377">
        <v>174.94300000000001</v>
      </c>
      <c r="W25" s="377">
        <v>143.01</v>
      </c>
      <c r="X25" s="377">
        <v>161.042</v>
      </c>
      <c r="Y25" s="649">
        <f t="shared" si="18"/>
        <v>161.042</v>
      </c>
      <c r="Z25" s="648"/>
      <c r="AA25" s="376">
        <v>149.196</v>
      </c>
      <c r="AB25" s="377">
        <v>149.21199999999999</v>
      </c>
      <c r="AC25" s="377">
        <v>150.81299999999999</v>
      </c>
      <c r="AD25" s="377">
        <v>173.15299999999999</v>
      </c>
      <c r="AE25" s="649">
        <f t="shared" si="19"/>
        <v>173.15299999999999</v>
      </c>
      <c r="AF25" s="648"/>
      <c r="AG25" s="376">
        <v>163.00299999999999</v>
      </c>
      <c r="AH25" s="377">
        <v>174.02799999999999</v>
      </c>
      <c r="AI25" s="377">
        <v>155.72800000000001</v>
      </c>
      <c r="AJ25" s="664">
        <v>168.94300000000001</v>
      </c>
      <c r="AK25" s="649">
        <f t="shared" si="20"/>
        <v>168.94300000000001</v>
      </c>
      <c r="AL25" s="648"/>
      <c r="AM25" s="663">
        <v>172.166</v>
      </c>
      <c r="AN25" s="377">
        <v>170.12200000000001</v>
      </c>
      <c r="AO25" s="377">
        <v>162.523</v>
      </c>
      <c r="AP25" s="664">
        <v>167.196</v>
      </c>
      <c r="AQ25" s="649">
        <f t="shared" si="21"/>
        <v>167.196</v>
      </c>
      <c r="AR25" s="648"/>
      <c r="AS25" s="663">
        <v>168.03899999999999</v>
      </c>
      <c r="AT25" s="377">
        <v>155.41499999999999</v>
      </c>
      <c r="AU25" s="377">
        <v>160.506</v>
      </c>
      <c r="AV25" s="621">
        <v>173.953</v>
      </c>
      <c r="AW25" s="649">
        <f t="shared" ref="AW25:AW39" si="26">AV25</f>
        <v>173.953</v>
      </c>
      <c r="AX25" s="648"/>
      <c r="AY25" s="663">
        <v>157.471</v>
      </c>
      <c r="AZ25" s="377">
        <v>170.67699999999999</v>
      </c>
      <c r="BA25" s="377">
        <v>149.684</v>
      </c>
      <c r="BB25" s="621">
        <v>152.726</v>
      </c>
      <c r="BC25" s="649">
        <f t="shared" si="22"/>
        <v>152.726</v>
      </c>
      <c r="BD25" s="648"/>
      <c r="BE25" s="663">
        <v>159.47999999999999</v>
      </c>
      <c r="BF25" s="377">
        <v>156.44200000000001</v>
      </c>
      <c r="BG25" s="377">
        <v>162.321</v>
      </c>
      <c r="BH25" s="621">
        <v>168.03299999999999</v>
      </c>
      <c r="BI25" s="649">
        <f t="shared" si="23"/>
        <v>168.03299999999999</v>
      </c>
      <c r="BJ25" s="648"/>
      <c r="BK25" s="663">
        <v>158.11799999999999</v>
      </c>
      <c r="BL25" s="377">
        <v>153.75399999999999</v>
      </c>
      <c r="BM25" s="377">
        <v>163.73500000000001</v>
      </c>
      <c r="BN25" s="621">
        <v>222.09299999999999</v>
      </c>
      <c r="BO25" s="649">
        <f t="shared" si="24"/>
        <v>222.09299999999999</v>
      </c>
      <c r="BP25" s="648"/>
      <c r="BQ25" s="654">
        <f>IS!BQ12*(BS!BQ71/BS!BQ68)</f>
        <v>209.46361805414617</v>
      </c>
      <c r="BR25" s="653">
        <f>IS!BR12*(BS!BR71/BS!BR68)</f>
        <v>208.15309141847328</v>
      </c>
      <c r="BS25" s="653">
        <f>IS!BS12*(BS!BS71/BS!BS68)</f>
        <v>216.01200893117402</v>
      </c>
      <c r="BT25" s="653">
        <f>IS!BT12*(BS!BT71/BS!BT68)</f>
        <v>279.94401856129684</v>
      </c>
      <c r="BU25" s="649">
        <f t="shared" si="25"/>
        <v>279.94401856129684</v>
      </c>
      <c r="BV25" s="1787"/>
      <c r="BW25" s="654">
        <f>IS!BW12*(BS!BW71/BS!BW68)</f>
        <v>218.32634751019199</v>
      </c>
      <c r="BX25" s="653">
        <f>IS!BX12*(BS!BX71/BS!BX68)</f>
        <v>218.07367072267502</v>
      </c>
      <c r="BY25" s="653">
        <f>IS!BY12*(BS!BY71/BS!BY68)</f>
        <v>227.53243681771912</v>
      </c>
      <c r="BZ25" s="653">
        <f>IS!BZ12*(BS!BZ71/BS!BZ68)</f>
        <v>295.50339008063236</v>
      </c>
      <c r="CA25" s="649">
        <f>BZ25</f>
        <v>295.50339008063236</v>
      </c>
      <c r="CB25" s="1787"/>
      <c r="CC25" s="654">
        <f>IS!CC12*(BS!CC71/BS!CC68)</f>
        <v>229.77126814343802</v>
      </c>
      <c r="CD25" s="653">
        <f>IS!CD12*(BS!CD71/BS!CD68)</f>
        <v>229.72681422457094</v>
      </c>
      <c r="CE25" s="653">
        <f>IS!CE12*(BS!CE71/BS!CE68)</f>
        <v>239.23500880200871</v>
      </c>
      <c r="CF25" s="653">
        <f>IS!CF12*(BS!CF71/BS!CF68)</f>
        <v>309.59721962979626</v>
      </c>
      <c r="CG25" s="649">
        <f>CF25</f>
        <v>309.59721962979626</v>
      </c>
      <c r="CH25" s="1787"/>
      <c r="CI25" s="654">
        <f>IS!CI12*(BS!CI71/BS!CI68)</f>
        <v>237.61934970415462</v>
      </c>
      <c r="CJ25" s="653">
        <f>IS!CJ12*(BS!CJ71/BS!CJ68)</f>
        <v>237.36838533709832</v>
      </c>
      <c r="CK25" s="653">
        <f>IS!CK12*(BS!CK71/BS!CK68)</f>
        <v>248.18026760809849</v>
      </c>
      <c r="CL25" s="653">
        <f>IS!CL12*(BS!CL71/BS!CL68)</f>
        <v>321.3141767091326</v>
      </c>
      <c r="CM25" s="649">
        <f>CL25</f>
        <v>321.3141767091326</v>
      </c>
      <c r="CN25" s="94"/>
      <c r="CO25" s="94"/>
      <c r="CP25" s="94"/>
      <c r="CQ25" s="94"/>
    </row>
    <row r="26" spans="1:95">
      <c r="A26" s="1693" t="s">
        <v>236</v>
      </c>
      <c r="B26" s="142"/>
      <c r="C26" s="376">
        <v>5.883</v>
      </c>
      <c r="D26" s="377">
        <v>4.6870000000000003</v>
      </c>
      <c r="E26" s="377">
        <v>3.9209999999999998</v>
      </c>
      <c r="F26" s="377">
        <v>8.4930000000000003</v>
      </c>
      <c r="G26" s="649">
        <f t="shared" si="15"/>
        <v>8.4930000000000003</v>
      </c>
      <c r="H26" s="648"/>
      <c r="I26" s="376">
        <v>10.371</v>
      </c>
      <c r="J26" s="377">
        <v>8.734</v>
      </c>
      <c r="K26" s="377">
        <v>13.416</v>
      </c>
      <c r="L26" s="377">
        <v>5.9039999999999999</v>
      </c>
      <c r="M26" s="649">
        <f t="shared" si="16"/>
        <v>5.9039999999999999</v>
      </c>
      <c r="N26" s="648"/>
      <c r="O26" s="376">
        <v>10.845000000000001</v>
      </c>
      <c r="P26" s="377">
        <v>9.0169999999999995</v>
      </c>
      <c r="Q26" s="377">
        <v>17.585000000000001</v>
      </c>
      <c r="R26" s="377">
        <v>14.35</v>
      </c>
      <c r="S26" s="649">
        <f t="shared" si="17"/>
        <v>14.35</v>
      </c>
      <c r="T26" s="648"/>
      <c r="U26" s="376">
        <v>11.923999999999999</v>
      </c>
      <c r="V26" s="377">
        <v>19.66</v>
      </c>
      <c r="W26" s="377">
        <v>14.943</v>
      </c>
      <c r="X26" s="377">
        <v>22.611000000000001</v>
      </c>
      <c r="Y26" s="649">
        <f t="shared" si="18"/>
        <v>22.611000000000001</v>
      </c>
      <c r="Z26" s="648"/>
      <c r="AA26" s="376">
        <v>16.785</v>
      </c>
      <c r="AB26" s="377">
        <v>17.37</v>
      </c>
      <c r="AC26" s="377">
        <v>13.079000000000001</v>
      </c>
      <c r="AD26" s="377">
        <v>13.958</v>
      </c>
      <c r="AE26" s="649">
        <f t="shared" si="19"/>
        <v>13.958</v>
      </c>
      <c r="AF26" s="648"/>
      <c r="AG26" s="376">
        <v>15.055999999999999</v>
      </c>
      <c r="AH26" s="377">
        <v>15.189</v>
      </c>
      <c r="AI26" s="377">
        <v>21.161000000000001</v>
      </c>
      <c r="AJ26" s="664">
        <v>21.364000000000001</v>
      </c>
      <c r="AK26" s="649">
        <f t="shared" si="20"/>
        <v>21.364000000000001</v>
      </c>
      <c r="AL26" s="648"/>
      <c r="AM26" s="663">
        <v>17.866</v>
      </c>
      <c r="AN26" s="377">
        <v>32.640999999999998</v>
      </c>
      <c r="AO26" s="377">
        <v>27.739000000000001</v>
      </c>
      <c r="AP26" s="664">
        <v>26.373999999999999</v>
      </c>
      <c r="AQ26" s="649">
        <f t="shared" si="21"/>
        <v>26.373999999999999</v>
      </c>
      <c r="AR26" s="648"/>
      <c r="AS26" s="663">
        <v>19.41</v>
      </c>
      <c r="AT26" s="377">
        <v>14.676</v>
      </c>
      <c r="AU26" s="377">
        <v>22.175000000000001</v>
      </c>
      <c r="AV26" s="621">
        <v>17.123999999999999</v>
      </c>
      <c r="AW26" s="649">
        <f t="shared" si="26"/>
        <v>17.123999999999999</v>
      </c>
      <c r="AX26" s="648"/>
      <c r="AY26" s="663">
        <v>13.311999999999999</v>
      </c>
      <c r="AZ26" s="377">
        <v>15.401999999999999</v>
      </c>
      <c r="BA26" s="377">
        <v>12.111000000000001</v>
      </c>
      <c r="BB26" s="621">
        <v>17.09</v>
      </c>
      <c r="BC26" s="649">
        <f t="shared" si="22"/>
        <v>17.09</v>
      </c>
      <c r="BD26" s="648"/>
      <c r="BE26" s="663">
        <v>10.933</v>
      </c>
      <c r="BF26" s="377">
        <v>11.492000000000001</v>
      </c>
      <c r="BG26" s="377">
        <v>9.1329999999999991</v>
      </c>
      <c r="BH26" s="621">
        <v>7.4790000000000001</v>
      </c>
      <c r="BI26" s="649">
        <f t="shared" si="23"/>
        <v>7.4790000000000001</v>
      </c>
      <c r="BJ26" s="648"/>
      <c r="BK26" s="663">
        <v>11.53</v>
      </c>
      <c r="BL26" s="377">
        <v>8.5589999999999993</v>
      </c>
      <c r="BM26" s="377">
        <v>10.066000000000001</v>
      </c>
      <c r="BN26" s="621">
        <v>8.7590000000000003</v>
      </c>
      <c r="BO26" s="649">
        <f t="shared" si="24"/>
        <v>8.7590000000000003</v>
      </c>
      <c r="BP26" s="648"/>
      <c r="BQ26" s="654">
        <f>BO26</f>
        <v>8.7590000000000003</v>
      </c>
      <c r="BR26" s="653">
        <f>BQ26</f>
        <v>8.7590000000000003</v>
      </c>
      <c r="BS26" s="653">
        <f>BR26</f>
        <v>8.7590000000000003</v>
      </c>
      <c r="BT26" s="653">
        <f>BS26</f>
        <v>8.7590000000000003</v>
      </c>
      <c r="BU26" s="649">
        <f t="shared" si="25"/>
        <v>8.7590000000000003</v>
      </c>
      <c r="BV26" s="1787"/>
      <c r="BW26" s="654">
        <f>BU26</f>
        <v>8.7590000000000003</v>
      </c>
      <c r="BX26" s="653">
        <f>BW26</f>
        <v>8.7590000000000003</v>
      </c>
      <c r="BY26" s="653">
        <f>BX26</f>
        <v>8.7590000000000003</v>
      </c>
      <c r="BZ26" s="653">
        <f>BY26</f>
        <v>8.7590000000000003</v>
      </c>
      <c r="CA26" s="649">
        <f>BZ26</f>
        <v>8.7590000000000003</v>
      </c>
      <c r="CB26" s="1787"/>
      <c r="CC26" s="654">
        <f>CA26</f>
        <v>8.7590000000000003</v>
      </c>
      <c r="CD26" s="653">
        <f>CC26</f>
        <v>8.7590000000000003</v>
      </c>
      <c r="CE26" s="653">
        <f>CD26</f>
        <v>8.7590000000000003</v>
      </c>
      <c r="CF26" s="653">
        <f>CE26</f>
        <v>8.7590000000000003</v>
      </c>
      <c r="CG26" s="649">
        <f>CF26</f>
        <v>8.7590000000000003</v>
      </c>
      <c r="CH26" s="1787"/>
      <c r="CI26" s="654">
        <f>CG26</f>
        <v>8.7590000000000003</v>
      </c>
      <c r="CJ26" s="653">
        <f>CI26</f>
        <v>8.7590000000000003</v>
      </c>
      <c r="CK26" s="653">
        <f>CJ26</f>
        <v>8.7590000000000003</v>
      </c>
      <c r="CL26" s="653">
        <f>CK26</f>
        <v>8.7590000000000003</v>
      </c>
      <c r="CM26" s="649">
        <f>CL26</f>
        <v>8.7590000000000003</v>
      </c>
      <c r="CN26" s="104"/>
      <c r="CO26" s="104"/>
      <c r="CP26" s="104"/>
      <c r="CQ26" s="104"/>
    </row>
    <row r="27" spans="1:95">
      <c r="A27" s="1693" t="s">
        <v>237</v>
      </c>
      <c r="B27" s="142"/>
      <c r="C27" s="376">
        <v>266.05399999999997</v>
      </c>
      <c r="D27" s="377">
        <v>292.24099999999999</v>
      </c>
      <c r="E27" s="377">
        <v>281.8</v>
      </c>
      <c r="F27" s="377">
        <v>344.36200000000002</v>
      </c>
      <c r="G27" s="649">
        <f t="shared" si="15"/>
        <v>344.36200000000002</v>
      </c>
      <c r="H27" s="648"/>
      <c r="I27" s="376">
        <v>355.666</v>
      </c>
      <c r="J27" s="377">
        <v>361.02499999999998</v>
      </c>
      <c r="K27" s="377">
        <v>317.43400000000003</v>
      </c>
      <c r="L27" s="377">
        <v>323.815</v>
      </c>
      <c r="M27" s="649">
        <f t="shared" si="16"/>
        <v>323.815</v>
      </c>
      <c r="N27" s="648"/>
      <c r="O27" s="376">
        <v>297.95400000000001</v>
      </c>
      <c r="P27" s="377">
        <v>317.197</v>
      </c>
      <c r="Q27" s="377">
        <v>318.952</v>
      </c>
      <c r="R27" s="377">
        <v>295.71199999999999</v>
      </c>
      <c r="S27" s="649">
        <f t="shared" si="17"/>
        <v>295.71199999999999</v>
      </c>
      <c r="T27" s="648"/>
      <c r="U27" s="376">
        <v>310.50700000000001</v>
      </c>
      <c r="V27" s="377">
        <v>313.916</v>
      </c>
      <c r="W27" s="377">
        <v>302.20800000000003</v>
      </c>
      <c r="X27" s="377">
        <v>323.03800000000001</v>
      </c>
      <c r="Y27" s="649">
        <f t="shared" si="18"/>
        <v>323.03800000000001</v>
      </c>
      <c r="Z27" s="648"/>
      <c r="AA27" s="376">
        <v>341.24</v>
      </c>
      <c r="AB27" s="377">
        <v>391.11099999999999</v>
      </c>
      <c r="AC27" s="377">
        <v>352.51799999999997</v>
      </c>
      <c r="AD27" s="377">
        <v>411.52600000000001</v>
      </c>
      <c r="AE27" s="649">
        <f t="shared" si="19"/>
        <v>411.52600000000001</v>
      </c>
      <c r="AF27" s="648"/>
      <c r="AG27" s="376">
        <v>423.517</v>
      </c>
      <c r="AH27" s="377">
        <v>397.35300000000001</v>
      </c>
      <c r="AI27" s="377">
        <v>402.80700000000002</v>
      </c>
      <c r="AJ27" s="664">
        <v>388.02600000000001</v>
      </c>
      <c r="AK27" s="649">
        <f t="shared" si="20"/>
        <v>388.02600000000001</v>
      </c>
      <c r="AL27" s="648"/>
      <c r="AM27" s="663">
        <v>375.15600000000001</v>
      </c>
      <c r="AN27" s="377">
        <v>357.803</v>
      </c>
      <c r="AO27" s="377">
        <v>396.12599999999998</v>
      </c>
      <c r="AP27" s="664">
        <v>404.06400000000002</v>
      </c>
      <c r="AQ27" s="649">
        <f t="shared" si="21"/>
        <v>404.06400000000002</v>
      </c>
      <c r="AR27" s="648"/>
      <c r="AS27" s="663">
        <v>412.96199999999999</v>
      </c>
      <c r="AT27" s="377">
        <v>404.322</v>
      </c>
      <c r="AU27" s="377">
        <v>381.35399999999998</v>
      </c>
      <c r="AV27" s="621">
        <v>403.02100000000002</v>
      </c>
      <c r="AW27" s="649">
        <f t="shared" si="26"/>
        <v>403.02100000000002</v>
      </c>
      <c r="AX27" s="648"/>
      <c r="AY27" s="663">
        <v>376.58499999999998</v>
      </c>
      <c r="AZ27" s="377">
        <v>384.18200000000002</v>
      </c>
      <c r="BA27" s="377">
        <v>389.274</v>
      </c>
      <c r="BB27" s="621">
        <v>388.44600000000003</v>
      </c>
      <c r="BC27" s="649">
        <f t="shared" si="22"/>
        <v>388.44600000000003</v>
      </c>
      <c r="BD27" s="648"/>
      <c r="BE27" s="663">
        <v>380.899</v>
      </c>
      <c r="BF27" s="377">
        <v>390</v>
      </c>
      <c r="BG27" s="377">
        <v>373.20699999999999</v>
      </c>
      <c r="BH27" s="621">
        <v>399.7</v>
      </c>
      <c r="BI27" s="649">
        <f t="shared" si="23"/>
        <v>399.7</v>
      </c>
      <c r="BJ27" s="648"/>
      <c r="BK27" s="663">
        <v>397.81400000000002</v>
      </c>
      <c r="BL27" s="377">
        <v>418.47699999999998</v>
      </c>
      <c r="BM27" s="377">
        <v>420.26299999999998</v>
      </c>
      <c r="BN27" s="621">
        <v>500.642</v>
      </c>
      <c r="BO27" s="649">
        <f t="shared" si="24"/>
        <v>500.642</v>
      </c>
      <c r="BP27" s="648"/>
      <c r="BQ27" s="654">
        <f>BQ82*(IS!BQ12*4)</f>
        <v>436.06106114729312</v>
      </c>
      <c r="BR27" s="653">
        <f>BR82*(IS!BR12*4)</f>
        <v>464.51585731761742</v>
      </c>
      <c r="BS27" s="653">
        <f>BS82*(IS!BS12*4)</f>
        <v>458.42168139957062</v>
      </c>
      <c r="BT27" s="653">
        <f>BT82*(IS!BT12*4)</f>
        <v>530.33374091371286</v>
      </c>
      <c r="BU27" s="649">
        <f t="shared" si="25"/>
        <v>530.33374091371286</v>
      </c>
      <c r="BV27" s="1787"/>
      <c r="BW27" s="654">
        <f>BW82*(IS!BW12*4)</f>
        <v>418.48943762490831</v>
      </c>
      <c r="BX27" s="653">
        <f>BX82*(IS!BX12*4)</f>
        <v>448.15497197941227</v>
      </c>
      <c r="BY27" s="653">
        <f>BY82*(IS!BY12*4)</f>
        <v>444.95293695015897</v>
      </c>
      <c r="BZ27" s="653">
        <f>BZ82*(IS!BZ12*4)</f>
        <v>516.42720284480572</v>
      </c>
      <c r="CA27" s="649">
        <f>BZ27</f>
        <v>516.42720284480572</v>
      </c>
      <c r="CB27" s="1787"/>
      <c r="CC27" s="654">
        <f>CC82*(IS!CC12*4)</f>
        <v>401.87038797351892</v>
      </c>
      <c r="CD27" s="653">
        <f>CD82*(IS!CD12*4)</f>
        <v>430.79972816031221</v>
      </c>
      <c r="CE27" s="653">
        <f>CE82*(IS!CE12*4)</f>
        <v>427.28227892136988</v>
      </c>
      <c r="CF27" s="653">
        <f>CF82*(IS!CF12*4)</f>
        <v>494.92376355115374</v>
      </c>
      <c r="CG27" s="649">
        <f>CF27</f>
        <v>494.92376355115374</v>
      </c>
      <c r="CH27" s="1787"/>
      <c r="CI27" s="654">
        <f>CI82*(IS!CI12*4)</f>
        <v>375.03728336810474</v>
      </c>
      <c r="CJ27" s="653">
        <f>CJ82*(IS!CJ12*4)</f>
        <v>401.66020055525246</v>
      </c>
      <c r="CK27" s="653">
        <f>CK82*(IS!CK12*4)</f>
        <v>400.45424164297054</v>
      </c>
      <c r="CL27" s="653">
        <f>CL82*(IS!CL12*4)</f>
        <v>465.05027753091861</v>
      </c>
      <c r="CM27" s="649">
        <f>CL27</f>
        <v>465.05027753091861</v>
      </c>
      <c r="CN27" s="94"/>
      <c r="CO27" s="94"/>
      <c r="CP27" s="94"/>
      <c r="CQ27" s="94"/>
    </row>
    <row r="28" spans="1:95">
      <c r="A28" s="1693" t="s">
        <v>238</v>
      </c>
      <c r="B28" s="142"/>
      <c r="C28" s="376">
        <v>0</v>
      </c>
      <c r="D28" s="377">
        <v>0</v>
      </c>
      <c r="E28" s="377">
        <v>0</v>
      </c>
      <c r="F28" s="377">
        <v>29.375</v>
      </c>
      <c r="G28" s="649">
        <f t="shared" si="15"/>
        <v>29.375</v>
      </c>
      <c r="H28" s="648"/>
      <c r="I28" s="376">
        <v>1.3380000000000001</v>
      </c>
      <c r="J28" s="377">
        <v>6.0839999999999996</v>
      </c>
      <c r="K28" s="377">
        <v>5.2220000000000004</v>
      </c>
      <c r="L28" s="377">
        <v>17.036000000000001</v>
      </c>
      <c r="M28" s="649">
        <f t="shared" si="16"/>
        <v>17.036000000000001</v>
      </c>
      <c r="N28" s="648"/>
      <c r="O28" s="376">
        <v>16.658999999999999</v>
      </c>
      <c r="P28" s="377">
        <v>16.689</v>
      </c>
      <c r="Q28" s="377">
        <v>17.288</v>
      </c>
      <c r="R28" s="377">
        <v>53.204000000000001</v>
      </c>
      <c r="S28" s="649">
        <f t="shared" si="17"/>
        <v>53.204000000000001</v>
      </c>
      <c r="T28" s="648"/>
      <c r="U28" s="376">
        <v>7.3019999999999996</v>
      </c>
      <c r="V28" s="377">
        <v>5.2469999999999999</v>
      </c>
      <c r="W28" s="377">
        <v>53.533999999999999</v>
      </c>
      <c r="X28" s="377">
        <v>6.2560000000000002</v>
      </c>
      <c r="Y28" s="649">
        <f t="shared" si="18"/>
        <v>6.2560000000000002</v>
      </c>
      <c r="Z28" s="648"/>
      <c r="AA28" s="376">
        <v>1.7430000000000001</v>
      </c>
      <c r="AB28" s="377">
        <v>1.659</v>
      </c>
      <c r="AC28" s="377">
        <v>1.5469999999999999</v>
      </c>
      <c r="AD28" s="377">
        <v>1.429</v>
      </c>
      <c r="AE28" s="649">
        <f t="shared" si="19"/>
        <v>1.429</v>
      </c>
      <c r="AF28" s="648"/>
      <c r="AG28" s="376">
        <v>1.21</v>
      </c>
      <c r="AH28" s="377">
        <v>1.115</v>
      </c>
      <c r="AI28" s="377">
        <v>1.111</v>
      </c>
      <c r="AJ28" s="664">
        <v>0.995</v>
      </c>
      <c r="AK28" s="649">
        <f t="shared" si="20"/>
        <v>0.995</v>
      </c>
      <c r="AL28" s="648"/>
      <c r="AM28" s="663">
        <v>0.86499999999999999</v>
      </c>
      <c r="AN28" s="377">
        <v>0.5</v>
      </c>
      <c r="AO28" s="377">
        <v>0.38100000000000001</v>
      </c>
      <c r="AP28" s="664">
        <v>2.5379999999999998</v>
      </c>
      <c r="AQ28" s="649">
        <f t="shared" si="21"/>
        <v>2.5379999999999998</v>
      </c>
      <c r="AR28" s="648"/>
      <c r="AS28" s="663">
        <v>2.4249999999999998</v>
      </c>
      <c r="AT28" s="377">
        <v>3.1349999999999998</v>
      </c>
      <c r="AU28" s="377">
        <v>2.2410000000000001</v>
      </c>
      <c r="AV28" s="621">
        <v>2.137</v>
      </c>
      <c r="AW28" s="649">
        <f t="shared" si="26"/>
        <v>2.137</v>
      </c>
      <c r="AX28" s="648"/>
      <c r="AY28" s="663">
        <v>2.13</v>
      </c>
      <c r="AZ28" s="377">
        <v>2.109</v>
      </c>
      <c r="BA28" s="377">
        <v>2.1</v>
      </c>
      <c r="BB28" s="621">
        <v>2.1</v>
      </c>
      <c r="BC28" s="649">
        <f t="shared" si="22"/>
        <v>2.1</v>
      </c>
      <c r="BD28" s="648"/>
      <c r="BE28" s="663">
        <v>2.1</v>
      </c>
      <c r="BF28" s="377">
        <v>2.1</v>
      </c>
      <c r="BG28" s="377">
        <v>2.17</v>
      </c>
      <c r="BH28" s="621">
        <v>26.971</v>
      </c>
      <c r="BI28" s="649">
        <f t="shared" si="23"/>
        <v>26.971</v>
      </c>
      <c r="BJ28" s="648"/>
      <c r="BK28" s="663">
        <v>30.959</v>
      </c>
      <c r="BL28" s="377">
        <v>6.3730000000000002</v>
      </c>
      <c r="BM28" s="377">
        <v>2.1539999999999999</v>
      </c>
      <c r="BN28" s="621">
        <v>2.1019999999999999</v>
      </c>
      <c r="BO28" s="649">
        <f t="shared" si="24"/>
        <v>2.1019999999999999</v>
      </c>
      <c r="BP28" s="648"/>
      <c r="BQ28" s="654">
        <f>BO28</f>
        <v>2.1019999999999999</v>
      </c>
      <c r="BR28" s="653">
        <f>BQ28</f>
        <v>2.1019999999999999</v>
      </c>
      <c r="BS28" s="653">
        <f>BR28</f>
        <v>2.1019999999999999</v>
      </c>
      <c r="BT28" s="653">
        <f>BS28</f>
        <v>2.1019999999999999</v>
      </c>
      <c r="BU28" s="649">
        <f t="shared" si="25"/>
        <v>2.1019999999999999</v>
      </c>
      <c r="BV28" s="1787"/>
      <c r="BW28" s="654">
        <f>BU28</f>
        <v>2.1019999999999999</v>
      </c>
      <c r="BX28" s="653">
        <f>BW28</f>
        <v>2.1019999999999999</v>
      </c>
      <c r="BY28" s="653">
        <f>BX28</f>
        <v>2.1019999999999999</v>
      </c>
      <c r="BZ28" s="653">
        <f>BY28</f>
        <v>2.1019999999999999</v>
      </c>
      <c r="CA28" s="649">
        <f>BZ28</f>
        <v>2.1019999999999999</v>
      </c>
      <c r="CB28" s="1787"/>
      <c r="CC28" s="654">
        <f>CA28</f>
        <v>2.1019999999999999</v>
      </c>
      <c r="CD28" s="653">
        <f>CC28</f>
        <v>2.1019999999999999</v>
      </c>
      <c r="CE28" s="653">
        <f>CD28</f>
        <v>2.1019999999999999</v>
      </c>
      <c r="CF28" s="653">
        <f>CE28</f>
        <v>2.1019999999999999</v>
      </c>
      <c r="CG28" s="649">
        <f>CF28</f>
        <v>2.1019999999999999</v>
      </c>
      <c r="CH28" s="1787"/>
      <c r="CI28" s="654">
        <f>CG28</f>
        <v>2.1019999999999999</v>
      </c>
      <c r="CJ28" s="653">
        <f>CI28</f>
        <v>2.1019999999999999</v>
      </c>
      <c r="CK28" s="653">
        <f>CJ28</f>
        <v>2.1019999999999999</v>
      </c>
      <c r="CL28" s="653">
        <f>CK28</f>
        <v>2.1019999999999999</v>
      </c>
      <c r="CM28" s="649">
        <f>CL28</f>
        <v>2.1019999999999999</v>
      </c>
      <c r="CN28" s="104"/>
      <c r="CO28" s="104"/>
      <c r="CP28" s="104"/>
      <c r="CQ28" s="104"/>
    </row>
    <row r="29" spans="1:95">
      <c r="A29" s="1694" t="s">
        <v>239</v>
      </c>
      <c r="B29" s="537"/>
      <c r="C29" s="659">
        <f>SUM(C24:C28)</f>
        <v>421.27199999999999</v>
      </c>
      <c r="D29" s="660">
        <f>SUM(D24:D28)</f>
        <v>449.75599999999997</v>
      </c>
      <c r="E29" s="660">
        <f>SUM(E24:E28)</f>
        <v>445.29200000000003</v>
      </c>
      <c r="F29" s="660">
        <f>SUM(F24:F28)</f>
        <v>547.59800000000007</v>
      </c>
      <c r="G29" s="661">
        <f>SUM(G24:G28)</f>
        <v>547.59800000000007</v>
      </c>
      <c r="H29" s="662"/>
      <c r="I29" s="659">
        <f>SUM(I24:I28)</f>
        <v>557.72399999999993</v>
      </c>
      <c r="J29" s="660">
        <f>SUM(J24:J28)</f>
        <v>570.58499999999992</v>
      </c>
      <c r="K29" s="660">
        <f>SUM(K24:K28)</f>
        <v>520.96900000000005</v>
      </c>
      <c r="L29" s="660">
        <f>SUM(L24:L28)</f>
        <v>516.24199999999996</v>
      </c>
      <c r="M29" s="661">
        <f>SUM(M24:M28)</f>
        <v>516.24199999999996</v>
      </c>
      <c r="N29" s="662"/>
      <c r="O29" s="659">
        <f>SUM(O24:O28)</f>
        <v>468.84500000000003</v>
      </c>
      <c r="P29" s="660">
        <f>SUM(P24:P28)</f>
        <v>496.80800000000005</v>
      </c>
      <c r="Q29" s="660">
        <f>SUM(Q24:Q28)</f>
        <v>512.928</v>
      </c>
      <c r="R29" s="660">
        <f>SUM(R24:R28)</f>
        <v>497.20400000000001</v>
      </c>
      <c r="S29" s="661">
        <f>SUM(S24:S28)</f>
        <v>497.20400000000001</v>
      </c>
      <c r="T29" s="662"/>
      <c r="U29" s="659">
        <f>SUM(U24:U28)</f>
        <v>498.36300000000006</v>
      </c>
      <c r="V29" s="660">
        <f>SUM(V24:V28)</f>
        <v>513.91300000000001</v>
      </c>
      <c r="W29" s="660">
        <f>SUM(W24:W28)</f>
        <v>513.84500000000003</v>
      </c>
      <c r="X29" s="660">
        <f>SUM(X24:X28)</f>
        <v>515.202</v>
      </c>
      <c r="Y29" s="661">
        <f>SUM(Y24:Y28)</f>
        <v>515.202</v>
      </c>
      <c r="Z29" s="662"/>
      <c r="AA29" s="659">
        <f>SUM(AA24:AA28)</f>
        <v>511.214</v>
      </c>
      <c r="AB29" s="660">
        <f>SUM(AB24:AB28)</f>
        <v>559.35199999999998</v>
      </c>
      <c r="AC29" s="660">
        <f>SUM(AC24:AC28)</f>
        <v>875.95699999999988</v>
      </c>
      <c r="AD29" s="660">
        <f>SUM(AD24:AD28)</f>
        <v>600.06599999999992</v>
      </c>
      <c r="AE29" s="661">
        <f>SUM(AE24:AE28)</f>
        <v>600.06599999999992</v>
      </c>
      <c r="AF29" s="662"/>
      <c r="AG29" s="659">
        <f>SUM(AG24:AG28)</f>
        <v>602.78600000000006</v>
      </c>
      <c r="AH29" s="660">
        <f>SUM(AH24:AH28)</f>
        <v>587.68499999999995</v>
      </c>
      <c r="AI29" s="660">
        <f>SUM(AI24:AI28)</f>
        <v>582.27700000000004</v>
      </c>
      <c r="AJ29" s="660">
        <f>SUM(AJ24:AJ28)</f>
        <v>581.1</v>
      </c>
      <c r="AK29" s="661">
        <f>SUM(AK24:AK28)</f>
        <v>581.1</v>
      </c>
      <c r="AL29" s="662"/>
      <c r="AM29" s="659">
        <f>SUM(AM24:AM28)</f>
        <v>573.35400000000004</v>
      </c>
      <c r="AN29" s="660">
        <f>SUM(AN24:AN28)</f>
        <v>563.28099999999995</v>
      </c>
      <c r="AO29" s="660">
        <f>SUM(AO24:AO28)</f>
        <v>589.39099999999996</v>
      </c>
      <c r="AP29" s="834">
        <f>SUM(AP24:AP28)</f>
        <v>602.79600000000005</v>
      </c>
      <c r="AQ29" s="661">
        <f>SUM(AQ24:AQ28)</f>
        <v>602.79600000000005</v>
      </c>
      <c r="AR29" s="662"/>
      <c r="AS29" s="659">
        <f>SUM(AS24:AS28)</f>
        <v>605.46199999999999</v>
      </c>
      <c r="AT29" s="660">
        <f>SUM(AT24:AT28)</f>
        <v>578.59899999999993</v>
      </c>
      <c r="AU29" s="660">
        <f>SUM(AU24:AU28)</f>
        <v>567.43299999999999</v>
      </c>
      <c r="AV29" s="660">
        <f>SUM(AV24:AV28)</f>
        <v>597.30999999999995</v>
      </c>
      <c r="AW29" s="661">
        <f>SUM(AW24:AW28)</f>
        <v>597.30999999999995</v>
      </c>
      <c r="AX29" s="662"/>
      <c r="AY29" s="659">
        <f>SUM(AY24:AY28)</f>
        <v>550.58100000000002</v>
      </c>
      <c r="AZ29" s="660">
        <f>SUM(AZ24:AZ28)</f>
        <v>574.34400000000005</v>
      </c>
      <c r="BA29" s="660">
        <f>SUM(BA24:BA28)</f>
        <v>554.27599999999995</v>
      </c>
      <c r="BB29" s="660">
        <f>SUM(BB24:BB28)</f>
        <v>561.48500000000001</v>
      </c>
      <c r="BC29" s="661">
        <f>SUM(BC24:BC28)</f>
        <v>561.48500000000001</v>
      </c>
      <c r="BD29" s="662"/>
      <c r="BE29" s="659">
        <f>SUM(BE24:BE28)</f>
        <v>554.54700000000003</v>
      </c>
      <c r="BF29" s="660">
        <f>SUM(BF24:BF28)</f>
        <v>561.18100000000004</v>
      </c>
      <c r="BG29" s="660">
        <f>SUM(BG24:BG28)</f>
        <v>547.99099999999999</v>
      </c>
      <c r="BH29" s="660">
        <f>SUM(BH24:BH28)</f>
        <v>603.35500000000002</v>
      </c>
      <c r="BI29" s="661">
        <f>SUM(BI24:BI28)</f>
        <v>603.35500000000002</v>
      </c>
      <c r="BJ29" s="662"/>
      <c r="BK29" s="659">
        <f>SUM(BK24:BK28)</f>
        <v>600.60799999999995</v>
      </c>
      <c r="BL29" s="660">
        <f>SUM(BL24:BL28)</f>
        <v>589.38800000000003</v>
      </c>
      <c r="BM29" s="660">
        <f>SUM(BM24:BM28)</f>
        <v>597.51199999999994</v>
      </c>
      <c r="BN29" s="660">
        <f>SUM(BN24:BN28)</f>
        <v>950.90199999999993</v>
      </c>
      <c r="BO29" s="661">
        <f>SUM(BO24:BO28)</f>
        <v>950.90199999999993</v>
      </c>
      <c r="BP29" s="662"/>
      <c r="BQ29" s="659">
        <f>SUM(BQ24:BQ28)</f>
        <v>873.69167920143934</v>
      </c>
      <c r="BR29" s="660">
        <f>SUM(BR24:BR28)</f>
        <v>900.8359487360907</v>
      </c>
      <c r="BS29" s="660">
        <f>SUM(BS24:BS28)</f>
        <v>902.60069033074467</v>
      </c>
      <c r="BT29" s="660">
        <f>SUM(BT24:BT28)</f>
        <v>1038.4447594750097</v>
      </c>
      <c r="BU29" s="661">
        <f>SUM(BU24:BU28)</f>
        <v>1038.4447594750097</v>
      </c>
      <c r="BV29" s="669"/>
      <c r="BW29" s="659">
        <f>SUM(BW24:BW28)</f>
        <v>864.98278513510024</v>
      </c>
      <c r="BX29" s="660">
        <f>SUM(BX24:BX28)</f>
        <v>894.39564270208723</v>
      </c>
      <c r="BY29" s="660">
        <f>SUM(BY24:BY28)</f>
        <v>900.65237376787809</v>
      </c>
      <c r="BZ29" s="660">
        <f>SUM(BZ24:BZ28)</f>
        <v>1040.0975929254382</v>
      </c>
      <c r="CA29" s="661">
        <f>SUM(CA24:CA28)</f>
        <v>1040.0975929254382</v>
      </c>
      <c r="CB29" s="669"/>
      <c r="CC29" s="659">
        <f>SUM(CC24:CC28)</f>
        <v>859.80865611695697</v>
      </c>
      <c r="CD29" s="660">
        <f>SUM(CD24:CD28)</f>
        <v>888.69354238488324</v>
      </c>
      <c r="CE29" s="660">
        <f>SUM(CE24:CE28)</f>
        <v>894.68428772337859</v>
      </c>
      <c r="CF29" s="660">
        <f>SUM(CF24:CF28)</f>
        <v>1032.6879831809501</v>
      </c>
      <c r="CG29" s="661">
        <f>SUM(CG24:CG28)</f>
        <v>1032.6879831809501</v>
      </c>
      <c r="CH29" s="669"/>
      <c r="CI29" s="659">
        <f>SUM(CI24:CI28)</f>
        <v>840.82363307225944</v>
      </c>
      <c r="CJ29" s="660">
        <f>SUM(CJ24:CJ28)</f>
        <v>867.19558589235078</v>
      </c>
      <c r="CK29" s="660">
        <f>SUM(CK24:CK28)</f>
        <v>876.80150925106898</v>
      </c>
      <c r="CL29" s="660">
        <f>SUM(CL24:CL28)</f>
        <v>1014.5314542400512</v>
      </c>
      <c r="CM29" s="661">
        <f>SUM(CM24:CM28)</f>
        <v>1014.5314542400512</v>
      </c>
      <c r="CN29" s="94"/>
      <c r="CO29" s="94"/>
      <c r="CP29" s="94"/>
      <c r="CQ29" s="94"/>
    </row>
    <row r="30" spans="1:95">
      <c r="A30" s="1693" t="s">
        <v>240</v>
      </c>
      <c r="B30" s="142"/>
      <c r="C30" s="376">
        <v>178.119</v>
      </c>
      <c r="D30" s="377">
        <v>234.50399999999999</v>
      </c>
      <c r="E30" s="377">
        <v>246.095</v>
      </c>
      <c r="F30" s="377">
        <v>516.07799999999997</v>
      </c>
      <c r="G30" s="649">
        <f t="shared" si="15"/>
        <v>516.07799999999997</v>
      </c>
      <c r="H30" s="648"/>
      <c r="I30" s="376">
        <v>566.06799999999998</v>
      </c>
      <c r="J30" s="377">
        <v>521.05899999999997</v>
      </c>
      <c r="K30" s="377">
        <v>544.04999999999995</v>
      </c>
      <c r="L30" s="377">
        <v>509.04</v>
      </c>
      <c r="M30" s="649">
        <f t="shared" si="16"/>
        <v>509.04</v>
      </c>
      <c r="N30" s="648"/>
      <c r="O30" s="376">
        <v>544.03</v>
      </c>
      <c r="P30" s="377">
        <v>524</v>
      </c>
      <c r="Q30" s="377">
        <v>576.73400000000004</v>
      </c>
      <c r="R30" s="377">
        <v>558.197</v>
      </c>
      <c r="S30" s="649">
        <f t="shared" si="17"/>
        <v>558.197</v>
      </c>
      <c r="T30" s="648"/>
      <c r="U30" s="376">
        <v>528.16099999999994</v>
      </c>
      <c r="V30" s="377">
        <v>620.13800000000003</v>
      </c>
      <c r="W30" s="377">
        <v>670.13099999999997</v>
      </c>
      <c r="X30" s="377">
        <v>424</v>
      </c>
      <c r="Y30" s="649">
        <f t="shared" si="18"/>
        <v>424</v>
      </c>
      <c r="Z30" s="648"/>
      <c r="AA30" s="376">
        <v>514</v>
      </c>
      <c r="AB30" s="377">
        <v>671</v>
      </c>
      <c r="AC30" s="377">
        <v>150</v>
      </c>
      <c r="AD30" s="377">
        <v>944.90800000000002</v>
      </c>
      <c r="AE30" s="649">
        <f t="shared" si="19"/>
        <v>944.90800000000002</v>
      </c>
      <c r="AF30" s="648"/>
      <c r="AG30" s="376">
        <v>933.971</v>
      </c>
      <c r="AH30" s="377">
        <v>911.04300000000001</v>
      </c>
      <c r="AI30" s="377">
        <v>930.86</v>
      </c>
      <c r="AJ30" s="664">
        <v>938.82399999999996</v>
      </c>
      <c r="AK30" s="649">
        <f t="shared" si="20"/>
        <v>938.82399999999996</v>
      </c>
      <c r="AL30" s="673"/>
      <c r="AM30" s="664">
        <v>1019.345</v>
      </c>
      <c r="AN30" s="377">
        <v>1001.8579999999999</v>
      </c>
      <c r="AO30" s="377">
        <v>933.29200000000003</v>
      </c>
      <c r="AP30" s="664">
        <v>932.10400000000004</v>
      </c>
      <c r="AQ30" s="649">
        <f t="shared" si="21"/>
        <v>932.10400000000004</v>
      </c>
      <c r="AR30" s="673"/>
      <c r="AS30" s="664">
        <v>926.89700000000005</v>
      </c>
      <c r="AT30" s="377">
        <v>894.28200000000004</v>
      </c>
      <c r="AU30" s="377">
        <v>858.57799999999997</v>
      </c>
      <c r="AV30" s="621">
        <v>1051.8920000000001</v>
      </c>
      <c r="AW30" s="649">
        <f t="shared" si="26"/>
        <v>1051.8920000000001</v>
      </c>
      <c r="AX30" s="648"/>
      <c r="AY30" s="663">
        <v>1014.6660000000001</v>
      </c>
      <c r="AZ30" s="377">
        <v>986.452</v>
      </c>
      <c r="BA30" s="377">
        <v>1027.269</v>
      </c>
      <c r="BB30" s="621">
        <v>1011.7619999999999</v>
      </c>
      <c r="BC30" s="649">
        <f t="shared" si="22"/>
        <v>1011.7619999999999</v>
      </c>
      <c r="BD30" s="648"/>
      <c r="BE30" s="663">
        <v>1119.83</v>
      </c>
      <c r="BF30" s="377">
        <v>1056.934</v>
      </c>
      <c r="BG30" s="377">
        <v>1131.925</v>
      </c>
      <c r="BH30" s="621">
        <v>1045.2539999999999</v>
      </c>
      <c r="BI30" s="649">
        <f t="shared" si="23"/>
        <v>1045.2539999999999</v>
      </c>
      <c r="BJ30" s="648"/>
      <c r="BK30" s="663">
        <v>1052.6769999999999</v>
      </c>
      <c r="BL30" s="377">
        <v>1089.395</v>
      </c>
      <c r="BM30" s="377">
        <v>1109.269</v>
      </c>
      <c r="BN30" s="621">
        <v>1788.8030000000001</v>
      </c>
      <c r="BO30" s="649">
        <f t="shared" si="24"/>
        <v>1788.8030000000001</v>
      </c>
      <c r="BP30" s="648"/>
      <c r="BQ30" s="674">
        <f>Debt!BQ18</f>
        <v>1713.8029999999999</v>
      </c>
      <c r="BR30" s="653">
        <f>Debt!BR18</f>
        <v>1832.203</v>
      </c>
      <c r="BS30" s="653">
        <f>Debt!BS18</f>
        <v>1782.203</v>
      </c>
      <c r="BT30" s="653">
        <f>Debt!BT18</f>
        <v>1632.203</v>
      </c>
      <c r="BU30" s="649">
        <f t="shared" si="25"/>
        <v>1632.203</v>
      </c>
      <c r="BV30" s="1787"/>
      <c r="BW30" s="674">
        <f>Debt!BW18</f>
        <v>1532.203</v>
      </c>
      <c r="BX30" s="653">
        <f>Debt!BX18</f>
        <v>1432.203</v>
      </c>
      <c r="BY30" s="653">
        <f>Debt!BY18</f>
        <v>1332.203</v>
      </c>
      <c r="BZ30" s="653">
        <f>Debt!BZ18</f>
        <v>1332.203</v>
      </c>
      <c r="CA30" s="649">
        <f>BZ30</f>
        <v>1332.203</v>
      </c>
      <c r="CB30" s="1787"/>
      <c r="CC30" s="674">
        <f>Debt!CC18</f>
        <v>1332.203</v>
      </c>
      <c r="CD30" s="653">
        <f>Debt!CD18</f>
        <v>1332.203</v>
      </c>
      <c r="CE30" s="653">
        <f>Debt!CE18</f>
        <v>1332.203</v>
      </c>
      <c r="CF30" s="653">
        <f>Debt!CF18</f>
        <v>1232.203</v>
      </c>
      <c r="CG30" s="649">
        <f>CF30</f>
        <v>1232.203</v>
      </c>
      <c r="CH30" s="1787"/>
      <c r="CI30" s="674">
        <f>Debt!CI18</f>
        <v>1132.203</v>
      </c>
      <c r="CJ30" s="653">
        <f>Debt!CJ18</f>
        <v>1032.203</v>
      </c>
      <c r="CK30" s="653">
        <f>Debt!CK18</f>
        <v>932.20299999999997</v>
      </c>
      <c r="CL30" s="653">
        <f>Debt!CL18</f>
        <v>770.40300000000002</v>
      </c>
      <c r="CM30" s="649">
        <f>CL30</f>
        <v>770.40300000000002</v>
      </c>
      <c r="CN30" s="94"/>
      <c r="CO30" s="94"/>
      <c r="CP30" s="94"/>
      <c r="CQ30" s="94"/>
    </row>
    <row r="31" spans="1:95">
      <c r="A31" s="1693" t="s">
        <v>241</v>
      </c>
      <c r="B31" s="142"/>
      <c r="C31" s="376">
        <v>356.755</v>
      </c>
      <c r="D31" s="377">
        <v>351.90300000000002</v>
      </c>
      <c r="E31" s="377">
        <v>363.73399999999998</v>
      </c>
      <c r="F31" s="377">
        <v>305.95</v>
      </c>
      <c r="G31" s="649">
        <f t="shared" si="15"/>
        <v>305.95</v>
      </c>
      <c r="H31" s="648"/>
      <c r="I31" s="376">
        <v>336.892</v>
      </c>
      <c r="J31" s="377">
        <v>329.32400000000001</v>
      </c>
      <c r="K31" s="377">
        <v>321.15499999999997</v>
      </c>
      <c r="L31" s="377">
        <v>335.35399999999998</v>
      </c>
      <c r="M31" s="649">
        <f t="shared" si="16"/>
        <v>335.35399999999998</v>
      </c>
      <c r="N31" s="648"/>
      <c r="O31" s="376">
        <v>330.31700000000001</v>
      </c>
      <c r="P31" s="377">
        <v>347.47199999999998</v>
      </c>
      <c r="Q31" s="377">
        <v>364.267</v>
      </c>
      <c r="R31" s="377">
        <v>363.90499999999997</v>
      </c>
      <c r="S31" s="649">
        <f t="shared" si="17"/>
        <v>363.90499999999997</v>
      </c>
      <c r="T31" s="648"/>
      <c r="U31" s="376">
        <v>369.096</v>
      </c>
      <c r="V31" s="377">
        <v>368.29599999999999</v>
      </c>
      <c r="W31" s="377">
        <v>344.45400000000001</v>
      </c>
      <c r="X31" s="377">
        <v>344.35300000000001</v>
      </c>
      <c r="Y31" s="649">
        <f t="shared" si="18"/>
        <v>344.35300000000001</v>
      </c>
      <c r="Z31" s="648"/>
      <c r="AA31" s="376">
        <v>372.95400000000001</v>
      </c>
      <c r="AB31" s="377">
        <v>409.04599999999999</v>
      </c>
      <c r="AC31" s="377">
        <v>430.84100000000001</v>
      </c>
      <c r="AD31" s="377">
        <v>447.00799999999998</v>
      </c>
      <c r="AE31" s="649">
        <f t="shared" si="19"/>
        <v>447.00799999999998</v>
      </c>
      <c r="AF31" s="648"/>
      <c r="AG31" s="376">
        <v>444.89800000000002</v>
      </c>
      <c r="AH31" s="377">
        <v>416.87900000000002</v>
      </c>
      <c r="AI31" s="377">
        <f>427.362+7.032</f>
        <v>434.39400000000001</v>
      </c>
      <c r="AJ31" s="664">
        <v>442.02600000000001</v>
      </c>
      <c r="AK31" s="649">
        <f t="shared" si="20"/>
        <v>442.02600000000001</v>
      </c>
      <c r="AL31" s="648"/>
      <c r="AM31" s="663">
        <v>375.23500000000001</v>
      </c>
      <c r="AN31" s="377">
        <v>386.29300000000001</v>
      </c>
      <c r="AO31" s="377">
        <v>409.27199999999999</v>
      </c>
      <c r="AP31" s="664">
        <v>417.32499999999999</v>
      </c>
      <c r="AQ31" s="649">
        <f t="shared" si="21"/>
        <v>417.32499999999999</v>
      </c>
      <c r="AR31" s="648"/>
      <c r="AS31" s="663">
        <v>409.28300000000002</v>
      </c>
      <c r="AT31" s="377">
        <v>407.69600000000003</v>
      </c>
      <c r="AU31" s="377">
        <v>397.70499999999998</v>
      </c>
      <c r="AV31" s="621">
        <v>442.77100000000002</v>
      </c>
      <c r="AW31" s="649">
        <f t="shared" si="26"/>
        <v>442.77100000000002</v>
      </c>
      <c r="AX31" s="648"/>
      <c r="AY31" s="663">
        <v>403.13900000000001</v>
      </c>
      <c r="AZ31" s="377">
        <v>401.05599999999998</v>
      </c>
      <c r="BA31" s="377">
        <v>395.798</v>
      </c>
      <c r="BB31" s="621">
        <v>482.60700000000003</v>
      </c>
      <c r="BC31" s="649">
        <f t="shared" si="22"/>
        <v>482.60700000000003</v>
      </c>
      <c r="BD31" s="648"/>
      <c r="BE31" s="663">
        <v>486.86399999999998</v>
      </c>
      <c r="BF31" s="377">
        <v>487.678</v>
      </c>
      <c r="BG31" s="377">
        <v>489.21800000000002</v>
      </c>
      <c r="BH31" s="621">
        <v>459.54399999999998</v>
      </c>
      <c r="BI31" s="649">
        <f t="shared" si="23"/>
        <v>459.54399999999998</v>
      </c>
      <c r="BJ31" s="648"/>
      <c r="BK31" s="663">
        <v>462.96499999999997</v>
      </c>
      <c r="BL31" s="377">
        <v>487.685</v>
      </c>
      <c r="BM31" s="377">
        <v>496.14499999999998</v>
      </c>
      <c r="BN31" s="621">
        <v>848.57</v>
      </c>
      <c r="BO31" s="649">
        <f t="shared" si="24"/>
        <v>848.57</v>
      </c>
      <c r="BP31" s="648"/>
      <c r="BQ31" s="654">
        <f>BO31</f>
        <v>848.57</v>
      </c>
      <c r="BR31" s="653">
        <f>BQ31</f>
        <v>848.57</v>
      </c>
      <c r="BS31" s="653">
        <f>BR31</f>
        <v>848.57</v>
      </c>
      <c r="BT31" s="653">
        <f>BS31</f>
        <v>848.57</v>
      </c>
      <c r="BU31" s="649">
        <f t="shared" si="25"/>
        <v>848.57</v>
      </c>
      <c r="BV31" s="1787"/>
      <c r="BW31" s="654">
        <f>BU31</f>
        <v>848.57</v>
      </c>
      <c r="BX31" s="653">
        <f>BW31</f>
        <v>848.57</v>
      </c>
      <c r="BY31" s="653">
        <f>BX31</f>
        <v>848.57</v>
      </c>
      <c r="BZ31" s="653">
        <f>BY31</f>
        <v>848.57</v>
      </c>
      <c r="CA31" s="649">
        <f>BZ31</f>
        <v>848.57</v>
      </c>
      <c r="CB31" s="1787"/>
      <c r="CC31" s="654">
        <f>CA31</f>
        <v>848.57</v>
      </c>
      <c r="CD31" s="653">
        <f>CC31</f>
        <v>848.57</v>
      </c>
      <c r="CE31" s="653">
        <f>CD31</f>
        <v>848.57</v>
      </c>
      <c r="CF31" s="653">
        <f>CE31</f>
        <v>848.57</v>
      </c>
      <c r="CG31" s="649">
        <f>CF31</f>
        <v>848.57</v>
      </c>
      <c r="CH31" s="1787"/>
      <c r="CI31" s="654">
        <f>CG31</f>
        <v>848.57</v>
      </c>
      <c r="CJ31" s="653">
        <f>CI31</f>
        <v>848.57</v>
      </c>
      <c r="CK31" s="653">
        <f>CJ31</f>
        <v>848.57</v>
      </c>
      <c r="CL31" s="653">
        <f>CK31</f>
        <v>848.57</v>
      </c>
      <c r="CM31" s="649">
        <f>CL31</f>
        <v>848.57</v>
      </c>
      <c r="CN31" s="94"/>
      <c r="CO31" s="94"/>
      <c r="CP31" s="94"/>
      <c r="CQ31" s="94"/>
    </row>
    <row r="32" spans="1:95" ht="12.75" hidden="1" customHeight="1" outlineLevel="1">
      <c r="A32" s="1693" t="s">
        <v>290</v>
      </c>
      <c r="B32" s="142"/>
      <c r="C32" s="376">
        <v>0</v>
      </c>
      <c r="D32" s="377">
        <v>0</v>
      </c>
      <c r="E32" s="377">
        <v>0</v>
      </c>
      <c r="F32" s="377">
        <v>4.4340000000000002</v>
      </c>
      <c r="G32" s="649">
        <f t="shared" si="15"/>
        <v>4.4340000000000002</v>
      </c>
      <c r="H32" s="648"/>
      <c r="I32" s="376">
        <v>0</v>
      </c>
      <c r="J32" s="377">
        <v>0</v>
      </c>
      <c r="K32" s="377">
        <v>0</v>
      </c>
      <c r="L32" s="377">
        <v>3.1880000000000002</v>
      </c>
      <c r="M32" s="649">
        <f t="shared" si="16"/>
        <v>3.1880000000000002</v>
      </c>
      <c r="N32" s="648"/>
      <c r="O32" s="376">
        <v>2.9</v>
      </c>
      <c r="P32" s="377">
        <v>3.2610000000000001</v>
      </c>
      <c r="Q32" s="377">
        <v>3.0990000000000002</v>
      </c>
      <c r="R32" s="377">
        <v>10.776999999999999</v>
      </c>
      <c r="S32" s="649">
        <f t="shared" si="17"/>
        <v>10.776999999999999</v>
      </c>
      <c r="T32" s="648"/>
      <c r="U32" s="376">
        <v>0</v>
      </c>
      <c r="V32" s="377">
        <v>0</v>
      </c>
      <c r="W32" s="377">
        <v>12.545999999999999</v>
      </c>
      <c r="X32" s="377">
        <v>0</v>
      </c>
      <c r="Y32" s="649">
        <f t="shared" si="18"/>
        <v>0</v>
      </c>
      <c r="Z32" s="648"/>
      <c r="AA32" s="376">
        <v>0</v>
      </c>
      <c r="AB32" s="377">
        <v>0</v>
      </c>
      <c r="AC32" s="377">
        <v>0</v>
      </c>
      <c r="AD32" s="377">
        <v>0</v>
      </c>
      <c r="AE32" s="649">
        <f t="shared" si="19"/>
        <v>0</v>
      </c>
      <c r="AF32" s="648"/>
      <c r="AG32" s="376">
        <v>0</v>
      </c>
      <c r="AH32" s="377">
        <v>0</v>
      </c>
      <c r="AI32" s="377">
        <v>0</v>
      </c>
      <c r="AJ32" s="664">
        <v>0</v>
      </c>
      <c r="AK32" s="649">
        <f t="shared" si="20"/>
        <v>0</v>
      </c>
      <c r="AL32" s="648"/>
      <c r="AM32" s="663">
        <v>5.7889999999999997</v>
      </c>
      <c r="AN32" s="377">
        <v>0</v>
      </c>
      <c r="AO32" s="377">
        <v>0</v>
      </c>
      <c r="AP32" s="664">
        <v>0</v>
      </c>
      <c r="AQ32" s="649">
        <f t="shared" si="21"/>
        <v>0</v>
      </c>
      <c r="AR32" s="648"/>
      <c r="AS32" s="663">
        <v>0</v>
      </c>
      <c r="AT32" s="377">
        <v>0</v>
      </c>
      <c r="AU32" s="377">
        <v>0</v>
      </c>
      <c r="AV32" s="621">
        <v>0</v>
      </c>
      <c r="AW32" s="649">
        <f t="shared" si="26"/>
        <v>0</v>
      </c>
      <c r="AX32" s="648"/>
      <c r="AY32" s="663">
        <v>0</v>
      </c>
      <c r="AZ32" s="377">
        <v>0</v>
      </c>
      <c r="BA32" s="377">
        <v>0</v>
      </c>
      <c r="BB32" s="621">
        <v>0</v>
      </c>
      <c r="BC32" s="649">
        <f t="shared" si="22"/>
        <v>0</v>
      </c>
      <c r="BD32" s="648"/>
      <c r="BE32" s="663">
        <v>0</v>
      </c>
      <c r="BF32" s="377">
        <v>0</v>
      </c>
      <c r="BG32" s="377">
        <v>0</v>
      </c>
      <c r="BH32" s="621">
        <v>14.96</v>
      </c>
      <c r="BI32" s="649">
        <f t="shared" si="23"/>
        <v>14.96</v>
      </c>
      <c r="BJ32" s="648"/>
      <c r="BK32" s="663">
        <v>15.263999999999999</v>
      </c>
      <c r="BL32" s="377">
        <v>0</v>
      </c>
      <c r="BM32" s="377">
        <v>0</v>
      </c>
      <c r="BN32" s="621">
        <v>0</v>
      </c>
      <c r="BO32" s="649">
        <f t="shared" si="24"/>
        <v>0</v>
      </c>
      <c r="BP32" s="648"/>
      <c r="BQ32" s="654">
        <f>BO32+CFS!BQ40</f>
        <v>0</v>
      </c>
      <c r="BR32" s="653">
        <f>BQ32+CFS!BR40</f>
        <v>0</v>
      </c>
      <c r="BS32" s="653">
        <f>BR32+CFS!BS40</f>
        <v>0</v>
      </c>
      <c r="BT32" s="653">
        <f>BS32+CFS!BT40</f>
        <v>0</v>
      </c>
      <c r="BU32" s="649">
        <f t="shared" si="25"/>
        <v>0</v>
      </c>
      <c r="BV32" s="1787"/>
      <c r="BW32" s="654">
        <f>BU32+CFS!BW40</f>
        <v>0</v>
      </c>
      <c r="BX32" s="653">
        <f>BW32+CFS!BX40</f>
        <v>0</v>
      </c>
      <c r="BY32" s="653">
        <f>BX32+CFS!BY40</f>
        <v>0</v>
      </c>
      <c r="BZ32" s="653">
        <f>BY32+CFS!BZ40</f>
        <v>0</v>
      </c>
      <c r="CA32" s="649">
        <f t="shared" ref="CA32" si="27">BZ32</f>
        <v>0</v>
      </c>
      <c r="CB32" s="1787"/>
      <c r="CC32" s="654">
        <f>CA32+CFS!CC40</f>
        <v>0</v>
      </c>
      <c r="CD32" s="653">
        <f>CC32+CFS!CD40</f>
        <v>0</v>
      </c>
      <c r="CE32" s="653">
        <f>CD32+CFS!CE40</f>
        <v>0</v>
      </c>
      <c r="CF32" s="653">
        <f>CE32+CFS!CF40</f>
        <v>0</v>
      </c>
      <c r="CG32" s="649">
        <f t="shared" ref="CG32" si="28">CF32</f>
        <v>0</v>
      </c>
      <c r="CH32" s="1787"/>
      <c r="CI32" s="654">
        <f>CG32+CFS!CI40</f>
        <v>0</v>
      </c>
      <c r="CJ32" s="653">
        <f>CI32+CFS!CJ40</f>
        <v>0</v>
      </c>
      <c r="CK32" s="653">
        <f>CJ32+CFS!CK40</f>
        <v>0</v>
      </c>
      <c r="CL32" s="653">
        <f>CK32+CFS!CL40</f>
        <v>0</v>
      </c>
      <c r="CM32" s="649">
        <f t="shared" ref="CM32" si="29">CL32</f>
        <v>0</v>
      </c>
      <c r="CN32" s="104"/>
      <c r="CO32" s="104"/>
      <c r="CP32" s="104"/>
      <c r="CQ32" s="104"/>
    </row>
    <row r="33" spans="1:101" collapsed="1">
      <c r="A33" s="1694" t="s">
        <v>242</v>
      </c>
      <c r="B33" s="537"/>
      <c r="C33" s="659">
        <f>SUM(C30:C32)+C29</f>
        <v>956.14599999999996</v>
      </c>
      <c r="D33" s="660">
        <f>SUM(D30:D32)+D29</f>
        <v>1036.163</v>
      </c>
      <c r="E33" s="660">
        <f>SUM(E30:E32)+E29</f>
        <v>1055.1210000000001</v>
      </c>
      <c r="F33" s="660">
        <f>SUM(F30:F32)+F29</f>
        <v>1374.06</v>
      </c>
      <c r="G33" s="661">
        <f>SUM(G30:G32)+G29</f>
        <v>1374.06</v>
      </c>
      <c r="H33" s="662"/>
      <c r="I33" s="659">
        <f>SUM(I30:I32)+I29</f>
        <v>1460.684</v>
      </c>
      <c r="J33" s="660">
        <f>SUM(J30:J32)+J29</f>
        <v>1420.9679999999998</v>
      </c>
      <c r="K33" s="660">
        <f>SUM(K30:K32)+K29</f>
        <v>1386.174</v>
      </c>
      <c r="L33" s="660">
        <f>SUM(L30:L32)+L29</f>
        <v>1363.8240000000001</v>
      </c>
      <c r="M33" s="661">
        <f>SUM(M30:M32)+M29</f>
        <v>1363.8240000000001</v>
      </c>
      <c r="N33" s="662"/>
      <c r="O33" s="659">
        <f>SUM(O30:O32)+O29</f>
        <v>1346.0920000000001</v>
      </c>
      <c r="P33" s="660">
        <f>SUM(P30:P32)+P29</f>
        <v>1371.5409999999999</v>
      </c>
      <c r="Q33" s="660">
        <f>SUM(Q30:Q32)+Q29</f>
        <v>1457.028</v>
      </c>
      <c r="R33" s="660">
        <f>SUM(R30:R32)+R29</f>
        <v>1430.0830000000001</v>
      </c>
      <c r="S33" s="661">
        <f>SUM(S30:S32)+S29</f>
        <v>1430.0830000000001</v>
      </c>
      <c r="T33" s="662"/>
      <c r="U33" s="659">
        <f>SUM(U30:U32)+U29</f>
        <v>1395.62</v>
      </c>
      <c r="V33" s="660">
        <f>SUM(V30:V32)+V29</f>
        <v>1502.347</v>
      </c>
      <c r="W33" s="660">
        <f>SUM(W30:W32)+W29</f>
        <v>1540.9760000000001</v>
      </c>
      <c r="X33" s="660">
        <f>SUM(X30:X32)+X29</f>
        <v>1283.5550000000001</v>
      </c>
      <c r="Y33" s="661">
        <f>SUM(Y30:Y32)+Y29</f>
        <v>1283.5550000000001</v>
      </c>
      <c r="Z33" s="662"/>
      <c r="AA33" s="659">
        <f>SUM(AA30:AA32)+AA29</f>
        <v>1398.1679999999999</v>
      </c>
      <c r="AB33" s="660">
        <f>SUM(AB30:AB32)+AB29</f>
        <v>1639.3980000000001</v>
      </c>
      <c r="AC33" s="660">
        <f>SUM(AC30:AC32)+AC29</f>
        <v>1456.7979999999998</v>
      </c>
      <c r="AD33" s="660">
        <f>SUM(AD30:AD32)+AD29</f>
        <v>1991.982</v>
      </c>
      <c r="AE33" s="661">
        <f>SUM(AE30:AE32)+AE29</f>
        <v>1991.982</v>
      </c>
      <c r="AF33" s="662"/>
      <c r="AG33" s="659">
        <f>SUM(AG30:AG32)+AG29</f>
        <v>1981.6550000000002</v>
      </c>
      <c r="AH33" s="660">
        <f>SUM(AH30:AH32)+AH29</f>
        <v>1915.607</v>
      </c>
      <c r="AI33" s="660">
        <f>SUM(AI30:AI32)+AI29</f>
        <v>1947.5309999999999</v>
      </c>
      <c r="AJ33" s="660">
        <f>SUM(AJ30:AJ32)+AJ29</f>
        <v>1961.9499999999998</v>
      </c>
      <c r="AK33" s="661">
        <f>SUM(AK30:AK32)+AK29</f>
        <v>1961.9499999999998</v>
      </c>
      <c r="AL33" s="662"/>
      <c r="AM33" s="659">
        <f>SUM(AM30:AM32)+AM29</f>
        <v>1973.723</v>
      </c>
      <c r="AN33" s="660">
        <f>SUM(AN30:AN32)+AN29</f>
        <v>1951.4319999999998</v>
      </c>
      <c r="AO33" s="660">
        <f>SUM(AO30:AO32)+AO29</f>
        <v>1931.9549999999999</v>
      </c>
      <c r="AP33" s="660">
        <f>SUM(AP30:AP32)+AP29</f>
        <v>1952.2250000000001</v>
      </c>
      <c r="AQ33" s="661">
        <f>SUM(AQ30:AQ32)+AQ29</f>
        <v>1952.2250000000001</v>
      </c>
      <c r="AR33" s="662"/>
      <c r="AS33" s="659">
        <f>SUM(AS30:AS32)+AS29</f>
        <v>1941.6420000000001</v>
      </c>
      <c r="AT33" s="660">
        <f>SUM(AT30:AT32)+AT29</f>
        <v>1880.577</v>
      </c>
      <c r="AU33" s="660">
        <f>SUM(AU30:AU32)+AU29</f>
        <v>1823.7159999999999</v>
      </c>
      <c r="AV33" s="660">
        <f>SUM(AV30:AV32)+AV29</f>
        <v>2091.973</v>
      </c>
      <c r="AW33" s="661">
        <f>SUM(AW30:AW32)+AW29</f>
        <v>2091.973</v>
      </c>
      <c r="AX33" s="662"/>
      <c r="AY33" s="659">
        <f>SUM(AY30:AY32)+AY29</f>
        <v>1968.386</v>
      </c>
      <c r="AZ33" s="660">
        <f>SUM(AZ30:AZ32)+AZ29</f>
        <v>1961.8520000000001</v>
      </c>
      <c r="BA33" s="660">
        <f>SUM(BA30:BA32)+BA29</f>
        <v>1977.3429999999998</v>
      </c>
      <c r="BB33" s="660">
        <f>SUM(BB30:BB32)+BB29</f>
        <v>2055.8539999999998</v>
      </c>
      <c r="BC33" s="661">
        <f>SUM(BC30:BC32)+BC29</f>
        <v>2055.8539999999998</v>
      </c>
      <c r="BD33" s="662"/>
      <c r="BE33" s="659">
        <f>SUM(BE30:BE32)+BE29</f>
        <v>2161.241</v>
      </c>
      <c r="BF33" s="660">
        <f>SUM(BF30:BF32)+BF29</f>
        <v>2105.7930000000001</v>
      </c>
      <c r="BG33" s="660">
        <f>SUM(BG30:BG32)+BG29</f>
        <v>2169.134</v>
      </c>
      <c r="BH33" s="660">
        <f>SUM(BH30:BH32)+BH29</f>
        <v>2123.1129999999998</v>
      </c>
      <c r="BI33" s="661">
        <f>SUM(BI30:BI32)+BI29</f>
        <v>2123.1129999999998</v>
      </c>
      <c r="BJ33" s="662"/>
      <c r="BK33" s="659">
        <f>SUM(BK30:BK32)+BK29</f>
        <v>2131.5139999999997</v>
      </c>
      <c r="BL33" s="660">
        <f>SUM(BL30:BL32)+BL29</f>
        <v>2166.4679999999998</v>
      </c>
      <c r="BM33" s="660">
        <f>SUM(BM30:BM32)+BM29</f>
        <v>2202.9259999999999</v>
      </c>
      <c r="BN33" s="660">
        <f>SUM(BN30:BN32)+BN29</f>
        <v>3588.2750000000001</v>
      </c>
      <c r="BO33" s="661">
        <f>SUM(BO30:BO32)+BO29</f>
        <v>3588.2750000000001</v>
      </c>
      <c r="BP33" s="662"/>
      <c r="BQ33" s="659">
        <f>SUM(BQ30:BQ32)+BQ29</f>
        <v>3436.0646792014395</v>
      </c>
      <c r="BR33" s="660">
        <f>SUM(BR30:BR32)+BR29</f>
        <v>3581.608948736091</v>
      </c>
      <c r="BS33" s="660">
        <f>SUM(BS30:BS32)+BS29</f>
        <v>3533.3736903307449</v>
      </c>
      <c r="BT33" s="660">
        <f>SUM(BT30:BT32)+BT29</f>
        <v>3519.2177594750101</v>
      </c>
      <c r="BU33" s="661">
        <f>SUM(BU30:BU32)+BU29</f>
        <v>3519.2177594750101</v>
      </c>
      <c r="BV33" s="669"/>
      <c r="BW33" s="659">
        <f>SUM(BW30:BW32)+BW29</f>
        <v>3245.7557851351003</v>
      </c>
      <c r="BX33" s="660">
        <f>SUM(BX30:BX32)+BX29</f>
        <v>3175.1686427020873</v>
      </c>
      <c r="BY33" s="660">
        <f>SUM(BY30:BY32)+BY29</f>
        <v>3081.4253737678782</v>
      </c>
      <c r="BZ33" s="660">
        <f>SUM(BZ30:BZ32)+BZ29</f>
        <v>3220.8705929254384</v>
      </c>
      <c r="CA33" s="661">
        <f>SUM(CA30:CA32)+CA29</f>
        <v>3220.8705929254384</v>
      </c>
      <c r="CB33" s="669"/>
      <c r="CC33" s="659">
        <f>SUM(CC30:CC32)+CC29</f>
        <v>3040.5816561169572</v>
      </c>
      <c r="CD33" s="660">
        <f>SUM(CD30:CD32)+CD29</f>
        <v>3069.4665423848833</v>
      </c>
      <c r="CE33" s="660">
        <f>SUM(CE30:CE32)+CE29</f>
        <v>3075.4572877233786</v>
      </c>
      <c r="CF33" s="660">
        <f>SUM(CF30:CF32)+CF29</f>
        <v>3113.4609831809503</v>
      </c>
      <c r="CG33" s="661">
        <f>SUM(CG30:CG32)+CG29</f>
        <v>3113.4609831809503</v>
      </c>
      <c r="CH33" s="669"/>
      <c r="CI33" s="659">
        <f>SUM(CI30:CI32)+CI29</f>
        <v>2821.5966330722595</v>
      </c>
      <c r="CJ33" s="660">
        <f>SUM(CJ30:CJ32)+CJ29</f>
        <v>2747.9685858923508</v>
      </c>
      <c r="CK33" s="660">
        <f>SUM(CK30:CK32)+CK29</f>
        <v>2657.5745092510692</v>
      </c>
      <c r="CL33" s="660">
        <f>SUM(CL30:CL32)+CL29</f>
        <v>2633.504454240051</v>
      </c>
      <c r="CM33" s="661">
        <f>SUM(CM30:CM32)+CM29</f>
        <v>2633.504454240051</v>
      </c>
      <c r="CN33" s="94"/>
      <c r="CO33" s="94"/>
      <c r="CP33" s="94"/>
      <c r="CQ33" s="94"/>
    </row>
    <row r="34" spans="1:101">
      <c r="A34" s="533" t="s">
        <v>243</v>
      </c>
      <c r="B34" s="538"/>
      <c r="C34" s="665"/>
      <c r="D34" s="666"/>
      <c r="E34" s="666"/>
      <c r="F34" s="666"/>
      <c r="G34" s="667"/>
      <c r="H34" s="668"/>
      <c r="I34" s="665"/>
      <c r="J34" s="666"/>
      <c r="K34" s="666"/>
      <c r="L34" s="666"/>
      <c r="M34" s="667"/>
      <c r="N34" s="668"/>
      <c r="O34" s="665"/>
      <c r="P34" s="666"/>
      <c r="Q34" s="666"/>
      <c r="R34" s="666"/>
      <c r="S34" s="667"/>
      <c r="T34" s="668"/>
      <c r="U34" s="665"/>
      <c r="V34" s="666"/>
      <c r="W34" s="666"/>
      <c r="X34" s="666"/>
      <c r="Y34" s="667"/>
      <c r="Z34" s="668"/>
      <c r="AA34" s="665"/>
      <c r="AB34" s="666"/>
      <c r="AC34" s="666"/>
      <c r="AD34" s="666"/>
      <c r="AE34" s="667"/>
      <c r="AF34" s="668"/>
      <c r="AG34" s="665"/>
      <c r="AH34" s="666"/>
      <c r="AI34" s="666"/>
      <c r="AJ34" s="669"/>
      <c r="AK34" s="667"/>
      <c r="AL34" s="668"/>
      <c r="AM34" s="670"/>
      <c r="AN34" s="666"/>
      <c r="AO34" s="669"/>
      <c r="AP34" s="669"/>
      <c r="AQ34" s="667"/>
      <c r="AR34" s="668"/>
      <c r="AS34" s="670"/>
      <c r="AT34" s="666"/>
      <c r="AU34" s="666"/>
      <c r="AV34" s="666"/>
      <c r="AW34" s="667"/>
      <c r="AX34" s="668"/>
      <c r="AY34" s="670"/>
      <c r="AZ34" s="666"/>
      <c r="BA34" s="666"/>
      <c r="BB34" s="666"/>
      <c r="BC34" s="667"/>
      <c r="BD34" s="668"/>
      <c r="BE34" s="670"/>
      <c r="BF34" s="666"/>
      <c r="BG34" s="666"/>
      <c r="BH34" s="666"/>
      <c r="BI34" s="667"/>
      <c r="BJ34" s="668"/>
      <c r="BK34" s="670"/>
      <c r="BL34" s="666"/>
      <c r="BM34" s="666"/>
      <c r="BN34" s="666"/>
      <c r="BO34" s="667"/>
      <c r="BP34" s="668"/>
      <c r="BQ34" s="670"/>
      <c r="BR34" s="669"/>
      <c r="BS34" s="669"/>
      <c r="BT34" s="669"/>
      <c r="BU34" s="667"/>
      <c r="BV34" s="666"/>
      <c r="BW34" s="670"/>
      <c r="BX34" s="669"/>
      <c r="BY34" s="669"/>
      <c r="BZ34" s="669"/>
      <c r="CA34" s="667"/>
      <c r="CB34" s="666"/>
      <c r="CC34" s="670"/>
      <c r="CD34" s="669"/>
      <c r="CE34" s="669"/>
      <c r="CF34" s="669"/>
      <c r="CG34" s="667"/>
      <c r="CH34" s="666"/>
      <c r="CI34" s="670"/>
      <c r="CJ34" s="669"/>
      <c r="CK34" s="669"/>
      <c r="CL34" s="669"/>
      <c r="CM34" s="667"/>
      <c r="CN34" s="83"/>
      <c r="CO34" s="83"/>
      <c r="CP34" s="83"/>
      <c r="CQ34" s="83"/>
    </row>
    <row r="35" spans="1:101" ht="12.75" hidden="1" customHeight="1" outlineLevel="1">
      <c r="A35" s="1693" t="s">
        <v>244</v>
      </c>
      <c r="B35" s="142"/>
      <c r="C35" s="376">
        <v>0</v>
      </c>
      <c r="D35" s="377">
        <v>0</v>
      </c>
      <c r="E35" s="377">
        <v>0</v>
      </c>
      <c r="F35" s="377">
        <v>0</v>
      </c>
      <c r="G35" s="649">
        <f>F35</f>
        <v>0</v>
      </c>
      <c r="H35" s="648"/>
      <c r="I35" s="376">
        <v>0</v>
      </c>
      <c r="J35" s="377">
        <v>0</v>
      </c>
      <c r="K35" s="377">
        <v>0</v>
      </c>
      <c r="L35" s="377">
        <v>0</v>
      </c>
      <c r="M35" s="649">
        <f>L35</f>
        <v>0</v>
      </c>
      <c r="N35" s="648"/>
      <c r="O35" s="376">
        <v>0</v>
      </c>
      <c r="P35" s="377">
        <v>0</v>
      </c>
      <c r="Q35" s="377">
        <v>0</v>
      </c>
      <c r="R35" s="377">
        <v>0</v>
      </c>
      <c r="S35" s="649">
        <f>R35</f>
        <v>0</v>
      </c>
      <c r="T35" s="648"/>
      <c r="U35" s="376">
        <v>0</v>
      </c>
      <c r="V35" s="377">
        <v>0</v>
      </c>
      <c r="W35" s="377">
        <v>0</v>
      </c>
      <c r="X35" s="377">
        <v>0</v>
      </c>
      <c r="Y35" s="649">
        <f>X35</f>
        <v>0</v>
      </c>
      <c r="Z35" s="648"/>
      <c r="AA35" s="376">
        <v>0</v>
      </c>
      <c r="AB35" s="377">
        <v>0</v>
      </c>
      <c r="AC35" s="377">
        <v>0</v>
      </c>
      <c r="AD35" s="377">
        <v>0</v>
      </c>
      <c r="AE35" s="649">
        <f>AD35</f>
        <v>0</v>
      </c>
      <c r="AF35" s="648"/>
      <c r="AG35" s="376">
        <v>0</v>
      </c>
      <c r="AH35" s="377">
        <v>0</v>
      </c>
      <c r="AI35" s="377">
        <v>0</v>
      </c>
      <c r="AJ35" s="664">
        <v>0</v>
      </c>
      <c r="AK35" s="649">
        <f>AJ35</f>
        <v>0</v>
      </c>
      <c r="AL35" s="648"/>
      <c r="AM35" s="376">
        <v>0</v>
      </c>
      <c r="AN35" s="377">
        <v>0</v>
      </c>
      <c r="AO35" s="377">
        <v>0</v>
      </c>
      <c r="AP35" s="664">
        <v>0</v>
      </c>
      <c r="AQ35" s="649">
        <f>AP35</f>
        <v>0</v>
      </c>
      <c r="AR35" s="648"/>
      <c r="AS35" s="376">
        <v>0</v>
      </c>
      <c r="AT35" s="377">
        <v>0</v>
      </c>
      <c r="AU35" s="377">
        <v>0</v>
      </c>
      <c r="AV35" s="621">
        <v>0</v>
      </c>
      <c r="AW35" s="649">
        <f t="shared" si="26"/>
        <v>0</v>
      </c>
      <c r="AX35" s="648"/>
      <c r="AY35" s="602">
        <v>0</v>
      </c>
      <c r="AZ35" s="377">
        <v>0</v>
      </c>
      <c r="BA35" s="377">
        <v>0</v>
      </c>
      <c r="BB35" s="621">
        <v>0</v>
      </c>
      <c r="BC35" s="649">
        <f>BB35</f>
        <v>0</v>
      </c>
      <c r="BD35" s="648"/>
      <c r="BE35" s="602">
        <v>0</v>
      </c>
      <c r="BF35" s="377">
        <v>0</v>
      </c>
      <c r="BG35" s="377">
        <v>0</v>
      </c>
      <c r="BH35" s="621">
        <v>0</v>
      </c>
      <c r="BI35" s="649">
        <f t="shared" ref="BI35:BI36" si="30">BH35</f>
        <v>0</v>
      </c>
      <c r="BJ35" s="648"/>
      <c r="BK35" s="602">
        <v>0</v>
      </c>
      <c r="BL35" s="377">
        <v>0</v>
      </c>
      <c r="BM35" s="377">
        <v>0</v>
      </c>
      <c r="BN35" s="621">
        <v>0</v>
      </c>
      <c r="BO35" s="649">
        <f t="shared" ref="BO35:BO36" si="31">BN35</f>
        <v>0</v>
      </c>
      <c r="BP35" s="648"/>
      <c r="BQ35" s="654">
        <f>BO35</f>
        <v>0</v>
      </c>
      <c r="BR35" s="653">
        <f t="shared" ref="BR35:BU36" si="32">BQ35</f>
        <v>0</v>
      </c>
      <c r="BS35" s="653">
        <f t="shared" si="32"/>
        <v>0</v>
      </c>
      <c r="BT35" s="653">
        <f t="shared" si="32"/>
        <v>0</v>
      </c>
      <c r="BU35" s="649">
        <f t="shared" si="32"/>
        <v>0</v>
      </c>
      <c r="BV35" s="1787"/>
      <c r="BW35" s="654">
        <f>BU35</f>
        <v>0</v>
      </c>
      <c r="BX35" s="653">
        <f t="shared" ref="BX35:CA36" si="33">BW35</f>
        <v>0</v>
      </c>
      <c r="BY35" s="653">
        <f t="shared" si="33"/>
        <v>0</v>
      </c>
      <c r="BZ35" s="653">
        <f t="shared" si="33"/>
        <v>0</v>
      </c>
      <c r="CA35" s="649">
        <f t="shared" si="33"/>
        <v>0</v>
      </c>
      <c r="CB35" s="1787"/>
      <c r="CC35" s="654">
        <f>CA35</f>
        <v>0</v>
      </c>
      <c r="CD35" s="653">
        <f t="shared" ref="CD35:CD36" si="34">CC35</f>
        <v>0</v>
      </c>
      <c r="CE35" s="653">
        <f t="shared" ref="CE35:CE36" si="35">CD35</f>
        <v>0</v>
      </c>
      <c r="CF35" s="653">
        <f t="shared" ref="CF35:CF36" si="36">CE35</f>
        <v>0</v>
      </c>
      <c r="CG35" s="649">
        <f t="shared" ref="CG35:CG36" si="37">CF35</f>
        <v>0</v>
      </c>
      <c r="CH35" s="1787"/>
      <c r="CI35" s="654">
        <f>CG35</f>
        <v>0</v>
      </c>
      <c r="CJ35" s="653">
        <f t="shared" ref="CJ35:CJ36" si="38">CI35</f>
        <v>0</v>
      </c>
      <c r="CK35" s="653">
        <f t="shared" ref="CK35:CK36" si="39">CJ35</f>
        <v>0</v>
      </c>
      <c r="CL35" s="653">
        <f t="shared" ref="CL35:CL36" si="40">CK35</f>
        <v>0</v>
      </c>
      <c r="CM35" s="649">
        <f t="shared" ref="CM35:CM36" si="41">CL35</f>
        <v>0</v>
      </c>
      <c r="CN35" s="94"/>
      <c r="CO35" s="94"/>
      <c r="CP35" s="94"/>
      <c r="CQ35" s="94"/>
    </row>
    <row r="36" spans="1:101" ht="11.25" hidden="1" customHeight="1" outlineLevel="1">
      <c r="A36" s="1693" t="s">
        <v>245</v>
      </c>
      <c r="B36" s="142"/>
      <c r="C36" s="376">
        <v>121.30200000000001</v>
      </c>
      <c r="D36" s="377">
        <v>118.29900000000001</v>
      </c>
      <c r="E36" s="377">
        <v>118.459</v>
      </c>
      <c r="F36" s="377">
        <v>117.58499999999999</v>
      </c>
      <c r="G36" s="649">
        <f>F36</f>
        <v>117.58499999999999</v>
      </c>
      <c r="H36" s="648"/>
      <c r="I36" s="376">
        <v>117.84699999999999</v>
      </c>
      <c r="J36" s="377">
        <v>118.735</v>
      </c>
      <c r="K36" s="377">
        <v>118.084</v>
      </c>
      <c r="L36" s="377">
        <v>117.11199999999999</v>
      </c>
      <c r="M36" s="649">
        <f>L36</f>
        <v>117.11199999999999</v>
      </c>
      <c r="N36" s="648"/>
      <c r="O36" s="376">
        <v>116.45099999999999</v>
      </c>
      <c r="P36" s="377">
        <v>116.703</v>
      </c>
      <c r="Q36" s="377">
        <v>116.72</v>
      </c>
      <c r="R36" s="377">
        <v>117.023</v>
      </c>
      <c r="S36" s="649">
        <f>R36</f>
        <v>117.023</v>
      </c>
      <c r="T36" s="648"/>
      <c r="U36" s="376">
        <v>117.79</v>
      </c>
      <c r="V36" s="377">
        <v>117.91</v>
      </c>
      <c r="W36" s="377">
        <v>118.03400000000001</v>
      </c>
      <c r="X36" s="377">
        <v>115.715</v>
      </c>
      <c r="Y36" s="649">
        <f>X36</f>
        <v>115.715</v>
      </c>
      <c r="Z36" s="648"/>
      <c r="AA36" s="376">
        <v>112.706</v>
      </c>
      <c r="AB36" s="377">
        <v>113.077</v>
      </c>
      <c r="AC36" s="377">
        <v>113.08499999999999</v>
      </c>
      <c r="AD36" s="377">
        <v>113.157</v>
      </c>
      <c r="AE36" s="649">
        <f>AD36</f>
        <v>113.157</v>
      </c>
      <c r="AF36" s="648"/>
      <c r="AG36" s="376">
        <v>113.831</v>
      </c>
      <c r="AH36" s="377">
        <v>114.06</v>
      </c>
      <c r="AI36" s="377">
        <v>114.595</v>
      </c>
      <c r="AJ36" s="664">
        <v>115.036</v>
      </c>
      <c r="AK36" s="649">
        <f>AJ36</f>
        <v>115.036</v>
      </c>
      <c r="AL36" s="648"/>
      <c r="AM36" s="376">
        <v>111.86499999999999</v>
      </c>
      <c r="AN36" s="377">
        <v>111.999</v>
      </c>
      <c r="AO36" s="377">
        <v>112.38200000000001</v>
      </c>
      <c r="AP36" s="664">
        <v>112.626</v>
      </c>
      <c r="AQ36" s="649">
        <f>AP36</f>
        <v>112.626</v>
      </c>
      <c r="AR36" s="648"/>
      <c r="AS36" s="376">
        <v>113.104</v>
      </c>
      <c r="AT36" s="377">
        <v>112.875</v>
      </c>
      <c r="AU36" s="377">
        <v>112.962</v>
      </c>
      <c r="AV36" s="621">
        <v>112.48099999999999</v>
      </c>
      <c r="AW36" s="649">
        <f t="shared" si="26"/>
        <v>112.48099999999999</v>
      </c>
      <c r="AX36" s="648"/>
      <c r="AY36" s="602">
        <v>113.19</v>
      </c>
      <c r="AZ36" s="377">
        <v>113.355</v>
      </c>
      <c r="BA36" s="377">
        <v>111.905</v>
      </c>
      <c r="BB36" s="621">
        <v>112.03400000000001</v>
      </c>
      <c r="BC36" s="649">
        <f>BB36</f>
        <v>112.03400000000001</v>
      </c>
      <c r="BD36" s="648"/>
      <c r="BE36" s="602">
        <v>109.015</v>
      </c>
      <c r="BF36" s="377">
        <v>109.39400000000001</v>
      </c>
      <c r="BG36" s="377">
        <v>109.511</v>
      </c>
      <c r="BH36" s="621">
        <v>109.617</v>
      </c>
      <c r="BI36" s="649">
        <f t="shared" si="30"/>
        <v>109.617</v>
      </c>
      <c r="BJ36" s="648"/>
      <c r="BK36" s="602">
        <v>109.85899999999999</v>
      </c>
      <c r="BL36" s="377">
        <v>110.196</v>
      </c>
      <c r="BM36" s="377">
        <v>110.20699999999999</v>
      </c>
      <c r="BN36" s="621">
        <v>110.361</v>
      </c>
      <c r="BO36" s="649">
        <f t="shared" si="31"/>
        <v>110.361</v>
      </c>
      <c r="BP36" s="648"/>
      <c r="BQ36" s="654">
        <f>BO36</f>
        <v>110.361</v>
      </c>
      <c r="BR36" s="653">
        <f t="shared" si="32"/>
        <v>110.361</v>
      </c>
      <c r="BS36" s="653">
        <f t="shared" si="32"/>
        <v>110.361</v>
      </c>
      <c r="BT36" s="653">
        <f t="shared" si="32"/>
        <v>110.361</v>
      </c>
      <c r="BU36" s="649">
        <f t="shared" si="32"/>
        <v>110.361</v>
      </c>
      <c r="BV36" s="1787"/>
      <c r="BW36" s="654">
        <f>BU36</f>
        <v>110.361</v>
      </c>
      <c r="BX36" s="653">
        <f t="shared" si="33"/>
        <v>110.361</v>
      </c>
      <c r="BY36" s="653">
        <f t="shared" si="33"/>
        <v>110.361</v>
      </c>
      <c r="BZ36" s="653">
        <f t="shared" si="33"/>
        <v>110.361</v>
      </c>
      <c r="CA36" s="649">
        <f t="shared" si="33"/>
        <v>110.361</v>
      </c>
      <c r="CB36" s="1787"/>
      <c r="CC36" s="654">
        <f>CA36</f>
        <v>110.361</v>
      </c>
      <c r="CD36" s="653">
        <f t="shared" si="34"/>
        <v>110.361</v>
      </c>
      <c r="CE36" s="653">
        <f t="shared" si="35"/>
        <v>110.361</v>
      </c>
      <c r="CF36" s="653">
        <f t="shared" si="36"/>
        <v>110.361</v>
      </c>
      <c r="CG36" s="649">
        <f t="shared" si="37"/>
        <v>110.361</v>
      </c>
      <c r="CH36" s="1787"/>
      <c r="CI36" s="654">
        <f>CG36</f>
        <v>110.361</v>
      </c>
      <c r="CJ36" s="653">
        <f t="shared" si="38"/>
        <v>110.361</v>
      </c>
      <c r="CK36" s="653">
        <f t="shared" si="39"/>
        <v>110.361</v>
      </c>
      <c r="CL36" s="653">
        <f t="shared" si="40"/>
        <v>110.361</v>
      </c>
      <c r="CM36" s="649">
        <f t="shared" si="41"/>
        <v>110.361</v>
      </c>
      <c r="CN36" s="94"/>
      <c r="CO36" s="94"/>
      <c r="CP36" s="94"/>
      <c r="CQ36" s="94"/>
    </row>
    <row r="37" spans="1:101" ht="11.25" hidden="1" customHeight="1" outlineLevel="1">
      <c r="A37" s="1693" t="s">
        <v>246</v>
      </c>
      <c r="B37" s="142"/>
      <c r="C37" s="376">
        <v>359.05</v>
      </c>
      <c r="D37" s="377">
        <v>286.65699999999998</v>
      </c>
      <c r="E37" s="377">
        <v>282.52600000000001</v>
      </c>
      <c r="F37" s="377">
        <v>257.85000000000002</v>
      </c>
      <c r="G37" s="649">
        <f>F37</f>
        <v>257.85000000000002</v>
      </c>
      <c r="H37" s="648"/>
      <c r="I37" s="376">
        <v>262.91300000000001</v>
      </c>
      <c r="J37" s="377">
        <v>282.90300000000002</v>
      </c>
      <c r="K37" s="377">
        <v>256.81900000000002</v>
      </c>
      <c r="L37" s="377">
        <v>246.54900000000001</v>
      </c>
      <c r="M37" s="649">
        <f>L37</f>
        <v>246.54900000000001</v>
      </c>
      <c r="N37" s="648"/>
      <c r="O37" s="376">
        <v>237.143</v>
      </c>
      <c r="P37" s="377">
        <v>242.98400000000001</v>
      </c>
      <c r="Q37" s="377">
        <v>244.67099999999999</v>
      </c>
      <c r="R37" s="377">
        <v>250.59899999999999</v>
      </c>
      <c r="S37" s="649">
        <f>R37</f>
        <v>250.59899999999999</v>
      </c>
      <c r="T37" s="648"/>
      <c r="U37" s="376">
        <v>264.96199999999999</v>
      </c>
      <c r="V37" s="377">
        <v>269.858</v>
      </c>
      <c r="W37" s="377">
        <v>274.71600000000001</v>
      </c>
      <c r="X37" s="377">
        <v>224.01300000000001</v>
      </c>
      <c r="Y37" s="649">
        <f>X37</f>
        <v>224.01300000000001</v>
      </c>
      <c r="Z37" s="648"/>
      <c r="AA37" s="376">
        <v>146.08600000000001</v>
      </c>
      <c r="AB37" s="377">
        <v>157.11000000000001</v>
      </c>
      <c r="AC37" s="377">
        <v>160.00299999999999</v>
      </c>
      <c r="AD37" s="377">
        <v>164.29</v>
      </c>
      <c r="AE37" s="649">
        <f>AD37</f>
        <v>164.29</v>
      </c>
      <c r="AF37" s="648"/>
      <c r="AG37" s="376">
        <v>175.41900000000001</v>
      </c>
      <c r="AH37" s="377">
        <v>182.321</v>
      </c>
      <c r="AI37" s="377">
        <v>196.56800000000001</v>
      </c>
      <c r="AJ37" s="664">
        <v>209.61</v>
      </c>
      <c r="AK37" s="649">
        <f>AJ37</f>
        <v>209.61</v>
      </c>
      <c r="AL37" s="648"/>
      <c r="AM37" s="376">
        <v>96.183000000000007</v>
      </c>
      <c r="AN37" s="377">
        <v>102.339</v>
      </c>
      <c r="AO37" s="377">
        <v>112.605</v>
      </c>
      <c r="AP37" s="664">
        <v>119.90600000000001</v>
      </c>
      <c r="AQ37" s="649">
        <f>AP37</f>
        <v>119.90600000000001</v>
      </c>
      <c r="AR37" s="648"/>
      <c r="AS37" s="376">
        <v>127.47199999999999</v>
      </c>
      <c r="AT37" s="377">
        <v>108.962</v>
      </c>
      <c r="AU37" s="377">
        <v>114.22499999999999</v>
      </c>
      <c r="AV37" s="621">
        <v>94.275999999999996</v>
      </c>
      <c r="AW37" s="649">
        <f t="shared" si="26"/>
        <v>94.275999999999996</v>
      </c>
      <c r="AX37" s="648"/>
      <c r="AY37" s="602">
        <v>102.673</v>
      </c>
      <c r="AZ37" s="377">
        <v>110.239</v>
      </c>
      <c r="BA37" s="377">
        <v>44.790999999999997</v>
      </c>
      <c r="BB37" s="621">
        <v>52.932000000000002</v>
      </c>
      <c r="BC37" s="649">
        <f>BB37</f>
        <v>52.932000000000002</v>
      </c>
      <c r="BD37" s="648"/>
      <c r="BE37" s="602">
        <v>0</v>
      </c>
      <c r="BF37" s="377">
        <v>13.127000000000001</v>
      </c>
      <c r="BG37" s="377">
        <v>19.209</v>
      </c>
      <c r="BH37" s="621">
        <v>26.13</v>
      </c>
      <c r="BI37" s="649">
        <f>BH37</f>
        <v>26.13</v>
      </c>
      <c r="BJ37" s="648"/>
      <c r="BK37" s="602">
        <v>31.148</v>
      </c>
      <c r="BL37" s="377">
        <v>45.881</v>
      </c>
      <c r="BM37" s="377">
        <v>50.036000000000001</v>
      </c>
      <c r="BN37" s="621">
        <v>58.828000000000003</v>
      </c>
      <c r="BO37" s="649">
        <f>BN37</f>
        <v>58.828000000000003</v>
      </c>
      <c r="BP37" s="648"/>
      <c r="BQ37" s="654">
        <f>BO37+CFS!BQ44+CFS!BQ45+CFS!BQ15+CFS!BQ43</f>
        <v>66.016703639248888</v>
      </c>
      <c r="BR37" s="653">
        <f>BQ37+CFS!BR44+CFS!BR45+CFS!BR15+CFS!BR43</f>
        <v>74.452025137864169</v>
      </c>
      <c r="BS37" s="653">
        <f>BR37+CFS!BS44+CFS!BS45+CFS!BS15+CFS!BS43</f>
        <v>79.326293561793619</v>
      </c>
      <c r="BT37" s="653">
        <f>BS37+CFS!BT44+CFS!BT45+CFS!BT15+CFS!BT43</f>
        <v>81.729784876503302</v>
      </c>
      <c r="BU37" s="649">
        <f>BT37</f>
        <v>81.729784876503302</v>
      </c>
      <c r="BV37" s="1787"/>
      <c r="BW37" s="654">
        <f>BU37+CFS!BW44+CFS!BW45+CFS!BW15+CFS!BW43</f>
        <v>68.196347777842959</v>
      </c>
      <c r="BX37" s="653">
        <f>BW37+CFS!BX44+CFS!BX45+CFS!BX15+CFS!BX43</f>
        <v>62.936851669480788</v>
      </c>
      <c r="BY37" s="653">
        <f>BX37+CFS!BY44+CFS!BY45+CFS!BY15+CFS!BY43</f>
        <v>54.008829110139608</v>
      </c>
      <c r="BZ37" s="653">
        <f>BY37+CFS!BZ44+CFS!BZ45+CFS!BZ15+CFS!BZ43</f>
        <v>42.560753198462734</v>
      </c>
      <c r="CA37" s="649">
        <f>BZ37</f>
        <v>42.560753198462734</v>
      </c>
      <c r="CB37" s="1787"/>
      <c r="CC37" s="654">
        <f>CA37+CFS!CC44+CFS!CC45+CFS!CC15+CFS!CC43</f>
        <v>30.14666818711413</v>
      </c>
      <c r="CD37" s="653">
        <f>CC37+CFS!CD44+CFS!CD45+CFS!CD15+CFS!CD43</f>
        <v>36.325348880155204</v>
      </c>
      <c r="CE37" s="653">
        <f>CD37+CFS!CE44+CFS!CE45+CFS!CE15+CFS!CE43</f>
        <v>36.578260548373827</v>
      </c>
      <c r="CF37" s="653">
        <f>CE37+CFS!CF44+CFS!CF45+CFS!CF15+CFS!CF43</f>
        <v>32.623036068403692</v>
      </c>
      <c r="CG37" s="649">
        <f>CF37</f>
        <v>32.623036068403692</v>
      </c>
      <c r="CH37" s="1787"/>
      <c r="CI37" s="654">
        <f>CG37+CFS!CI44+CFS!CI45+CFS!CI15+CFS!CI43</f>
        <v>27.099438348082248</v>
      </c>
      <c r="CJ37" s="653">
        <f>CI37+CFS!CJ44+CFS!CJ45+CFS!CJ15+CFS!CJ43</f>
        <v>59.126826899288588</v>
      </c>
      <c r="CK37" s="653">
        <f>CJ37+CFS!CK44+CFS!CK45+CFS!CK15+CFS!CK43</f>
        <v>80.022323145378579</v>
      </c>
      <c r="CL37" s="653">
        <f>CK37+CFS!CL44+CFS!CL45+CFS!CL15+CFS!CL43</f>
        <v>92.799392360304708</v>
      </c>
      <c r="CM37" s="649">
        <f>CL37</f>
        <v>92.799392360304708</v>
      </c>
      <c r="CN37" s="94"/>
      <c r="CO37" s="94"/>
      <c r="CP37" s="94"/>
      <c r="CQ37" s="94"/>
    </row>
    <row r="38" spans="1:101" hidden="1" outlineLevel="1">
      <c r="A38" s="1693" t="s">
        <v>247</v>
      </c>
      <c r="B38" s="142"/>
      <c r="C38" s="376">
        <v>1049.9639999999999</v>
      </c>
      <c r="D38" s="377">
        <v>1075.3579999999999</v>
      </c>
      <c r="E38" s="377">
        <v>1097.817</v>
      </c>
      <c r="F38" s="377">
        <v>1142.135</v>
      </c>
      <c r="G38" s="649">
        <f>F38</f>
        <v>1142.135</v>
      </c>
      <c r="H38" s="648"/>
      <c r="I38" s="376">
        <v>1154.0229999999999</v>
      </c>
      <c r="J38" s="377">
        <v>1169.3910000000001</v>
      </c>
      <c r="K38" s="377">
        <v>1213.0519999999999</v>
      </c>
      <c r="L38" s="377">
        <v>1235.521</v>
      </c>
      <c r="M38" s="649">
        <f>L38</f>
        <v>1235.521</v>
      </c>
      <c r="N38" s="648"/>
      <c r="O38" s="376">
        <v>1237.915</v>
      </c>
      <c r="P38" s="377">
        <v>1251.2760000000001</v>
      </c>
      <c r="Q38" s="377">
        <v>1256.8499999999999</v>
      </c>
      <c r="R38" s="377">
        <v>1288.586</v>
      </c>
      <c r="S38" s="649">
        <f>R38</f>
        <v>1288.586</v>
      </c>
      <c r="T38" s="648"/>
      <c r="U38" s="376">
        <v>1304.682</v>
      </c>
      <c r="V38" s="377">
        <v>1354.0730000000001</v>
      </c>
      <c r="W38" s="377">
        <v>1359.201</v>
      </c>
      <c r="X38" s="377">
        <v>1639.5809999999999</v>
      </c>
      <c r="Y38" s="649">
        <f>X38</f>
        <v>1639.5809999999999</v>
      </c>
      <c r="Z38" s="648"/>
      <c r="AA38" s="376">
        <v>1655.223</v>
      </c>
      <c r="AB38" s="377">
        <v>1675.8789999999999</v>
      </c>
      <c r="AC38" s="377">
        <v>1703.277</v>
      </c>
      <c r="AD38" s="377">
        <v>1510.683</v>
      </c>
      <c r="AE38" s="649">
        <f>AD38</f>
        <v>1510.683</v>
      </c>
      <c r="AF38" s="648"/>
      <c r="AG38" s="376">
        <v>1525.1469999999999</v>
      </c>
      <c r="AH38" s="377">
        <v>1550.8209999999999</v>
      </c>
      <c r="AI38" s="377">
        <v>1572.385</v>
      </c>
      <c r="AJ38" s="664">
        <v>1548.5730000000001</v>
      </c>
      <c r="AK38" s="649">
        <f>AJ38</f>
        <v>1548.5730000000001</v>
      </c>
      <c r="AL38" s="648"/>
      <c r="AM38" s="376">
        <v>1572.9749999999999</v>
      </c>
      <c r="AN38" s="377">
        <v>1593.057</v>
      </c>
      <c r="AO38" s="377">
        <v>1625.3810000000001</v>
      </c>
      <c r="AP38" s="664">
        <v>1684.364</v>
      </c>
      <c r="AQ38" s="649">
        <f>AP38</f>
        <v>1684.364</v>
      </c>
      <c r="AR38" s="648"/>
      <c r="AS38" s="376">
        <v>1710.6669999999999</v>
      </c>
      <c r="AT38" s="377">
        <v>1753.2529999999999</v>
      </c>
      <c r="AU38" s="377">
        <v>1787.614</v>
      </c>
      <c r="AV38" s="621">
        <v>1810.5450000000001</v>
      </c>
      <c r="AW38" s="649">
        <f t="shared" si="26"/>
        <v>1810.5450000000001</v>
      </c>
      <c r="AX38" s="648"/>
      <c r="AY38" s="602">
        <v>1842.9480000000001</v>
      </c>
      <c r="AZ38" s="377">
        <v>1883.999</v>
      </c>
      <c r="BA38" s="377">
        <v>1931.0260000000001</v>
      </c>
      <c r="BB38" s="621">
        <v>1991.431</v>
      </c>
      <c r="BC38" s="649">
        <f>BB38</f>
        <v>1991.431</v>
      </c>
      <c r="BD38" s="648"/>
      <c r="BE38" s="602">
        <v>1954.8219999999999</v>
      </c>
      <c r="BF38" s="377">
        <v>2011.0350000000001</v>
      </c>
      <c r="BG38" s="377">
        <v>2061.4870000000001</v>
      </c>
      <c r="BH38" s="621">
        <v>2118.6840000000002</v>
      </c>
      <c r="BI38" s="649">
        <f>BH38</f>
        <v>2118.6840000000002</v>
      </c>
      <c r="BJ38" s="648"/>
      <c r="BK38" s="602">
        <v>2149.61</v>
      </c>
      <c r="BL38" s="377">
        <v>2345.9859999999999</v>
      </c>
      <c r="BM38" s="377">
        <v>2429.3609999999999</v>
      </c>
      <c r="BN38" s="621">
        <v>2380.5169999999998</v>
      </c>
      <c r="BO38" s="649">
        <f>BN38</f>
        <v>2380.5169999999998</v>
      </c>
      <c r="BP38" s="648"/>
      <c r="BQ38" s="654">
        <f>BO38+CFS!BQ12+CFS!BQ46</f>
        <v>2425.8705068308027</v>
      </c>
      <c r="BR38" s="653">
        <f>BQ38+CFS!BR12+CFS!BR46</f>
        <v>2500.0627743655305</v>
      </c>
      <c r="BS38" s="653">
        <f>BR38+CFS!BS12+CFS!BS46</f>
        <v>2580.6729364871471</v>
      </c>
      <c r="BT38" s="653">
        <f>BS38+CFS!BT12+CFS!BT46</f>
        <v>2689.0166331279656</v>
      </c>
      <c r="BU38" s="649">
        <f>BT38</f>
        <v>2689.0166331279656</v>
      </c>
      <c r="BV38" s="1787"/>
      <c r="BW38" s="654">
        <f>BU38+CFS!BW12+CFS!BW46</f>
        <v>2748.6560146057359</v>
      </c>
      <c r="BX38" s="653">
        <f>BW38+CFS!BX12+CFS!BX46</f>
        <v>2839.3070934433463</v>
      </c>
      <c r="BY38" s="653">
        <f>BX38+CFS!BY12+CFS!BY46</f>
        <v>2936.9940450436784</v>
      </c>
      <c r="BZ38" s="653">
        <f>BY38+CFS!BZ12+CFS!BZ46</f>
        <v>3064.5711655756145</v>
      </c>
      <c r="CA38" s="649">
        <f>BZ38</f>
        <v>3064.5711655756145</v>
      </c>
      <c r="CB38" s="1787"/>
      <c r="CC38" s="654">
        <f>CA38+CFS!CC12+CFS!CC46</f>
        <v>3137.6813151698798</v>
      </c>
      <c r="CD38" s="653">
        <f>CC38+CFS!CD12+CFS!CD46</f>
        <v>3253.7241941404604</v>
      </c>
      <c r="CE38" s="653">
        <f>CD38+CFS!CE12+CFS!CE46</f>
        <v>3378.0973852315569</v>
      </c>
      <c r="CF38" s="653">
        <f>CE38+CFS!CF12+CFS!CF46</f>
        <v>3537.3907570600986</v>
      </c>
      <c r="CG38" s="649">
        <f>CF38</f>
        <v>3537.3907570600986</v>
      </c>
      <c r="CH38" s="1787"/>
      <c r="CI38" s="654">
        <f>CG38+CFS!CI12+CFS!CI46</f>
        <v>3637.0459354404884</v>
      </c>
      <c r="CJ38" s="653">
        <f>CI38+CFS!CJ12+CFS!CJ46</f>
        <v>3760.1972922547438</v>
      </c>
      <c r="CK38" s="653">
        <f>CJ38+CFS!CK12+CFS!CK46</f>
        <v>3891.5235090058122</v>
      </c>
      <c r="CL38" s="653">
        <f>CK38+CFS!CL12+CFS!CL46</f>
        <v>4057.9858486151365</v>
      </c>
      <c r="CM38" s="649">
        <f>CL38</f>
        <v>4057.9858486151365</v>
      </c>
      <c r="CN38" s="94"/>
      <c r="CO38" s="94"/>
      <c r="CP38" s="94"/>
      <c r="CQ38" s="94"/>
    </row>
    <row r="39" spans="1:101" hidden="1" outlineLevel="1">
      <c r="A39" s="1693" t="s">
        <v>248</v>
      </c>
      <c r="B39" s="142"/>
      <c r="C39" s="376">
        <v>11.507999999999999</v>
      </c>
      <c r="D39" s="377">
        <v>15.992000000000001</v>
      </c>
      <c r="E39" s="377">
        <v>37.435000000000002</v>
      </c>
      <c r="F39" s="377">
        <v>57.707000000000001</v>
      </c>
      <c r="G39" s="649">
        <f>F39</f>
        <v>57.707000000000001</v>
      </c>
      <c r="H39" s="648"/>
      <c r="I39" s="376">
        <v>83.135999999999996</v>
      </c>
      <c r="J39" s="377">
        <v>84.471000000000004</v>
      </c>
      <c r="K39" s="377">
        <v>47.128999999999998</v>
      </c>
      <c r="L39" s="377">
        <v>-31.239000000000001</v>
      </c>
      <c r="M39" s="649">
        <f>L39</f>
        <v>-31.239000000000001</v>
      </c>
      <c r="N39" s="648"/>
      <c r="O39" s="376">
        <v>-79.108000000000004</v>
      </c>
      <c r="P39" s="377">
        <v>-36.631</v>
      </c>
      <c r="Q39" s="377">
        <v>-16.483000000000001</v>
      </c>
      <c r="R39" s="377">
        <v>-27.251000000000001</v>
      </c>
      <c r="S39" s="649">
        <f>R39</f>
        <v>-27.251000000000001</v>
      </c>
      <c r="T39" s="648"/>
      <c r="U39" s="376">
        <v>-56.03</v>
      </c>
      <c r="V39" s="377">
        <v>-98.149000000000001</v>
      </c>
      <c r="W39" s="377">
        <v>-44.915999999999997</v>
      </c>
      <c r="X39" s="377">
        <v>-53.491</v>
      </c>
      <c r="Y39" s="649">
        <f>X39</f>
        <v>-53.491</v>
      </c>
      <c r="Z39" s="648"/>
      <c r="AA39" s="376">
        <v>-6.0830000000000002</v>
      </c>
      <c r="AB39" s="377">
        <v>10.395</v>
      </c>
      <c r="AC39" s="377">
        <v>-31.225000000000001</v>
      </c>
      <c r="AD39" s="377">
        <v>54.085999999999999</v>
      </c>
      <c r="AE39" s="649">
        <f>AD39</f>
        <v>54.085999999999999</v>
      </c>
      <c r="AF39" s="648"/>
      <c r="AG39" s="376">
        <v>68.186000000000007</v>
      </c>
      <c r="AH39" s="377">
        <v>38.128</v>
      </c>
      <c r="AI39" s="377">
        <v>58.892000000000003</v>
      </c>
      <c r="AJ39" s="664">
        <v>66.593000000000004</v>
      </c>
      <c r="AK39" s="649">
        <f>AJ39</f>
        <v>66.593000000000004</v>
      </c>
      <c r="AL39" s="648"/>
      <c r="AM39" s="376">
        <v>53.4</v>
      </c>
      <c r="AN39" s="377">
        <v>52.457000000000001</v>
      </c>
      <c r="AO39" s="377">
        <v>69.203000000000003</v>
      </c>
      <c r="AP39" s="664">
        <v>77.590999999999994</v>
      </c>
      <c r="AQ39" s="649">
        <f>AP39</f>
        <v>77.590999999999994</v>
      </c>
      <c r="AR39" s="648"/>
      <c r="AS39" s="376">
        <v>78.192999999999998</v>
      </c>
      <c r="AT39" s="377">
        <v>80.900999999999996</v>
      </c>
      <c r="AU39" s="377">
        <v>47.953000000000003</v>
      </c>
      <c r="AV39" s="621">
        <v>24.8</v>
      </c>
      <c r="AW39" s="649">
        <f t="shared" si="26"/>
        <v>24.8</v>
      </c>
      <c r="AX39" s="648"/>
      <c r="AY39" s="602">
        <v>1.0740000000000001</v>
      </c>
      <c r="AZ39" s="377">
        <v>13.311</v>
      </c>
      <c r="BA39" s="377">
        <v>-33.398000000000003</v>
      </c>
      <c r="BB39" s="621">
        <v>-45.956000000000003</v>
      </c>
      <c r="BC39" s="649">
        <f>BB39</f>
        <v>-45.956000000000003</v>
      </c>
      <c r="BD39" s="648"/>
      <c r="BE39" s="602">
        <v>-14.356999999999999</v>
      </c>
      <c r="BF39" s="377">
        <v>-45.353000000000002</v>
      </c>
      <c r="BG39" s="377">
        <v>-54.784999999999997</v>
      </c>
      <c r="BH39" s="621">
        <v>-100.861</v>
      </c>
      <c r="BI39" s="649">
        <f>BH39</f>
        <v>-100.861</v>
      </c>
      <c r="BJ39" s="648"/>
      <c r="BK39" s="602">
        <v>-81.63</v>
      </c>
      <c r="BL39" s="377">
        <v>-63.427</v>
      </c>
      <c r="BM39" s="377">
        <v>-53.575000000000003</v>
      </c>
      <c r="BN39" s="621">
        <v>-46.518000000000001</v>
      </c>
      <c r="BO39" s="649">
        <f>BN39</f>
        <v>-46.518000000000001</v>
      </c>
      <c r="BP39" s="648"/>
      <c r="BQ39" s="654">
        <f>BO39+CFS!BQ51</f>
        <v>-46.518000000000001</v>
      </c>
      <c r="BR39" s="653">
        <f>BQ39+CFS!BR51</f>
        <v>-46.518000000000001</v>
      </c>
      <c r="BS39" s="653">
        <f>BR39+CFS!BS51</f>
        <v>-46.518000000000001</v>
      </c>
      <c r="BT39" s="653">
        <f>BS39+CFS!BT51</f>
        <v>-46.518000000000001</v>
      </c>
      <c r="BU39" s="649">
        <f>BT39</f>
        <v>-46.518000000000001</v>
      </c>
      <c r="BV39" s="1787"/>
      <c r="BW39" s="654">
        <f>BU39+CFS!BW51</f>
        <v>-46.518000000000001</v>
      </c>
      <c r="BX39" s="653">
        <f>BW39+CFS!BX51</f>
        <v>-46.518000000000001</v>
      </c>
      <c r="BY39" s="653">
        <f>BX39+CFS!BY51</f>
        <v>-46.518000000000001</v>
      </c>
      <c r="BZ39" s="653">
        <f>BY39+CFS!BZ51</f>
        <v>-46.518000000000001</v>
      </c>
      <c r="CA39" s="649">
        <f>BZ39</f>
        <v>-46.518000000000001</v>
      </c>
      <c r="CB39" s="1787"/>
      <c r="CC39" s="654">
        <f>CA39+CFS!CC51</f>
        <v>-46.518000000000001</v>
      </c>
      <c r="CD39" s="653">
        <f>CC39+CFS!CD51</f>
        <v>-46.518000000000001</v>
      </c>
      <c r="CE39" s="653">
        <f>CD39+CFS!CE51</f>
        <v>-46.518000000000001</v>
      </c>
      <c r="CF39" s="653">
        <f>CE39+CFS!CF51</f>
        <v>-46.518000000000001</v>
      </c>
      <c r="CG39" s="649">
        <f>CF39</f>
        <v>-46.518000000000001</v>
      </c>
      <c r="CH39" s="1787"/>
      <c r="CI39" s="654">
        <f>CG39+CFS!CI51</f>
        <v>-46.518000000000001</v>
      </c>
      <c r="CJ39" s="653">
        <f>CI39+CFS!CJ51</f>
        <v>-46.518000000000001</v>
      </c>
      <c r="CK39" s="653">
        <f>CJ39+CFS!CK51</f>
        <v>-46.518000000000001</v>
      </c>
      <c r="CL39" s="653">
        <f>CK39+CFS!CL51</f>
        <v>-46.518000000000001</v>
      </c>
      <c r="CM39" s="649">
        <f>CL39</f>
        <v>-46.518000000000001</v>
      </c>
      <c r="CN39" s="94"/>
      <c r="CO39" s="94"/>
      <c r="CP39" s="94"/>
      <c r="CQ39" s="94"/>
    </row>
    <row r="40" spans="1:101" collapsed="1">
      <c r="A40" s="1694" t="s">
        <v>249</v>
      </c>
      <c r="B40" s="537"/>
      <c r="C40" s="659">
        <f>SUM(C35:C39)</f>
        <v>1541.8240000000001</v>
      </c>
      <c r="D40" s="660">
        <f>SUM(D35:D39)</f>
        <v>1496.3059999999998</v>
      </c>
      <c r="E40" s="660">
        <f>SUM(E35:E39)</f>
        <v>1536.2370000000001</v>
      </c>
      <c r="F40" s="660">
        <f>SUM(F35:F39)</f>
        <v>1575.277</v>
      </c>
      <c r="G40" s="661">
        <f>SUM(G35:G39)</f>
        <v>1575.277</v>
      </c>
      <c r="H40" s="662"/>
      <c r="I40" s="659">
        <f>SUM(I35:I39)</f>
        <v>1617.9189999999999</v>
      </c>
      <c r="J40" s="660">
        <f>SUM(J35:J39)</f>
        <v>1655.5</v>
      </c>
      <c r="K40" s="660">
        <f>SUM(K35:K39)</f>
        <v>1635.0839999999998</v>
      </c>
      <c r="L40" s="660">
        <f>SUM(L35:L39)</f>
        <v>1567.943</v>
      </c>
      <c r="M40" s="661">
        <f>SUM(M35:M39)</f>
        <v>1567.943</v>
      </c>
      <c r="N40" s="662"/>
      <c r="O40" s="659">
        <f>SUM(O35:O39)</f>
        <v>1512.4010000000001</v>
      </c>
      <c r="P40" s="660">
        <f>SUM(P35:P39)</f>
        <v>1574.3320000000001</v>
      </c>
      <c r="Q40" s="660">
        <f>SUM(Q35:Q39)</f>
        <v>1601.758</v>
      </c>
      <c r="R40" s="660">
        <f>SUM(R35:R39)</f>
        <v>1628.9570000000001</v>
      </c>
      <c r="S40" s="661">
        <f>SUM(S35:S39)</f>
        <v>1628.9570000000001</v>
      </c>
      <c r="T40" s="662"/>
      <c r="U40" s="659">
        <f>SUM(U35:U39)</f>
        <v>1631.404</v>
      </c>
      <c r="V40" s="660">
        <f>SUM(V35:V39)</f>
        <v>1643.692</v>
      </c>
      <c r="W40" s="660">
        <f>SUM(W35:W39)</f>
        <v>1707.0350000000001</v>
      </c>
      <c r="X40" s="660">
        <f>SUM(X35:X39)</f>
        <v>1925.818</v>
      </c>
      <c r="Y40" s="661">
        <f>SUM(Y35:Y39)</f>
        <v>1925.818</v>
      </c>
      <c r="Z40" s="662"/>
      <c r="AA40" s="659">
        <f>SUM(AA35:AA39)</f>
        <v>1907.9319999999998</v>
      </c>
      <c r="AB40" s="660">
        <f>SUM(AB35:AB39)</f>
        <v>1956.4609999999998</v>
      </c>
      <c r="AC40" s="660">
        <f>SUM(AC35:AC39)</f>
        <v>1945.14</v>
      </c>
      <c r="AD40" s="660">
        <f>SUM(AD35:AD39)</f>
        <v>1842.2160000000001</v>
      </c>
      <c r="AE40" s="661">
        <f>SUM(AE35:AE39)</f>
        <v>1842.2160000000001</v>
      </c>
      <c r="AF40" s="662"/>
      <c r="AG40" s="659">
        <f>SUM(AG35:AG39)</f>
        <v>1882.5829999999999</v>
      </c>
      <c r="AH40" s="660">
        <f>SUM(AH35:AH39)</f>
        <v>1885.3299999999997</v>
      </c>
      <c r="AI40" s="660">
        <f>SUM(AI35:AI39)</f>
        <v>1942.44</v>
      </c>
      <c r="AJ40" s="660">
        <f>SUM(AJ35:AJ39)</f>
        <v>1939.8120000000001</v>
      </c>
      <c r="AK40" s="661">
        <f>SUM(AK35:AK39)</f>
        <v>1939.8120000000001</v>
      </c>
      <c r="AL40" s="662"/>
      <c r="AM40" s="659">
        <f>SUM(AM35:AM39)</f>
        <v>1834.423</v>
      </c>
      <c r="AN40" s="660">
        <f>SUM(AN35:AN39)</f>
        <v>1859.8520000000001</v>
      </c>
      <c r="AO40" s="660">
        <f>SUM(AO35:AO39)</f>
        <v>1919.5710000000001</v>
      </c>
      <c r="AP40" s="660">
        <f>SUM(AP35:AP39)</f>
        <v>1994.4869999999999</v>
      </c>
      <c r="AQ40" s="661">
        <f>SUM(AQ35:AQ39)</f>
        <v>1994.4869999999999</v>
      </c>
      <c r="AR40" s="662"/>
      <c r="AS40" s="659">
        <f>SUM(AS35:AS39)</f>
        <v>2029.4359999999999</v>
      </c>
      <c r="AT40" s="660">
        <f>SUM(AT35:AT39)</f>
        <v>2055.991</v>
      </c>
      <c r="AU40" s="660">
        <f>SUM(AU35:AU39)</f>
        <v>2062.7539999999999</v>
      </c>
      <c r="AV40" s="660">
        <f>SUM(AV35:AV39)</f>
        <v>2042.1020000000001</v>
      </c>
      <c r="AW40" s="661">
        <f>SUM(AW35:AW39)</f>
        <v>2042.1020000000001</v>
      </c>
      <c r="AX40" s="662"/>
      <c r="AY40" s="659">
        <f>SUM(AY35:AY39)</f>
        <v>2059.8850000000002</v>
      </c>
      <c r="AZ40" s="660">
        <f>SUM(AZ35:AZ39)</f>
        <v>2120.904</v>
      </c>
      <c r="BA40" s="660">
        <f>SUM(BA35:BA39)</f>
        <v>2054.3240000000001</v>
      </c>
      <c r="BB40" s="660">
        <f>SUM(BB35:BB39)</f>
        <v>2110.4409999999998</v>
      </c>
      <c r="BC40" s="661">
        <f>SUM(BC35:BC39)</f>
        <v>2110.4409999999998</v>
      </c>
      <c r="BD40" s="662"/>
      <c r="BE40" s="659">
        <f>SUM(BE35:BE39)</f>
        <v>2049.48</v>
      </c>
      <c r="BF40" s="660">
        <f>SUM(BF35:BF39)</f>
        <v>2088.203</v>
      </c>
      <c r="BG40" s="660">
        <f>SUM(BG35:BG39)</f>
        <v>2135.422</v>
      </c>
      <c r="BH40" s="660">
        <f>SUM(BH35:BH39)</f>
        <v>2153.5700000000002</v>
      </c>
      <c r="BI40" s="661">
        <f>SUM(BI35:BI39)</f>
        <v>2153.5700000000002</v>
      </c>
      <c r="BJ40" s="662"/>
      <c r="BK40" s="659">
        <f>SUM(BK35:BK39)</f>
        <v>2208.9870000000001</v>
      </c>
      <c r="BL40" s="660">
        <f>SUM(BL35:BL39)</f>
        <v>2438.636</v>
      </c>
      <c r="BM40" s="660">
        <f>SUM(BM35:BM39)</f>
        <v>2536.029</v>
      </c>
      <c r="BN40" s="660">
        <f>SUM(BN35:BN39)</f>
        <v>2503.1879999999996</v>
      </c>
      <c r="BO40" s="661">
        <f>SUM(BO35:BO39)</f>
        <v>2503.1879999999996</v>
      </c>
      <c r="BP40" s="662"/>
      <c r="BQ40" s="659">
        <f>SUM(BQ35:BQ39)</f>
        <v>2555.7302104700516</v>
      </c>
      <c r="BR40" s="660">
        <f>SUM(BR35:BR39)</f>
        <v>2638.3577995033947</v>
      </c>
      <c r="BS40" s="660">
        <f>SUM(BS35:BS39)</f>
        <v>2723.8422300489406</v>
      </c>
      <c r="BT40" s="660">
        <f>SUM(BT35:BT39)</f>
        <v>2834.5894180044688</v>
      </c>
      <c r="BU40" s="661">
        <f>SUM(BU35:BU39)</f>
        <v>2834.5894180044688</v>
      </c>
      <c r="BV40" s="669"/>
      <c r="BW40" s="659">
        <f>SUM(BW35:BW39)</f>
        <v>2880.6953623835789</v>
      </c>
      <c r="BX40" s="660">
        <f>SUM(BX35:BX39)</f>
        <v>2966.0869451128269</v>
      </c>
      <c r="BY40" s="660">
        <f>SUM(BY35:BY39)</f>
        <v>3054.8458741538179</v>
      </c>
      <c r="BZ40" s="660">
        <f>SUM(BZ35:BZ39)</f>
        <v>3170.9749187740772</v>
      </c>
      <c r="CA40" s="661">
        <f>SUM(CA35:CA39)</f>
        <v>3170.9749187740772</v>
      </c>
      <c r="CB40" s="669"/>
      <c r="CC40" s="659">
        <f>SUM(CC35:CC39)</f>
        <v>3231.6709833569939</v>
      </c>
      <c r="CD40" s="660">
        <f>SUM(CD35:CD39)</f>
        <v>3353.8925430206154</v>
      </c>
      <c r="CE40" s="660">
        <f>SUM(CE35:CE39)</f>
        <v>3478.5186457799309</v>
      </c>
      <c r="CF40" s="660">
        <f>SUM(CF35:CF39)</f>
        <v>3633.8567931285024</v>
      </c>
      <c r="CG40" s="661">
        <f>SUM(CG35:CG39)</f>
        <v>3633.8567931285024</v>
      </c>
      <c r="CH40" s="669"/>
      <c r="CI40" s="659">
        <f>SUM(CI35:CI39)</f>
        <v>3727.9883737885707</v>
      </c>
      <c r="CJ40" s="660">
        <f>SUM(CJ35:CJ39)</f>
        <v>3883.1671191540322</v>
      </c>
      <c r="CK40" s="660">
        <f>SUM(CK35:CK39)</f>
        <v>4035.3888321511909</v>
      </c>
      <c r="CL40" s="660">
        <f>SUM(CL35:CL39)</f>
        <v>4214.6282409754413</v>
      </c>
      <c r="CM40" s="661">
        <f>SUM(CM35:CM39)</f>
        <v>4214.6282409754413</v>
      </c>
      <c r="CN40" s="94"/>
      <c r="CO40" s="94"/>
      <c r="CP40" s="94"/>
      <c r="CQ40" s="94"/>
    </row>
    <row r="41" spans="1:101">
      <c r="A41" s="1695"/>
      <c r="B41" s="539"/>
      <c r="C41" s="591"/>
      <c r="D41" s="583"/>
      <c r="E41" s="583"/>
      <c r="F41" s="583"/>
      <c r="G41" s="675"/>
      <c r="H41" s="676"/>
      <c r="I41" s="591"/>
      <c r="J41" s="583"/>
      <c r="K41" s="583"/>
      <c r="L41" s="583"/>
      <c r="M41" s="675"/>
      <c r="N41" s="676"/>
      <c r="O41" s="591"/>
      <c r="P41" s="583"/>
      <c r="Q41" s="583"/>
      <c r="R41" s="583"/>
      <c r="S41" s="675"/>
      <c r="T41" s="676"/>
      <c r="U41" s="591"/>
      <c r="V41" s="583"/>
      <c r="W41" s="583"/>
      <c r="X41" s="583"/>
      <c r="Y41" s="675"/>
      <c r="Z41" s="676"/>
      <c r="AA41" s="591"/>
      <c r="AB41" s="583"/>
      <c r="AC41" s="583"/>
      <c r="AD41" s="583"/>
      <c r="AE41" s="675"/>
      <c r="AF41" s="676"/>
      <c r="AG41" s="591"/>
      <c r="AH41" s="583"/>
      <c r="AI41" s="583"/>
      <c r="AJ41" s="836"/>
      <c r="AK41" s="675"/>
      <c r="AL41" s="676"/>
      <c r="AM41" s="594"/>
      <c r="AN41" s="583"/>
      <c r="AO41" s="592"/>
      <c r="AP41" s="836"/>
      <c r="AQ41" s="675"/>
      <c r="AR41" s="676"/>
      <c r="AS41" s="594"/>
      <c r="AT41" s="583"/>
      <c r="AU41" s="583"/>
      <c r="AV41" s="583"/>
      <c r="AW41" s="675"/>
      <c r="AX41" s="676"/>
      <c r="AY41" s="594"/>
      <c r="AZ41" s="583"/>
      <c r="BA41" s="592"/>
      <c r="BB41" s="592"/>
      <c r="BC41" s="675"/>
      <c r="BD41" s="676"/>
      <c r="BE41" s="594"/>
      <c r="BF41" s="583"/>
      <c r="BG41" s="583"/>
      <c r="BH41" s="592"/>
      <c r="BI41" s="675"/>
      <c r="BJ41" s="676"/>
      <c r="BK41" s="594"/>
      <c r="BL41" s="583"/>
      <c r="BM41" s="583"/>
      <c r="BN41" s="592"/>
      <c r="BO41" s="675"/>
      <c r="BP41" s="676"/>
      <c r="BQ41" s="594"/>
      <c r="BR41" s="592"/>
      <c r="BS41" s="592"/>
      <c r="BT41" s="592"/>
      <c r="BU41" s="675"/>
      <c r="BV41" s="583"/>
      <c r="BW41" s="594"/>
      <c r="BX41" s="592"/>
      <c r="BY41" s="592"/>
      <c r="BZ41" s="592"/>
      <c r="CA41" s="675"/>
      <c r="CB41" s="583"/>
      <c r="CC41" s="594"/>
      <c r="CD41" s="592"/>
      <c r="CE41" s="592"/>
      <c r="CF41" s="592"/>
      <c r="CG41" s="675"/>
      <c r="CH41" s="583"/>
      <c r="CI41" s="594"/>
      <c r="CJ41" s="592"/>
      <c r="CK41" s="592"/>
      <c r="CL41" s="592"/>
      <c r="CM41" s="675"/>
      <c r="CN41" s="94"/>
      <c r="CO41" s="94"/>
      <c r="CP41" s="94"/>
      <c r="CQ41" s="94"/>
    </row>
    <row r="42" spans="1:101">
      <c r="A42" s="1696" t="s">
        <v>250</v>
      </c>
      <c r="B42" s="540"/>
      <c r="C42" s="677">
        <f>C40+C33</f>
        <v>2497.9700000000003</v>
      </c>
      <c r="D42" s="678">
        <f>D40+D33</f>
        <v>2532.4690000000001</v>
      </c>
      <c r="E42" s="678">
        <f>E40+E33</f>
        <v>2591.3580000000002</v>
      </c>
      <c r="F42" s="678">
        <f>F40+F33</f>
        <v>2949.337</v>
      </c>
      <c r="G42" s="679">
        <f>G40+G33</f>
        <v>2949.337</v>
      </c>
      <c r="H42" s="680"/>
      <c r="I42" s="677">
        <f>I40+I33</f>
        <v>3078.6030000000001</v>
      </c>
      <c r="J42" s="678">
        <f>J40+J33</f>
        <v>3076.4679999999998</v>
      </c>
      <c r="K42" s="678">
        <f>K40+K33</f>
        <v>3021.2579999999998</v>
      </c>
      <c r="L42" s="678">
        <f>L40+L33</f>
        <v>2931.7669999999998</v>
      </c>
      <c r="M42" s="679">
        <f>M40+M33</f>
        <v>2931.7669999999998</v>
      </c>
      <c r="N42" s="680"/>
      <c r="O42" s="677">
        <f>O40+O33</f>
        <v>2858.4930000000004</v>
      </c>
      <c r="P42" s="678">
        <f>P40+P33</f>
        <v>2945.873</v>
      </c>
      <c r="Q42" s="678">
        <f>Q40+Q33</f>
        <v>3058.7860000000001</v>
      </c>
      <c r="R42" s="678">
        <f>R40+R33</f>
        <v>3059.04</v>
      </c>
      <c r="S42" s="679">
        <f>S40+S33</f>
        <v>3059.04</v>
      </c>
      <c r="T42" s="680"/>
      <c r="U42" s="677">
        <f>U40+U33</f>
        <v>3027.0239999999999</v>
      </c>
      <c r="V42" s="678">
        <f>V40+V33</f>
        <v>3146.0389999999998</v>
      </c>
      <c r="W42" s="678">
        <f>W40+W33</f>
        <v>3248.0110000000004</v>
      </c>
      <c r="X42" s="678">
        <f>X40+X33</f>
        <v>3209.373</v>
      </c>
      <c r="Y42" s="679">
        <f>Y40+Y33</f>
        <v>3209.373</v>
      </c>
      <c r="Z42" s="680"/>
      <c r="AA42" s="677">
        <f>AA40+AA33</f>
        <v>3306.0999999999995</v>
      </c>
      <c r="AB42" s="678">
        <f>AB40+AB33</f>
        <v>3595.8589999999999</v>
      </c>
      <c r="AC42" s="678">
        <f>AC40+AC33</f>
        <v>3401.9380000000001</v>
      </c>
      <c r="AD42" s="678">
        <f>AD40+AD33</f>
        <v>3834.1980000000003</v>
      </c>
      <c r="AE42" s="679">
        <f>AE40+AE33</f>
        <v>3834.1980000000003</v>
      </c>
      <c r="AF42" s="680"/>
      <c r="AG42" s="677">
        <f>AG40+AG33</f>
        <v>3864.2380000000003</v>
      </c>
      <c r="AH42" s="678">
        <f>AH40+AH33</f>
        <v>3800.9369999999999</v>
      </c>
      <c r="AI42" s="678">
        <f>AI40+AI33</f>
        <v>3889.971</v>
      </c>
      <c r="AJ42" s="678">
        <f>AJ40+AJ33</f>
        <v>3901.7619999999997</v>
      </c>
      <c r="AK42" s="679">
        <f>AK40+AK33</f>
        <v>3901.7619999999997</v>
      </c>
      <c r="AL42" s="680"/>
      <c r="AM42" s="677">
        <f>AM40+AM33</f>
        <v>3808.1459999999997</v>
      </c>
      <c r="AN42" s="678">
        <f>AN40+AN33</f>
        <v>3811.2839999999997</v>
      </c>
      <c r="AO42" s="678">
        <f>AO40+AO33</f>
        <v>3851.5259999999998</v>
      </c>
      <c r="AP42" s="678">
        <f>AP40+AP33</f>
        <v>3946.712</v>
      </c>
      <c r="AQ42" s="679">
        <f>AQ40+AQ33</f>
        <v>3946.712</v>
      </c>
      <c r="AR42" s="680"/>
      <c r="AS42" s="677">
        <f>AS40+AS33</f>
        <v>3971.078</v>
      </c>
      <c r="AT42" s="678">
        <f>AT40+AT33</f>
        <v>3936.5680000000002</v>
      </c>
      <c r="AU42" s="678">
        <f>AU40+AU33</f>
        <v>3886.47</v>
      </c>
      <c r="AV42" s="678">
        <f>AV40+AV33</f>
        <v>4134.0749999999998</v>
      </c>
      <c r="AW42" s="679">
        <f>AW40+AW33</f>
        <v>4134.0749999999998</v>
      </c>
      <c r="AX42" s="680"/>
      <c r="AY42" s="677">
        <f>AY40+AY33</f>
        <v>4028.2710000000002</v>
      </c>
      <c r="AZ42" s="678">
        <f>AZ40+AZ33</f>
        <v>4082.7560000000003</v>
      </c>
      <c r="BA42" s="678">
        <f>BA40+BA33</f>
        <v>4031.6669999999999</v>
      </c>
      <c r="BB42" s="678">
        <f>BB40+BB33</f>
        <v>4166.2950000000001</v>
      </c>
      <c r="BC42" s="679">
        <f>BC40+BC33</f>
        <v>4166.2950000000001</v>
      </c>
      <c r="BD42" s="680"/>
      <c r="BE42" s="677">
        <f>BE40+BE33</f>
        <v>4210.7209999999995</v>
      </c>
      <c r="BF42" s="678">
        <f>BF40+BF33</f>
        <v>4193.9960000000001</v>
      </c>
      <c r="BG42" s="678">
        <f>BG40+BG33</f>
        <v>4304.5560000000005</v>
      </c>
      <c r="BH42" s="678">
        <f>BH40+BH33</f>
        <v>4276.683</v>
      </c>
      <c r="BI42" s="679">
        <f>BI40+BI33</f>
        <v>4276.683</v>
      </c>
      <c r="BJ42" s="680"/>
      <c r="BK42" s="677">
        <f>BK40+BK33</f>
        <v>4340.5010000000002</v>
      </c>
      <c r="BL42" s="678">
        <f>BL40+BL33</f>
        <v>4605.1039999999994</v>
      </c>
      <c r="BM42" s="678">
        <f>BM40+BM33</f>
        <v>4738.9549999999999</v>
      </c>
      <c r="BN42" s="678">
        <f>BN40+BN33</f>
        <v>6091.4629999999997</v>
      </c>
      <c r="BO42" s="679">
        <f>BO40+BO33</f>
        <v>6091.4629999999997</v>
      </c>
      <c r="BP42" s="680"/>
      <c r="BQ42" s="677">
        <f>BQ40+BQ33</f>
        <v>5991.7948896714915</v>
      </c>
      <c r="BR42" s="678">
        <f>BR40+BR33</f>
        <v>6219.9667482394852</v>
      </c>
      <c r="BS42" s="678">
        <f>BS40+BS33</f>
        <v>6257.2159203796855</v>
      </c>
      <c r="BT42" s="678">
        <f>BT40+BT33</f>
        <v>6353.8071774794789</v>
      </c>
      <c r="BU42" s="679">
        <f>BU40+BU33</f>
        <v>6353.8071774794789</v>
      </c>
      <c r="BV42" s="669"/>
      <c r="BW42" s="677">
        <f>BW40+BW33</f>
        <v>6126.4511475186791</v>
      </c>
      <c r="BX42" s="678">
        <f>BX40+BX33</f>
        <v>6141.2555878149142</v>
      </c>
      <c r="BY42" s="678">
        <f>BY40+BY33</f>
        <v>6136.2712479216962</v>
      </c>
      <c r="BZ42" s="678">
        <f>BZ40+BZ33</f>
        <v>6391.8455116995156</v>
      </c>
      <c r="CA42" s="679">
        <f>CA40+CA33</f>
        <v>6391.8455116995156</v>
      </c>
      <c r="CB42" s="669"/>
      <c r="CC42" s="677">
        <f>CC40+CC33</f>
        <v>6272.2526394739507</v>
      </c>
      <c r="CD42" s="678">
        <f>CD40+CD33</f>
        <v>6423.3590854054983</v>
      </c>
      <c r="CE42" s="678">
        <f>CE40+CE33</f>
        <v>6553.9759335033095</v>
      </c>
      <c r="CF42" s="678">
        <f>CF40+CF33</f>
        <v>6747.3177763094527</v>
      </c>
      <c r="CG42" s="679">
        <f>CG40+CG33</f>
        <v>6747.3177763094527</v>
      </c>
      <c r="CH42" s="669"/>
      <c r="CI42" s="677">
        <f>CI40+CI33</f>
        <v>6549.5850068608306</v>
      </c>
      <c r="CJ42" s="678">
        <f>CJ40+CJ33</f>
        <v>6631.135705046383</v>
      </c>
      <c r="CK42" s="678">
        <f>CK40+CK33</f>
        <v>6692.9633414022601</v>
      </c>
      <c r="CL42" s="678">
        <f>CL40+CL33</f>
        <v>6848.1326952154923</v>
      </c>
      <c r="CM42" s="679">
        <f>CM40+CM33</f>
        <v>6848.1326952154923</v>
      </c>
      <c r="CN42" s="94"/>
      <c r="CO42" s="94"/>
      <c r="CP42" s="94"/>
      <c r="CQ42" s="94"/>
    </row>
    <row r="43" spans="1:101" s="866" customFormat="1" ht="12.75" hidden="1" customHeight="1" outlineLevel="1">
      <c r="A43" s="1691" t="s">
        <v>251</v>
      </c>
      <c r="B43" s="1601"/>
      <c r="C43" s="1602">
        <f>C22-C42</f>
        <v>0</v>
      </c>
      <c r="D43" s="1602">
        <f>D22-D42</f>
        <v>0</v>
      </c>
      <c r="E43" s="1602">
        <f>E22-E42</f>
        <v>0</v>
      </c>
      <c r="F43" s="1602">
        <f>F22-F42</f>
        <v>0</v>
      </c>
      <c r="G43" s="1602">
        <f>G22-G42</f>
        <v>0</v>
      </c>
      <c r="H43" s="1603"/>
      <c r="I43" s="1602">
        <f>I22-I42</f>
        <v>0</v>
      </c>
      <c r="J43" s="1602">
        <f>J22-J42</f>
        <v>0</v>
      </c>
      <c r="K43" s="1602">
        <f>K22-K42</f>
        <v>0</v>
      </c>
      <c r="L43" s="1602">
        <f>L22-L42</f>
        <v>0</v>
      </c>
      <c r="M43" s="1602">
        <f>M22-M42</f>
        <v>0</v>
      </c>
      <c r="N43" s="1603"/>
      <c r="O43" s="1602">
        <f>O22-O42</f>
        <v>0</v>
      </c>
      <c r="P43" s="1602">
        <f>P22-P42</f>
        <v>0</v>
      </c>
      <c r="Q43" s="1602">
        <f>Q22-Q42</f>
        <v>0</v>
      </c>
      <c r="R43" s="1602">
        <f>R22-R42</f>
        <v>0</v>
      </c>
      <c r="S43" s="1602">
        <f>S22-S42</f>
        <v>0</v>
      </c>
      <c r="T43" s="1603"/>
      <c r="U43" s="1602">
        <f>U22-U42</f>
        <v>0</v>
      </c>
      <c r="V43" s="1602">
        <f>V22-V42</f>
        <v>0</v>
      </c>
      <c r="W43" s="1602">
        <f>W22-W42</f>
        <v>0</v>
      </c>
      <c r="X43" s="1602">
        <f>X22-X42</f>
        <v>0</v>
      </c>
      <c r="Y43" s="1602">
        <f>Y22-Y42</f>
        <v>0</v>
      </c>
      <c r="Z43" s="1603"/>
      <c r="AA43" s="1602">
        <f>AA22-AA42</f>
        <v>0</v>
      </c>
      <c r="AB43" s="1602">
        <f>AB22-AB42</f>
        <v>0</v>
      </c>
      <c r="AC43" s="1602">
        <f>AC22-AC42</f>
        <v>0</v>
      </c>
      <c r="AD43" s="1602">
        <f>AD22-AD42</f>
        <v>0</v>
      </c>
      <c r="AE43" s="1602">
        <f>AE22-AE42</f>
        <v>0</v>
      </c>
      <c r="AF43" s="1603"/>
      <c r="AG43" s="1602">
        <f>AG22-AG42</f>
        <v>0</v>
      </c>
      <c r="AH43" s="1602">
        <f>AH22-AH42</f>
        <v>0</v>
      </c>
      <c r="AI43" s="1602">
        <f>AI22-AI42</f>
        <v>0</v>
      </c>
      <c r="AJ43" s="1602">
        <f>AJ22-AJ42</f>
        <v>0</v>
      </c>
      <c r="AK43" s="1602">
        <f>AK22-AK42</f>
        <v>0</v>
      </c>
      <c r="AL43" s="1603"/>
      <c r="AM43" s="1604">
        <f>AM22-AM42</f>
        <v>0</v>
      </c>
      <c r="AN43" s="1602">
        <f>AN22-AN42</f>
        <v>0</v>
      </c>
      <c r="AO43" s="1602">
        <f>AO22-AO42</f>
        <v>0</v>
      </c>
      <c r="AP43" s="1602">
        <f>AP22-AP42</f>
        <v>0</v>
      </c>
      <c r="AQ43" s="1602">
        <f>AQ22-AQ42</f>
        <v>0</v>
      </c>
      <c r="AR43" s="1603"/>
      <c r="AS43" s="1604">
        <f>AS22-AS42</f>
        <v>0</v>
      </c>
      <c r="AT43" s="1602">
        <f>AT22-AT42</f>
        <v>0</v>
      </c>
      <c r="AU43" s="1602">
        <f>AU22-AU42</f>
        <v>0</v>
      </c>
      <c r="AV43" s="1605">
        <f>AV22-AV42</f>
        <v>0</v>
      </c>
      <c r="AW43" s="1602">
        <f>AW22-AW42</f>
        <v>0</v>
      </c>
      <c r="AX43" s="1603"/>
      <c r="AY43" s="1602">
        <f>AY22-AY42</f>
        <v>0</v>
      </c>
      <c r="AZ43" s="1602">
        <f>AZ22-AZ42</f>
        <v>0</v>
      </c>
      <c r="BA43" s="1605">
        <f>BA22-BA42</f>
        <v>0</v>
      </c>
      <c r="BB43" s="1602">
        <f>BB22-BB42</f>
        <v>0</v>
      </c>
      <c r="BC43" s="1602">
        <f>BC22-BC42</f>
        <v>0</v>
      </c>
      <c r="BD43" s="1603"/>
      <c r="BE43" s="1602">
        <f>BE22-BE42</f>
        <v>0</v>
      </c>
      <c r="BF43" s="1602">
        <f>BF22-BF42</f>
        <v>0</v>
      </c>
      <c r="BG43" s="1602">
        <f>BG22-BG42</f>
        <v>0</v>
      </c>
      <c r="BH43" s="1602">
        <f>BH22-BH42</f>
        <v>0</v>
      </c>
      <c r="BI43" s="1602">
        <f>BI22-BI42</f>
        <v>0</v>
      </c>
      <c r="BJ43" s="1603"/>
      <c r="BK43" s="1602">
        <f>BK22-BK42</f>
        <v>0</v>
      </c>
      <c r="BL43" s="1602">
        <f>BL22-BL42</f>
        <v>0</v>
      </c>
      <c r="BM43" s="1602">
        <f>BM22-BM42</f>
        <v>0</v>
      </c>
      <c r="BN43" s="1602">
        <f>BN22-BN42</f>
        <v>0</v>
      </c>
      <c r="BO43" s="1602">
        <f>BO22-BO42</f>
        <v>0</v>
      </c>
      <c r="BP43" s="1603"/>
      <c r="BQ43" s="1934">
        <f>BQ22-BQ42</f>
        <v>0</v>
      </c>
      <c r="BR43" s="1602">
        <f>BR22-BR42</f>
        <v>0</v>
      </c>
      <c r="BS43" s="1602">
        <f>BS22-BS42</f>
        <v>0</v>
      </c>
      <c r="BT43" s="1602">
        <f>BT22-BT42</f>
        <v>0</v>
      </c>
      <c r="BU43" s="1602">
        <f>BU22-BU42</f>
        <v>0</v>
      </c>
      <c r="BV43" s="1788"/>
      <c r="BW43" s="1602">
        <f>BW22-BW42</f>
        <v>0</v>
      </c>
      <c r="BX43" s="1602">
        <f>BX22-BX42</f>
        <v>0</v>
      </c>
      <c r="BY43" s="1602">
        <f>BY22-BY42</f>
        <v>0</v>
      </c>
      <c r="BZ43" s="1602">
        <f>BZ22-BZ42</f>
        <v>0</v>
      </c>
      <c r="CA43" s="1602">
        <f>CA22-CA42</f>
        <v>0</v>
      </c>
      <c r="CB43" s="1788"/>
      <c r="CC43" s="1602">
        <f>CC22-CC42</f>
        <v>0</v>
      </c>
      <c r="CD43" s="1602">
        <f>CD22-CD42</f>
        <v>0</v>
      </c>
      <c r="CE43" s="1602">
        <f>CE22-CE42</f>
        <v>0</v>
      </c>
      <c r="CF43" s="1602">
        <f>CF22-CF42</f>
        <v>0</v>
      </c>
      <c r="CG43" s="1602">
        <f>CG22-CG42</f>
        <v>0</v>
      </c>
      <c r="CH43" s="1788"/>
      <c r="CI43" s="1602">
        <f>CI22-CI42</f>
        <v>0</v>
      </c>
      <c r="CJ43" s="1602">
        <f>CJ22-CJ42</f>
        <v>0</v>
      </c>
      <c r="CK43" s="1602">
        <f>CK22-CK42</f>
        <v>0</v>
      </c>
      <c r="CL43" s="1602">
        <f>CL22-CL42</f>
        <v>0</v>
      </c>
      <c r="CM43" s="1602">
        <f>CM22-CM42</f>
        <v>0</v>
      </c>
      <c r="CN43" s="754"/>
      <c r="CO43" s="754"/>
      <c r="CP43" s="754"/>
      <c r="CQ43" s="754"/>
      <c r="CR43"/>
      <c r="CS43"/>
      <c r="CT43"/>
      <c r="CU43"/>
      <c r="CV43"/>
      <c r="CW43"/>
    </row>
    <row r="44" spans="1:101" collapsed="1">
      <c r="A44" s="98"/>
      <c r="B44" s="98"/>
      <c r="C44" s="98"/>
      <c r="D44" s="98"/>
      <c r="E44" s="98"/>
      <c r="F44" s="98"/>
      <c r="G44" s="98"/>
      <c r="H44" s="98"/>
      <c r="I44" s="98"/>
      <c r="J44" s="98"/>
      <c r="K44" s="98"/>
      <c r="L44" s="98"/>
      <c r="M44" s="98"/>
      <c r="N44" s="98"/>
      <c r="O44" s="98"/>
      <c r="P44" s="98"/>
      <c r="Q44" s="98"/>
      <c r="R44" s="98"/>
      <c r="S44" s="129"/>
      <c r="T44" s="98"/>
      <c r="U44" s="129"/>
      <c r="V44" s="129"/>
      <c r="W44" s="129"/>
      <c r="X44" s="129"/>
      <c r="Y44" s="128"/>
      <c r="Z44" s="98"/>
      <c r="AA44" s="129"/>
      <c r="AB44" s="129"/>
      <c r="AC44" s="129"/>
      <c r="AD44" s="129"/>
      <c r="AE44" s="128"/>
      <c r="AF44" s="98"/>
      <c r="AG44" s="129"/>
      <c r="AH44" s="129"/>
      <c r="AI44" s="129"/>
      <c r="AJ44" s="129"/>
      <c r="AK44" s="162"/>
      <c r="AL44" s="98"/>
      <c r="AM44" s="835"/>
      <c r="AN44" s="129"/>
      <c r="AO44" s="129"/>
      <c r="AP44" s="129"/>
      <c r="AQ44" s="162"/>
      <c r="AR44" s="98"/>
      <c r="AS44" s="129"/>
      <c r="AT44" s="129"/>
      <c r="AU44" s="129"/>
      <c r="AV44" s="129"/>
      <c r="AW44" s="162"/>
      <c r="AX44" s="98"/>
      <c r="AY44" s="129"/>
      <c r="AZ44" s="129"/>
      <c r="BA44" s="129"/>
      <c r="BB44" s="129"/>
      <c r="BC44" s="162"/>
      <c r="BD44" s="98"/>
      <c r="BE44" s="129"/>
      <c r="BF44" s="129"/>
      <c r="BG44" s="129"/>
      <c r="BH44" s="129"/>
      <c r="BI44" s="162"/>
      <c r="BJ44" s="98"/>
      <c r="BK44" s="129"/>
      <c r="BL44" s="129"/>
      <c r="BM44" s="129"/>
      <c r="BN44" s="129"/>
      <c r="BO44" s="2365"/>
      <c r="BP44" s="98"/>
      <c r="BQ44" s="129"/>
      <c r="BR44" s="129"/>
      <c r="BS44" s="129"/>
      <c r="BT44" s="129"/>
      <c r="BU44" s="162"/>
      <c r="BV44" s="162"/>
      <c r="BW44" s="129"/>
      <c r="BX44" s="129"/>
      <c r="BY44" s="129"/>
      <c r="BZ44" s="129"/>
      <c r="CA44" s="162"/>
      <c r="CB44" s="162"/>
      <c r="CC44" s="129"/>
      <c r="CD44" s="129"/>
      <c r="CE44" s="129"/>
      <c r="CF44" s="129"/>
      <c r="CG44" s="162"/>
      <c r="CH44" s="162"/>
      <c r="CI44" s="129"/>
      <c r="CJ44" s="129"/>
      <c r="CK44" s="129"/>
      <c r="CL44" s="129"/>
      <c r="CM44" s="162"/>
      <c r="CN44" s="94"/>
      <c r="CO44" s="94"/>
      <c r="CP44" s="94"/>
      <c r="CQ44" s="94"/>
    </row>
    <row r="45" spans="1:101" ht="12.75" hidden="1" customHeight="1" outlineLevel="1">
      <c r="A45" s="158" t="s">
        <v>252</v>
      </c>
      <c r="B45" s="146"/>
      <c r="C45" s="146"/>
      <c r="D45" s="146"/>
      <c r="E45" s="146"/>
      <c r="F45" s="146"/>
      <c r="G45" s="147"/>
      <c r="H45" s="157"/>
      <c r="I45" s="146"/>
      <c r="J45" s="146"/>
      <c r="K45" s="146"/>
      <c r="L45" s="146"/>
      <c r="M45" s="147"/>
      <c r="N45" s="157"/>
      <c r="O45" s="146"/>
      <c r="P45" s="146"/>
      <c r="Q45" s="146"/>
      <c r="R45" s="146"/>
      <c r="S45" s="155"/>
      <c r="T45" s="157"/>
      <c r="U45" s="151"/>
      <c r="V45" s="151"/>
      <c r="W45" s="151"/>
      <c r="X45" s="151"/>
      <c r="Y45" s="154"/>
      <c r="Z45" s="157"/>
      <c r="AA45" s="151"/>
      <c r="AB45" s="151"/>
      <c r="AC45" s="151"/>
      <c r="AD45" s="151"/>
      <c r="AE45" s="154"/>
      <c r="AF45" s="157"/>
      <c r="AG45" s="151"/>
      <c r="AH45" s="151"/>
      <c r="AI45" s="151"/>
      <c r="AJ45" s="151"/>
      <c r="AK45" s="153"/>
      <c r="AL45" s="157"/>
      <c r="AM45" s="151"/>
      <c r="AN45" s="151"/>
      <c r="AO45" s="151"/>
      <c r="AP45" s="151"/>
      <c r="AQ45" s="153"/>
      <c r="AR45" s="157"/>
      <c r="AS45" s="151"/>
      <c r="AT45" s="151"/>
      <c r="AU45" s="151"/>
      <c r="AV45" s="151"/>
      <c r="AW45" s="153"/>
      <c r="AX45" s="157"/>
      <c r="AY45" s="151"/>
      <c r="AZ45" s="151"/>
      <c r="BA45" s="151"/>
      <c r="BB45" s="151"/>
      <c r="BC45" s="153"/>
      <c r="BD45" s="157"/>
      <c r="BE45" s="151"/>
      <c r="BF45" s="151"/>
      <c r="BG45" s="151"/>
      <c r="BH45" s="151"/>
      <c r="BI45" s="153"/>
      <c r="BJ45" s="157"/>
      <c r="BK45" s="151"/>
      <c r="BL45" s="151"/>
      <c r="BM45" s="151"/>
      <c r="BN45" s="151"/>
      <c r="BO45" s="153"/>
      <c r="BP45" s="157"/>
      <c r="BQ45" s="151"/>
      <c r="BR45" s="151"/>
      <c r="BS45" s="151"/>
      <c r="BT45" s="151"/>
      <c r="BU45" s="153"/>
      <c r="BV45" s="1789"/>
      <c r="BW45" s="151"/>
      <c r="BX45" s="151"/>
      <c r="BY45" s="151"/>
      <c r="BZ45" s="151"/>
      <c r="CA45" s="153"/>
      <c r="CB45" s="1789"/>
      <c r="CC45" s="151"/>
      <c r="CD45" s="151"/>
      <c r="CE45" s="151"/>
      <c r="CF45" s="151"/>
      <c r="CG45" s="153"/>
      <c r="CH45" s="1789"/>
      <c r="CI45" s="151"/>
      <c r="CJ45" s="151"/>
      <c r="CK45" s="151"/>
      <c r="CL45" s="151"/>
      <c r="CM45" s="153"/>
      <c r="CN45" s="94"/>
      <c r="CO45" s="94"/>
      <c r="CP45" s="94"/>
      <c r="CQ45" s="94"/>
    </row>
    <row r="46" spans="1:101" ht="12.75" hidden="1" customHeight="1" outlineLevel="1">
      <c r="A46" s="194" t="s">
        <v>253</v>
      </c>
      <c r="B46" s="139"/>
      <c r="C46" s="683">
        <f>C30+C24</f>
        <v>179.74600000000001</v>
      </c>
      <c r="D46" s="683">
        <f>D30+D24</f>
        <v>235.40199999999999</v>
      </c>
      <c r="E46" s="683">
        <f>E30+E24</f>
        <v>247.03</v>
      </c>
      <c r="F46" s="683">
        <f>F30+F24</f>
        <v>516.64</v>
      </c>
      <c r="G46" s="684">
        <f>G30+G24</f>
        <v>516.64</v>
      </c>
      <c r="H46" s="652"/>
      <c r="I46" s="683">
        <f>I30+I24</f>
        <v>566.61699999999996</v>
      </c>
      <c r="J46" s="683">
        <f>J30+J24</f>
        <v>521.10199999999998</v>
      </c>
      <c r="K46" s="683">
        <f>K30+K24</f>
        <v>544.08999999999992</v>
      </c>
      <c r="L46" s="683">
        <f>L30+L24</f>
        <v>509.08000000000004</v>
      </c>
      <c r="M46" s="684">
        <f>M30+M24</f>
        <v>509.08000000000004</v>
      </c>
      <c r="N46" s="652"/>
      <c r="O46" s="683">
        <f t="shared" ref="O46:AW46" si="42">O30+O24</f>
        <v>544.06999999999994</v>
      </c>
      <c r="P46" s="683">
        <f t="shared" si="42"/>
        <v>524</v>
      </c>
      <c r="Q46" s="683">
        <f t="shared" si="42"/>
        <v>576.88</v>
      </c>
      <c r="R46" s="683">
        <f t="shared" si="42"/>
        <v>558.34299999999996</v>
      </c>
      <c r="S46" s="684">
        <f t="shared" si="42"/>
        <v>558.34299999999996</v>
      </c>
      <c r="T46" s="652"/>
      <c r="U46" s="683">
        <f t="shared" si="42"/>
        <v>528.30799999999999</v>
      </c>
      <c r="V46" s="683">
        <f t="shared" si="42"/>
        <v>620.28500000000008</v>
      </c>
      <c r="W46" s="683">
        <f t="shared" si="42"/>
        <v>670.28099999999995</v>
      </c>
      <c r="X46" s="683">
        <f t="shared" si="42"/>
        <v>426.255</v>
      </c>
      <c r="Y46" s="684">
        <f t="shared" si="42"/>
        <v>426.255</v>
      </c>
      <c r="Z46" s="652"/>
      <c r="AA46" s="683">
        <f t="shared" si="42"/>
        <v>516.25</v>
      </c>
      <c r="AB46" s="683">
        <f t="shared" si="42"/>
        <v>671</v>
      </c>
      <c r="AC46" s="683">
        <f t="shared" si="42"/>
        <v>508</v>
      </c>
      <c r="AD46" s="683">
        <f>AD30+AD24</f>
        <v>944.90800000000002</v>
      </c>
      <c r="AE46" s="684">
        <f t="shared" si="42"/>
        <v>944.90800000000002</v>
      </c>
      <c r="AF46" s="652"/>
      <c r="AG46" s="683">
        <f>AG30+AG24</f>
        <v>933.971</v>
      </c>
      <c r="AH46" s="683">
        <f>AH30+AH24</f>
        <v>911.04300000000001</v>
      </c>
      <c r="AI46" s="683">
        <f>AI30+AI24</f>
        <v>932.33</v>
      </c>
      <c r="AJ46" s="683">
        <f>AJ30+AJ24</f>
        <v>940.596</v>
      </c>
      <c r="AK46" s="684">
        <f t="shared" si="42"/>
        <v>940.596</v>
      </c>
      <c r="AL46" s="652"/>
      <c r="AM46" s="683">
        <f t="shared" si="42"/>
        <v>1026.646</v>
      </c>
      <c r="AN46" s="683">
        <f t="shared" si="42"/>
        <v>1004.073</v>
      </c>
      <c r="AO46" s="683">
        <f t="shared" si="42"/>
        <v>935.91399999999999</v>
      </c>
      <c r="AP46" s="683">
        <f>AP30+AP24</f>
        <v>934.72800000000007</v>
      </c>
      <c r="AQ46" s="684">
        <f>AQ30+AQ24</f>
        <v>934.72800000000007</v>
      </c>
      <c r="AR46" s="652"/>
      <c r="AS46" s="683">
        <f t="shared" si="42"/>
        <v>929.52300000000002</v>
      </c>
      <c r="AT46" s="683">
        <f>AT30+AT24</f>
        <v>895.33300000000008</v>
      </c>
      <c r="AU46" s="683">
        <f t="shared" si="42"/>
        <v>859.73500000000001</v>
      </c>
      <c r="AV46" s="683">
        <f t="shared" si="42"/>
        <v>1052.9670000000001</v>
      </c>
      <c r="AW46" s="684">
        <f t="shared" si="42"/>
        <v>1052.9670000000001</v>
      </c>
      <c r="AX46" s="652"/>
      <c r="AY46" s="683">
        <f>AY30+AY24</f>
        <v>1015.749</v>
      </c>
      <c r="AZ46" s="683">
        <f>AZ30+AZ24</f>
        <v>988.42600000000004</v>
      </c>
      <c r="BA46" s="683">
        <f>BA30+BA24</f>
        <v>1028.376</v>
      </c>
      <c r="BB46" s="683">
        <f>BB30+BB24</f>
        <v>1012.885</v>
      </c>
      <c r="BC46" s="684">
        <f>BC30+BC24</f>
        <v>1012.885</v>
      </c>
      <c r="BD46" s="652"/>
      <c r="BE46" s="683">
        <f>BE30+BE24</f>
        <v>1120.9649999999999</v>
      </c>
      <c r="BF46" s="683">
        <f>BF30+BF24</f>
        <v>1058.0809999999999</v>
      </c>
      <c r="BG46" s="683">
        <f>BG30+BG24</f>
        <v>1133.085</v>
      </c>
      <c r="BH46" s="683">
        <f>BH30+BH24</f>
        <v>1046.4259999999999</v>
      </c>
      <c r="BI46" s="684">
        <f>BI30+BI24</f>
        <v>1046.4259999999999</v>
      </c>
      <c r="BJ46" s="652"/>
      <c r="BK46" s="683">
        <f>BK30+BK24</f>
        <v>1054.8639999999998</v>
      </c>
      <c r="BL46" s="683">
        <f>BL30+BL24</f>
        <v>1091.6199999999999</v>
      </c>
      <c r="BM46" s="683">
        <f>BM30+BM24</f>
        <v>1110.5630000000001</v>
      </c>
      <c r="BN46" s="683">
        <f>BN30+BN24</f>
        <v>2006.1090000000002</v>
      </c>
      <c r="BO46" s="684">
        <f>BO30+BO24</f>
        <v>2006.1090000000002</v>
      </c>
      <c r="BP46" s="652"/>
      <c r="BQ46" s="683">
        <f>BQ30+BQ24</f>
        <v>1931.1089999999999</v>
      </c>
      <c r="BR46" s="683">
        <f>BR30+BR24</f>
        <v>2049.509</v>
      </c>
      <c r="BS46" s="683">
        <f>BS30+BS24</f>
        <v>1999.509</v>
      </c>
      <c r="BT46" s="683">
        <f>BT30+BT24</f>
        <v>1849.509</v>
      </c>
      <c r="BU46" s="684">
        <f>BU30+BU24</f>
        <v>1849.509</v>
      </c>
      <c r="BV46" s="683"/>
      <c r="BW46" s="683">
        <f>BW30+BW24</f>
        <v>1749.509</v>
      </c>
      <c r="BX46" s="683">
        <f>BX30+BX24</f>
        <v>1649.509</v>
      </c>
      <c r="BY46" s="683">
        <f>BY30+BY24</f>
        <v>1549.509</v>
      </c>
      <c r="BZ46" s="683">
        <f>BZ30+BZ24</f>
        <v>1549.509</v>
      </c>
      <c r="CA46" s="684">
        <f>CA30+CA24</f>
        <v>1549.509</v>
      </c>
      <c r="CB46" s="683"/>
      <c r="CC46" s="683">
        <f>CC30+CC24</f>
        <v>1549.509</v>
      </c>
      <c r="CD46" s="683">
        <f>CD30+CD24</f>
        <v>1549.509</v>
      </c>
      <c r="CE46" s="683">
        <f>CE30+CE24</f>
        <v>1549.509</v>
      </c>
      <c r="CF46" s="683">
        <f>CF30+CF24</f>
        <v>1449.509</v>
      </c>
      <c r="CG46" s="684">
        <f>CG30+CG24</f>
        <v>1449.509</v>
      </c>
      <c r="CH46" s="683"/>
      <c r="CI46" s="683">
        <f>CI30+CI24</f>
        <v>1349.509</v>
      </c>
      <c r="CJ46" s="683">
        <f>CJ30+CJ24</f>
        <v>1249.509</v>
      </c>
      <c r="CK46" s="683">
        <f>CK30+CK24</f>
        <v>1149.509</v>
      </c>
      <c r="CL46" s="683">
        <f>CL30+CL24</f>
        <v>987.70900000000006</v>
      </c>
      <c r="CM46" s="684">
        <f>CM30+CM24</f>
        <v>987.70900000000006</v>
      </c>
      <c r="CN46" s="94"/>
      <c r="CO46" s="94"/>
      <c r="CP46" s="94"/>
      <c r="CQ46" s="94"/>
    </row>
    <row r="47" spans="1:101" ht="12.75" hidden="1" customHeight="1" outlineLevel="1">
      <c r="A47" s="194" t="s">
        <v>254</v>
      </c>
      <c r="B47" s="139"/>
      <c r="C47" s="683">
        <f>C46-C10</f>
        <v>60.184000000000026</v>
      </c>
      <c r="D47" s="683">
        <f>D46-D10</f>
        <v>85.362000000000023</v>
      </c>
      <c r="E47" s="683">
        <f>E46-E10</f>
        <v>86.129000000000076</v>
      </c>
      <c r="F47" s="683">
        <f>F46-F10</f>
        <v>313.29200000000003</v>
      </c>
      <c r="G47" s="684">
        <f>G46-G10</f>
        <v>313.29199999999997</v>
      </c>
      <c r="H47" s="652"/>
      <c r="I47" s="683">
        <f>I46-I10</f>
        <v>381.35499999999996</v>
      </c>
      <c r="J47" s="683">
        <f>J46-J10</f>
        <v>327.65100000000001</v>
      </c>
      <c r="K47" s="683">
        <f>K46-K10</f>
        <v>355.28199999999993</v>
      </c>
      <c r="L47" s="683">
        <f>L46-L10</f>
        <v>329.97</v>
      </c>
      <c r="M47" s="684">
        <f>M46-M10</f>
        <v>329.97</v>
      </c>
      <c r="N47" s="652"/>
      <c r="O47" s="683">
        <f>O46-O10</f>
        <v>382.02099999999996</v>
      </c>
      <c r="P47" s="683">
        <f>P46-P10</f>
        <v>372.661</v>
      </c>
      <c r="Q47" s="683">
        <f>Q46-Q10</f>
        <v>426.29400000000004</v>
      </c>
      <c r="R47" s="683">
        <f>R46-R10</f>
        <v>378.63599999999997</v>
      </c>
      <c r="S47" s="684">
        <f>S46-S10</f>
        <v>378.63599999999991</v>
      </c>
      <c r="T47" s="652"/>
      <c r="U47" s="683">
        <f>U46-U10</f>
        <v>346.56399999999996</v>
      </c>
      <c r="V47" s="683">
        <f>V46-V10</f>
        <v>404.62100000000004</v>
      </c>
      <c r="W47" s="683">
        <f>W46-W10</f>
        <v>419.29299999999989</v>
      </c>
      <c r="X47" s="683">
        <f>X46-X10</f>
        <v>6.1689999999999827</v>
      </c>
      <c r="Y47" s="684">
        <f>Y46-Y10</f>
        <v>6.1689999999999827</v>
      </c>
      <c r="Z47" s="652"/>
      <c r="AA47" s="683">
        <f>AA46-AA10</f>
        <v>100.40199999999999</v>
      </c>
      <c r="AB47" s="683">
        <f>AB46-AB10</f>
        <v>275.79199999999997</v>
      </c>
      <c r="AC47" s="683">
        <f>AC46-AC10</f>
        <v>259.89800000000002</v>
      </c>
      <c r="AD47" s="683">
        <f>AD46-AD10</f>
        <v>802.56600000000003</v>
      </c>
      <c r="AE47" s="684">
        <f>AE46-AE10</f>
        <v>802.56600000000003</v>
      </c>
      <c r="AF47" s="652"/>
      <c r="AG47" s="683">
        <f>AG46-AG10</f>
        <v>789.21399999999994</v>
      </c>
      <c r="AH47" s="683">
        <f>AH46-AH10</f>
        <v>739.64</v>
      </c>
      <c r="AI47" s="683">
        <f>AI46-AI10</f>
        <v>761.50200000000007</v>
      </c>
      <c r="AJ47" s="683">
        <f>AJ46-AJ10</f>
        <v>769.15200000000004</v>
      </c>
      <c r="AK47" s="684">
        <f>AK46-AK10</f>
        <v>769.15200000000004</v>
      </c>
      <c r="AL47" s="652"/>
      <c r="AM47" s="683">
        <f>AM46-AM10</f>
        <v>900.77499999999998</v>
      </c>
      <c r="AN47" s="683">
        <f>AN46-AN10</f>
        <v>891.60299999999995</v>
      </c>
      <c r="AO47" s="683">
        <f>AO46-AO10</f>
        <v>803.61099999999999</v>
      </c>
      <c r="AP47" s="683">
        <f>AP46-AP10</f>
        <v>761.4860000000001</v>
      </c>
      <c r="AQ47" s="684">
        <f>AQ46-AQ10</f>
        <v>761.4860000000001</v>
      </c>
      <c r="AR47" s="652"/>
      <c r="AS47" s="683">
        <f>AS46-AS10</f>
        <v>705.41000000000008</v>
      </c>
      <c r="AT47" s="683">
        <f>AT46-AT10</f>
        <v>690.07500000000005</v>
      </c>
      <c r="AU47" s="683">
        <f>AU46-AU10</f>
        <v>656.05200000000002</v>
      </c>
      <c r="AV47" s="683">
        <f>AV46-AV10</f>
        <v>878.14600000000007</v>
      </c>
      <c r="AW47" s="684">
        <f>AW46-AW10</f>
        <v>878.14600000000007</v>
      </c>
      <c r="AX47" s="652"/>
      <c r="AY47" s="683">
        <f>AY46-AY10</f>
        <v>846.82500000000005</v>
      </c>
      <c r="AZ47" s="683">
        <f>AZ46-AZ10</f>
        <v>796.25600000000009</v>
      </c>
      <c r="BA47" s="683">
        <f>BA46-BA10</f>
        <v>833.31</v>
      </c>
      <c r="BB47" s="683">
        <f>BB46-BB10</f>
        <v>774.95299999999997</v>
      </c>
      <c r="BC47" s="684">
        <f>BC46-BC10</f>
        <v>774.95300000000009</v>
      </c>
      <c r="BD47" s="652"/>
      <c r="BE47" s="683">
        <f>BE46-BE10</f>
        <v>910.23399999999992</v>
      </c>
      <c r="BF47" s="683">
        <f>BF46-BF10</f>
        <v>809.99799999999993</v>
      </c>
      <c r="BG47" s="683">
        <f>BG46-BG10</f>
        <v>821.42200000000003</v>
      </c>
      <c r="BH47" s="683">
        <f>BH46-BH10</f>
        <v>687.16099999999994</v>
      </c>
      <c r="BI47" s="684">
        <f>BI46-BI10</f>
        <v>687.16099999999983</v>
      </c>
      <c r="BJ47" s="652"/>
      <c r="BK47" s="683">
        <f>BK46-BK10</f>
        <v>766.53499999999985</v>
      </c>
      <c r="BL47" s="683">
        <f>BL46-BL10</f>
        <v>475.3119999999999</v>
      </c>
      <c r="BM47" s="683">
        <f>BM46-BM10</f>
        <v>401.07500000000005</v>
      </c>
      <c r="BN47" s="683">
        <f>BN46-BN10</f>
        <v>1803.9750000000001</v>
      </c>
      <c r="BO47" s="684">
        <f>BO46-BO10</f>
        <v>1803.9750000000001</v>
      </c>
      <c r="BP47" s="652"/>
      <c r="BQ47" s="683">
        <f>BQ46-BQ10</f>
        <v>1675.9045190933693</v>
      </c>
      <c r="BR47" s="683">
        <f>BR46-BR10</f>
        <v>1618.815599415916</v>
      </c>
      <c r="BS47" s="683">
        <f>BS46-BS10</f>
        <v>1514.0011278701077</v>
      </c>
      <c r="BT47" s="683">
        <f>BT46-BT10</f>
        <v>1396.8511512997641</v>
      </c>
      <c r="BU47" s="684">
        <f>BU46-BU10</f>
        <v>1396.8511512997641</v>
      </c>
      <c r="BV47" s="683"/>
      <c r="BW47" s="683">
        <f>BW46-BW10</f>
        <v>1325.0847480040302</v>
      </c>
      <c r="BX47" s="683">
        <f>BX46-BX10</f>
        <v>1272.0447172444069</v>
      </c>
      <c r="BY47" s="683">
        <f>BY46-BY10</f>
        <v>1162.5929350994311</v>
      </c>
      <c r="BZ47" s="683">
        <f>BZ46-BZ10</f>
        <v>1047.1493656339069</v>
      </c>
      <c r="CA47" s="684">
        <f>CA46-CA10</f>
        <v>1047.1493656339067</v>
      </c>
      <c r="CB47" s="683"/>
      <c r="CC47" s="683">
        <f>CC46-CC10</f>
        <v>950.53687175410892</v>
      </c>
      <c r="CD47" s="683">
        <f>CD46-CD10</f>
        <v>869.55882059170904</v>
      </c>
      <c r="CE47" s="683">
        <f>CE46-CE10</f>
        <v>722.19796285922496</v>
      </c>
      <c r="CF47" s="683">
        <f>CF46-CF10</f>
        <v>574.70098259863914</v>
      </c>
      <c r="CG47" s="684">
        <f>CG46-CG10</f>
        <v>574.70098259863914</v>
      </c>
      <c r="CH47" s="683"/>
      <c r="CI47" s="683">
        <f>CI46-CI10</f>
        <v>430.31073044287018</v>
      </c>
      <c r="CJ47" s="683">
        <f>CJ46-CJ10</f>
        <v>324.18141771412991</v>
      </c>
      <c r="CK47" s="683">
        <f>CK46-CK10</f>
        <v>149.72342530864887</v>
      </c>
      <c r="CL47" s="683">
        <f>CL46-CL10</f>
        <v>-12.566092261412336</v>
      </c>
      <c r="CM47" s="684">
        <f>CM46-CM10</f>
        <v>-12.566092261412336</v>
      </c>
      <c r="CN47" s="94"/>
      <c r="CO47" s="94"/>
      <c r="CP47" s="94"/>
      <c r="CQ47" s="94"/>
    </row>
    <row r="48" spans="1:101" ht="12.75" hidden="1" customHeight="1" outlineLevel="1">
      <c r="A48" s="542" t="s">
        <v>255</v>
      </c>
      <c r="B48" s="508"/>
      <c r="C48" s="543">
        <f>C10/IS!C49</f>
        <v>0.96997476939551996</v>
      </c>
      <c r="D48" s="543">
        <f>D10/IS!D49</f>
        <v>1.2431953202031667</v>
      </c>
      <c r="E48" s="543">
        <f>E10/IS!E49</f>
        <v>1.3469816580579803</v>
      </c>
      <c r="F48" s="543">
        <f>F10/IS!F49</f>
        <v>1.7085913540310038</v>
      </c>
      <c r="G48" s="544">
        <f>G10/IS!G49</f>
        <v>1.6860660834957091</v>
      </c>
      <c r="H48" s="545"/>
      <c r="I48" s="543">
        <f>I10/IS!I49</f>
        <v>1.5639335128609899</v>
      </c>
      <c r="J48" s="543">
        <f>J10/IS!J49</f>
        <v>1.6220537803006796</v>
      </c>
      <c r="K48" s="543">
        <f>K10/IS!K49</f>
        <v>1.5785434206456033</v>
      </c>
      <c r="L48" s="543">
        <f>L10/IS!L49</f>
        <v>1.5254179548106321</v>
      </c>
      <c r="M48" s="544">
        <f>M10/IS!M49</f>
        <v>1.5090953516391854</v>
      </c>
      <c r="N48" s="545"/>
      <c r="O48" s="543">
        <f>O10/IS!O49</f>
        <v>1.3903579518154987</v>
      </c>
      <c r="P48" s="543">
        <f>P10/IS!P49</f>
        <v>1.3016393160628892</v>
      </c>
      <c r="Q48" s="543">
        <f>Q10/IS!Q49</f>
        <v>1.2910211675139955</v>
      </c>
      <c r="R48" s="543">
        <f>R10/IS!R49</f>
        <v>1.5372711719418306</v>
      </c>
      <c r="S48" s="544">
        <f>S10/IS!S49</f>
        <v>1.5413586070846561</v>
      </c>
      <c r="T48" s="545"/>
      <c r="U48" s="543">
        <f>U10/IS!U49</f>
        <v>1.5411045441826157</v>
      </c>
      <c r="V48" s="543">
        <f>V10/IS!V49</f>
        <v>1.8229645658642146</v>
      </c>
      <c r="W48" s="543">
        <f>W10/IS!W49</f>
        <v>2.1232921908178031</v>
      </c>
      <c r="X48" s="543">
        <f>X10/IS!X49</f>
        <v>3.575595597810822</v>
      </c>
      <c r="Y48" s="544">
        <f>Y10/IS!Y49</f>
        <v>3.5605939889135634</v>
      </c>
      <c r="Z48" s="545"/>
      <c r="AA48" s="543">
        <f>AA10/IS!AA49</f>
        <v>3.6116727462219909</v>
      </c>
      <c r="AB48" s="543">
        <f>AB10/IS!AB49</f>
        <v>3.4782394409582569</v>
      </c>
      <c r="AC48" s="543">
        <f>AC10/IS!AC49</f>
        <v>2.187366100947763</v>
      </c>
      <c r="AD48" s="543">
        <f>AD10/IS!AD49</f>
        <v>1.2629384155376333</v>
      </c>
      <c r="AE48" s="544">
        <f>AE10/IS!AE49</f>
        <v>1.2501053888849853</v>
      </c>
      <c r="AF48" s="545"/>
      <c r="AG48" s="543">
        <f>AG10/IS!AG49</f>
        <v>1.2684741366468335</v>
      </c>
      <c r="AH48" s="543">
        <f>AH10/IS!AH49</f>
        <v>1.4959503569620693</v>
      </c>
      <c r="AI48" s="543">
        <f>AI10/IS!AI49</f>
        <v>1.4854867041165933</v>
      </c>
      <c r="AJ48" s="543">
        <f>AJ10/IS!AJ49</f>
        <v>1.4981125480601187</v>
      </c>
      <c r="AK48" s="544">
        <f>AK10/IS!AK49</f>
        <v>1.4926345115793138</v>
      </c>
      <c r="AL48" s="545"/>
      <c r="AM48" s="543">
        <f>AM10/IS!AM49</f>
        <v>1.097240140869626</v>
      </c>
      <c r="AN48" s="543">
        <f>AN10/IS!AN49</f>
        <v>0.99779981901737069</v>
      </c>
      <c r="AO48" s="543">
        <f>AO10/IS!AO49</f>
        <v>1.1696326747115768</v>
      </c>
      <c r="AP48" s="543">
        <f>AP10/IS!AP49</f>
        <v>1.5268589760538678</v>
      </c>
      <c r="AQ48" s="544">
        <f>AQ10/IS!AQ49</f>
        <v>1.5263208901967349</v>
      </c>
      <c r="AR48" s="545"/>
      <c r="AS48" s="543">
        <f>AS10/IS!AS49</f>
        <v>1.9697566291957074</v>
      </c>
      <c r="AT48" s="543">
        <f>AT10/IS!AT49</f>
        <v>1.8009669126356704</v>
      </c>
      <c r="AU48" s="543">
        <f>AU10/IS!AU49</f>
        <v>1.7904781160171941</v>
      </c>
      <c r="AV48" s="543">
        <f>AV10/IS!AV49</f>
        <v>1.5409791270009168</v>
      </c>
      <c r="AW48" s="544">
        <f>AW10/IS!AW49</f>
        <v>1.537036548589314</v>
      </c>
      <c r="AX48" s="545"/>
      <c r="AY48" s="543">
        <f>AY10/IS!AY49</f>
        <v>1.489117499272737</v>
      </c>
      <c r="AZ48" s="543">
        <f>AZ10/IS!AZ49</f>
        <v>1.68817478235661</v>
      </c>
      <c r="BA48" s="543">
        <f>BA10/IS!BA49</f>
        <v>1.7198250780271906</v>
      </c>
      <c r="BB48" s="543">
        <f>BB10/IS!BB49</f>
        <v>2.1194160141809855</v>
      </c>
      <c r="BC48" s="544">
        <f>BC10/IS!BC49</f>
        <v>2.0997396637691383</v>
      </c>
      <c r="BD48" s="545"/>
      <c r="BE48" s="543">
        <f>BE10/IS!BE49</f>
        <v>1.8951481631368317</v>
      </c>
      <c r="BF48" s="543">
        <f>BF10/IS!BF49</f>
        <v>2.2585029678453079</v>
      </c>
      <c r="BG48" s="543">
        <f>BG10/IS!BG49</f>
        <v>2.8312923563291483</v>
      </c>
      <c r="BH48" s="543">
        <f>BH10/IS!BH49</f>
        <v>3.2619828032359695</v>
      </c>
      <c r="BI48" s="544">
        <f>BI10/IS!BI49</f>
        <v>3.256778439531153</v>
      </c>
      <c r="BJ48" s="545"/>
      <c r="BK48" s="543">
        <f>BK10/IS!BK49</f>
        <v>2.6163206417189939</v>
      </c>
      <c r="BL48" s="543">
        <f>BL10/IS!BL49</f>
        <v>5.5642548888608001</v>
      </c>
      <c r="BM48" s="543">
        <f>BM10/IS!BM49</f>
        <v>6.3921868946690337</v>
      </c>
      <c r="BN48" s="543">
        <f>BN10/IS!BN49</f>
        <v>1.8132350170887275</v>
      </c>
      <c r="BO48" s="544">
        <f>BO10/IS!BO49</f>
        <v>1.8233431656428436</v>
      </c>
      <c r="BP48" s="545"/>
      <c r="BQ48" s="543">
        <f>BQ10/IS!BQ49</f>
        <v>2.2975972082956093</v>
      </c>
      <c r="BR48" s="543">
        <f>BR10/IS!BR49</f>
        <v>3.8767750973901509</v>
      </c>
      <c r="BS48" s="543">
        <f>BS10/IS!BS49</f>
        <v>4.3710155376822373</v>
      </c>
      <c r="BT48" s="543">
        <f>BT10/IS!BT49</f>
        <v>4.0772064712940557</v>
      </c>
      <c r="BU48" s="544">
        <f>BU10/IS!BU49</f>
        <v>4.0755546415672708</v>
      </c>
      <c r="BV48" s="1790"/>
      <c r="BW48" s="543">
        <f>BW10/IS!BW49</f>
        <v>3.8310107651160119</v>
      </c>
      <c r="BX48" s="543">
        <f>BX10/IS!BX49</f>
        <v>3.4114275839368049</v>
      </c>
      <c r="BY48" s="543">
        <f>BY10/IS!BY49</f>
        <v>3.5024638848861667</v>
      </c>
      <c r="BZ48" s="543">
        <f>BZ10/IS!BZ49</f>
        <v>4.5558984836992193</v>
      </c>
      <c r="CA48" s="544">
        <f>CA10/IS!CA49</f>
        <v>4.544503882794606</v>
      </c>
      <c r="CB48" s="1790"/>
      <c r="CC48" s="543">
        <f>CC10/IS!CC49</f>
        <v>5.4424096441605503</v>
      </c>
      <c r="CD48" s="543">
        <f>CD10/IS!CD49</f>
        <v>6.1789579716855112</v>
      </c>
      <c r="CE48" s="543">
        <f>CE10/IS!CE49</f>
        <v>7.5231222951640362</v>
      </c>
      <c r="CF48" s="543">
        <f>CF10/IS!CF49</f>
        <v>7.963485005923344</v>
      </c>
      <c r="CG48" s="544">
        <f>CG10/IS!CG49</f>
        <v>7.954232047054794</v>
      </c>
      <c r="CH48" s="1790"/>
      <c r="CI48" s="543">
        <f>CI10/IS!CI49</f>
        <v>8.3773560272223406</v>
      </c>
      <c r="CJ48" s="543">
        <f>CJ10/IS!CJ49</f>
        <v>8.4152503778553776</v>
      </c>
      <c r="CK48" s="543">
        <f>CK10/IS!CK49</f>
        <v>9.082130656346429</v>
      </c>
      <c r="CL48" s="543">
        <f>CL10/IS!CL49</f>
        <v>9.0828941234973541</v>
      </c>
      <c r="CM48" s="544">
        <f>CM10/IS!CM49</f>
        <v>9.0956294826290218</v>
      </c>
      <c r="CN48" s="94"/>
      <c r="CO48" s="94"/>
      <c r="CP48" s="94"/>
      <c r="CQ48" s="94"/>
    </row>
    <row r="49" spans="1:95" ht="12.75" hidden="1" customHeight="1" outlineLevel="1">
      <c r="A49" s="110"/>
      <c r="B49" s="98"/>
      <c r="C49" s="98"/>
      <c r="D49" s="98"/>
      <c r="E49" s="98"/>
      <c r="F49" s="98"/>
      <c r="G49" s="98"/>
      <c r="H49" s="110"/>
      <c r="I49" s="98"/>
      <c r="J49" s="98"/>
      <c r="K49" s="98"/>
      <c r="L49" s="98"/>
      <c r="M49" s="98"/>
      <c r="N49" s="110"/>
      <c r="O49" s="98"/>
      <c r="P49" s="98"/>
      <c r="Q49" s="98"/>
      <c r="R49" s="98"/>
      <c r="S49" s="129"/>
      <c r="T49" s="110"/>
      <c r="U49" s="129"/>
      <c r="V49" s="129"/>
      <c r="W49" s="129"/>
      <c r="X49" s="129"/>
      <c r="Y49" s="128"/>
      <c r="Z49" s="110"/>
      <c r="AA49" s="129"/>
      <c r="AB49" s="129"/>
      <c r="AC49" s="129"/>
      <c r="AD49" s="129"/>
      <c r="AE49" s="128"/>
      <c r="AF49" s="110"/>
      <c r="AG49" s="129"/>
      <c r="AH49" s="129"/>
      <c r="AI49" s="129"/>
      <c r="AJ49" s="129"/>
      <c r="AK49" s="162"/>
      <c r="AL49" s="110"/>
      <c r="AM49" s="129"/>
      <c r="AN49" s="129"/>
      <c r="AO49" s="129"/>
      <c r="AP49" s="129"/>
      <c r="AQ49" s="162"/>
      <c r="AR49" s="110"/>
      <c r="AS49" s="129"/>
      <c r="AT49" s="129"/>
      <c r="AU49" s="129"/>
      <c r="AV49" s="129"/>
      <c r="AW49" s="162"/>
      <c r="AX49" s="110"/>
      <c r="AY49" s="129"/>
      <c r="AZ49" s="129"/>
      <c r="BA49" s="129"/>
      <c r="BB49" s="129"/>
      <c r="BC49" s="162"/>
      <c r="BD49" s="110"/>
      <c r="BE49" s="129"/>
      <c r="BF49" s="129"/>
      <c r="BG49" s="129"/>
      <c r="BH49" s="129"/>
      <c r="BI49" s="162"/>
      <c r="BJ49" s="110"/>
      <c r="BK49" s="129"/>
      <c r="BL49" s="129"/>
      <c r="BM49" s="129"/>
      <c r="BN49" s="129"/>
      <c r="BO49" s="162"/>
      <c r="BP49" s="110"/>
      <c r="BQ49" s="129"/>
      <c r="BR49" s="129"/>
      <c r="BS49" s="129"/>
      <c r="BT49" s="129"/>
      <c r="BU49" s="162"/>
      <c r="BV49" s="162"/>
      <c r="BW49" s="129"/>
      <c r="BX49" s="129"/>
      <c r="BY49" s="129"/>
      <c r="BZ49" s="129"/>
      <c r="CA49" s="162"/>
      <c r="CB49" s="162"/>
      <c r="CC49" s="129"/>
      <c r="CD49" s="129"/>
      <c r="CE49" s="129"/>
      <c r="CF49" s="129"/>
      <c r="CG49" s="162"/>
      <c r="CH49" s="162"/>
      <c r="CI49" s="129"/>
      <c r="CJ49" s="129"/>
      <c r="CK49" s="129"/>
      <c r="CL49" s="129"/>
      <c r="CM49" s="162"/>
      <c r="CN49" s="94"/>
      <c r="CO49" s="94"/>
      <c r="CP49" s="94"/>
      <c r="CQ49" s="94"/>
    </row>
    <row r="50" spans="1:95" ht="12.75" hidden="1" customHeight="1" outlineLevel="1">
      <c r="A50" s="158" t="s">
        <v>256</v>
      </c>
      <c r="B50" s="146"/>
      <c r="C50" s="146"/>
      <c r="D50" s="146"/>
      <c r="E50" s="146"/>
      <c r="F50" s="146"/>
      <c r="G50" s="147"/>
      <c r="H50" s="157"/>
      <c r="I50" s="146"/>
      <c r="J50" s="146"/>
      <c r="K50" s="146"/>
      <c r="L50" s="146"/>
      <c r="M50" s="147"/>
      <c r="N50" s="157"/>
      <c r="O50" s="146"/>
      <c r="P50" s="146"/>
      <c r="Q50" s="146"/>
      <c r="R50" s="146"/>
      <c r="S50" s="155"/>
      <c r="T50" s="157"/>
      <c r="U50" s="151"/>
      <c r="V50" s="151"/>
      <c r="W50" s="151"/>
      <c r="X50" s="151"/>
      <c r="Y50" s="154"/>
      <c r="Z50" s="157"/>
      <c r="AA50" s="151"/>
      <c r="AB50" s="151"/>
      <c r="AC50" s="151"/>
      <c r="AD50" s="151"/>
      <c r="AE50" s="154"/>
      <c r="AF50" s="157"/>
      <c r="AG50" s="151"/>
      <c r="AH50" s="151"/>
      <c r="AI50" s="151"/>
      <c r="AJ50" s="151"/>
      <c r="AK50" s="153"/>
      <c r="AL50" s="157"/>
      <c r="AM50" s="151"/>
      <c r="AN50" s="151"/>
      <c r="AO50" s="151"/>
      <c r="AP50" s="151"/>
      <c r="AQ50" s="153"/>
      <c r="AR50" s="157"/>
      <c r="AS50" s="151"/>
      <c r="AT50" s="151"/>
      <c r="AU50" s="151"/>
      <c r="AV50" s="151"/>
      <c r="AW50" s="153"/>
      <c r="AX50" s="157"/>
      <c r="AY50" s="151"/>
      <c r="AZ50" s="151"/>
      <c r="BA50" s="151"/>
      <c r="BB50" s="151"/>
      <c r="BC50" s="153"/>
      <c r="BD50" s="157"/>
      <c r="BE50" s="151"/>
      <c r="BF50" s="151"/>
      <c r="BG50" s="151"/>
      <c r="BH50" s="151"/>
      <c r="BI50" s="153"/>
      <c r="BJ50" s="157"/>
      <c r="BK50" s="151"/>
      <c r="BL50" s="151"/>
      <c r="BM50" s="151"/>
      <c r="BN50" s="151"/>
      <c r="BO50" s="153"/>
      <c r="BP50" s="157"/>
      <c r="BQ50" s="151"/>
      <c r="BR50" s="151"/>
      <c r="BS50" s="151"/>
      <c r="BT50" s="151"/>
      <c r="BU50" s="153"/>
      <c r="BV50" s="1789"/>
      <c r="BW50" s="151"/>
      <c r="BX50" s="151"/>
      <c r="BY50" s="151"/>
      <c r="BZ50" s="151"/>
      <c r="CA50" s="153"/>
      <c r="CB50" s="1789"/>
      <c r="CC50" s="151"/>
      <c r="CD50" s="151"/>
      <c r="CE50" s="151"/>
      <c r="CF50" s="151"/>
      <c r="CG50" s="153"/>
      <c r="CH50" s="1789"/>
      <c r="CI50" s="151"/>
      <c r="CJ50" s="151"/>
      <c r="CK50" s="151"/>
      <c r="CL50" s="151"/>
      <c r="CM50" s="153"/>
      <c r="CN50" s="94"/>
      <c r="CO50" s="94"/>
      <c r="CP50" s="94"/>
      <c r="CQ50" s="94"/>
    </row>
    <row r="51" spans="1:95" ht="12.75" hidden="1" customHeight="1" outlineLevel="1">
      <c r="A51" s="546" t="s">
        <v>257</v>
      </c>
      <c r="B51" s="36"/>
      <c r="C51" s="173"/>
      <c r="D51" s="173">
        <f>(IS!D32*4)/AVERAGE(BS!D40,BS!C40)</f>
        <v>9.6719442551832818E-2</v>
      </c>
      <c r="E51" s="173">
        <f>(IS!E32*4)/AVERAGE(BS!E40,BS!D40)</f>
        <v>0.10685205123224971</v>
      </c>
      <c r="F51" s="173">
        <f>(IS!F32*4)/AVERAGE(BS!F40,BS!E40)</f>
        <v>0.1301554163021604</v>
      </c>
      <c r="G51" s="172"/>
      <c r="H51" s="160"/>
      <c r="I51" s="173">
        <f>(IS!I32*4)/AVERAGE(BS!I40,BS!G40)</f>
        <v>7.6577122105877582E-2</v>
      </c>
      <c r="J51" s="173">
        <f>(IS!J32*4)/AVERAGE(BS!J40,BS!I40)</f>
        <v>9.571164583574561E-2</v>
      </c>
      <c r="K51" s="173">
        <f>(IS!K32*4)/AVERAGE(BS!K40,BS!J40)</f>
        <v>0.10314278559672083</v>
      </c>
      <c r="L51" s="173">
        <f>(IS!L32*4)/AVERAGE(BS!L40,BS!K40)</f>
        <v>0.15042493241549326</v>
      </c>
      <c r="M51" s="172">
        <f>(IS!M32)/AVERAGE(BS!M40,BS!G40)</f>
        <v>0.10968411374323149</v>
      </c>
      <c r="N51" s="160"/>
      <c r="O51" s="173">
        <f>(IS!O32*4)/AVERAGE(BS!O40,BS!M40)</f>
        <v>7.9367135618619272E-2</v>
      </c>
      <c r="P51" s="173">
        <f>(IS!P32*4)/AVERAGE(BS!P40,BS!O40)</f>
        <v>8.46705950919628E-2</v>
      </c>
      <c r="Q51" s="173">
        <f>(IS!Q32*4)/AVERAGE(BS!Q40,BS!P40)</f>
        <v>8.2588490880296198E-2</v>
      </c>
      <c r="R51" s="173">
        <f>(IS!R32*4)/AVERAGE(BS!R40,BS!Q40)</f>
        <v>7.2466782120985285E-2</v>
      </c>
      <c r="S51" s="172">
        <f>(IS!S32)/AVERAGE(BS!S40,BS!M40)</f>
        <v>7.8377615815320989E-2</v>
      </c>
      <c r="T51" s="160"/>
      <c r="U51" s="173">
        <f>(IS!U32*4)/AVERAGE(BS!U40,BS!S40)</f>
        <v>7.2997536162406548E-2</v>
      </c>
      <c r="V51" s="173">
        <f>(IS!V32*4)/AVERAGE(BS!V40,BS!U40)</f>
        <v>3.000017098735425E-2</v>
      </c>
      <c r="W51" s="173">
        <f>(IS!W32*4)/AVERAGE(BS!W40,BS!V40)</f>
        <v>9.5192786520656575E-2</v>
      </c>
      <c r="X51" s="173">
        <f>(IS!X32*4)/AVERAGE(BS!X40,BS!W40)</f>
        <v>0.12067795751713617</v>
      </c>
      <c r="Y51" s="172">
        <f>(IS!Y32)/AVERAGE(BS!Y40,BS!S40)</f>
        <v>7.6912187128580639E-2</v>
      </c>
      <c r="Z51" s="160"/>
      <c r="AA51" s="173">
        <f>(IS!AA32*4)/AVERAGE(BS!AA40,BS!Y40)</f>
        <v>0.16263637430714065</v>
      </c>
      <c r="AB51" s="173">
        <f>(IS!AB32*4)/AVERAGE(BS!AB40,BS!AA40)</f>
        <v>0.18307690755055214</v>
      </c>
      <c r="AC51" s="173">
        <f>(IS!AC32*4)/AVERAGE(BS!AC40,BS!AB40)</f>
        <v>0.17507582143842998</v>
      </c>
      <c r="AD51" s="173">
        <f>(IS!AD32*4)/AVERAGE(BS!AD40,BS!AC40)</f>
        <v>0.14783945316996827</v>
      </c>
      <c r="AE51" s="172">
        <f>(IS!AE32)/AVERAGE(BS!AE40,BS!Y40)</f>
        <v>0.17077771591232971</v>
      </c>
      <c r="AF51" s="160"/>
      <c r="AG51" s="173">
        <f>(IS!AG32*4)/AVERAGE(BS!AG40,BS!AE40)</f>
        <v>0.10645956466375785</v>
      </c>
      <c r="AH51" s="173">
        <f>(IS!AH32*4)/AVERAGE(BS!AH40,BS!AG40)</f>
        <v>0.12852891242446426</v>
      </c>
      <c r="AI51" s="173">
        <f>(IS!AI32*4)/AVERAGE(BS!AI40,BS!AH40)</f>
        <v>0.10883537934619901</v>
      </c>
      <c r="AJ51" s="173">
        <f>(IS!AJ32*4)/AVERAGE(BS!AJ40,BS!AI40)</f>
        <v>0.15440802915421273</v>
      </c>
      <c r="AK51" s="172">
        <f>(IS!AK32)/AVERAGE(BS!AK40,BS!AE40)</f>
        <v>0.12538735302858658</v>
      </c>
      <c r="AL51" s="160"/>
      <c r="AM51" s="173">
        <f>(IS!AM32*4)/AVERAGE(BS!AM40,BS!AK40)</f>
        <v>8.7870055786139448E-2</v>
      </c>
      <c r="AN51" s="173">
        <f>(IS!AN32*4)/AVERAGE(BS!AN40,BS!AM40)</f>
        <v>0.12472851642067809</v>
      </c>
      <c r="AO51" s="173">
        <f>(IS!AO32*4)/AVERAGE(BS!AO40,BS!AN40)</f>
        <v>0.11877174406781153</v>
      </c>
      <c r="AP51" s="173">
        <f>(IS!AP32*4)/AVERAGE(BS!AP40,BS!AO40)</f>
        <v>0.16908295380395508</v>
      </c>
      <c r="AQ51" s="172">
        <f>(IS!AQ32)/AVERAGE(BS!AQ40,BS!AK40)</f>
        <v>0.12093087162922792</v>
      </c>
      <c r="AR51" s="160"/>
      <c r="AS51" s="173">
        <f>(IS!AS32*4)/AVERAGE(BS!AS40,BS!AQ40)</f>
        <v>0.1061737374199264</v>
      </c>
      <c r="AT51" s="173">
        <f>(IS!AT32*4)/AVERAGE(BS!AT40,BS!AS40)</f>
        <v>0.13260956467953047</v>
      </c>
      <c r="AU51" s="173">
        <f>(IS!AU32*4)/AVERAGE(BS!AU40,BS!AT40)</f>
        <v>0.12549058744836125</v>
      </c>
      <c r="AV51" s="173">
        <f>(IS!AV32*4)/AVERAGE(BS!AV40,BS!AU40)</f>
        <v>0.18794732115679616</v>
      </c>
      <c r="AW51" s="172">
        <f>(IS!AW32)/AVERAGE(BS!AW40,BS!AQ40)</f>
        <v>0.13980628561233296</v>
      </c>
      <c r="AX51" s="160"/>
      <c r="AY51" s="173">
        <f>(IS!AY32*4)/AVERAGE(BS!AY40,BS!AW40)</f>
        <v>9.626838895393873E-2</v>
      </c>
      <c r="AZ51" s="173">
        <f>(IS!AZ32*4)/AVERAGE(BS!AZ40,BS!AY40)</f>
        <v>0.11656546168677728</v>
      </c>
      <c r="BA51" s="173">
        <f>(IS!BA32*4)/AVERAGE(BS!BA40,BS!AZ40)</f>
        <v>0.11636438537009242</v>
      </c>
      <c r="BB51" s="173">
        <f>(IS!BB32*4)/AVERAGE(BS!BB40,BS!BA40)</f>
        <v>0.17536870387644937</v>
      </c>
      <c r="BC51" s="172">
        <f>(IS!BC32)/AVERAGE(BS!BC40,BS!AW40)</f>
        <v>0.12633490851268725</v>
      </c>
      <c r="BD51" s="160"/>
      <c r="BE51" s="173">
        <f>(IS!BE32*4)/AVERAGE(BS!BE40,BS!BC40)</f>
        <v>0.10798358911142782</v>
      </c>
      <c r="BF51" s="173">
        <f>(IS!BF32*4)/AVERAGE(BS!BF40,BS!BE40)</f>
        <v>0.13339330248353976</v>
      </c>
      <c r="BG51" s="173">
        <f>(IS!BG32*4)/AVERAGE(BS!BG40,BS!BF40)</f>
        <v>0.13305669892568583</v>
      </c>
      <c r="BH51" s="173">
        <f>(IS!BH32*4)/AVERAGE(BS!BH40,BS!BG40)</f>
        <v>0.17082613350642759</v>
      </c>
      <c r="BI51" s="172">
        <f>(IS!BI32)/AVERAGE(BS!BI40,BS!BC40)</f>
        <v>0.13460307208400724</v>
      </c>
      <c r="BJ51" s="160"/>
      <c r="BK51" s="173">
        <f>(IS!BK32*4)/AVERAGE(BS!BK40,BS!BI40)</f>
        <v>0.11056429520577024</v>
      </c>
      <c r="BL51" s="173">
        <f>(IS!BL32*4)/AVERAGE(BS!BL40,BS!BK40)</f>
        <v>0.1270347444274203</v>
      </c>
      <c r="BM51" s="173">
        <f>(IS!BM32*4)/AVERAGE(BS!BM40,BS!BL40)</f>
        <v>0.13030005437552075</v>
      </c>
      <c r="BN51" s="173">
        <f>(IS!BN32*4)/AVERAGE(BS!BN40,BS!BM40)</f>
        <v>0.17242939131218191</v>
      </c>
      <c r="BO51" s="172">
        <f>(IS!BO32)/AVERAGE(BS!BO40,BS!BI40)</f>
        <v>0.13903776404099147</v>
      </c>
      <c r="BP51" s="160"/>
      <c r="BQ51" s="173">
        <f>(IS!BQ32*4)/AVERAGE(BS!BQ40,BS!BO40)</f>
        <v>0.10849594444592232</v>
      </c>
      <c r="BR51" s="173">
        <f>(IS!BR32*4)/AVERAGE(BS!BR40,BS!BQ40)</f>
        <v>0.15009717772566863</v>
      </c>
      <c r="BS51" s="173">
        <f>(IS!BS32*4)/AVERAGE(BS!BS40,BS!BR40)</f>
        <v>0.15495974466227974</v>
      </c>
      <c r="BT51" s="173">
        <f>(IS!BT32*4)/AVERAGE(BS!BT40,BS!BS40)</f>
        <v>0.18938879727561816</v>
      </c>
      <c r="BU51" s="172">
        <f>(IS!BU32)/AVERAGE(BS!BU40,BS!BO40)</f>
        <v>0.15044276112993538</v>
      </c>
      <c r="BV51" s="173"/>
      <c r="BW51" s="173">
        <f>(IS!BW32*4)/AVERAGE(BS!BW40,BS!BU40)</f>
        <v>0.11594789543820706</v>
      </c>
      <c r="BX51" s="173">
        <f>(IS!BX32*4)/AVERAGE(BS!BX40,BS!BW40)</f>
        <v>0.15573258073208743</v>
      </c>
      <c r="BY51" s="173">
        <f>(IS!BY32*4)/AVERAGE(BS!BY40,BS!BX40)</f>
        <v>0.16052721137595655</v>
      </c>
      <c r="BZ51" s="173">
        <f>(IS!BZ32*4)/AVERAGE(BS!BZ40,BS!BY40)</f>
        <v>0.1935973376966843</v>
      </c>
      <c r="CA51" s="172">
        <f>(IS!CA32)/AVERAGE(BS!CA40,BS!BU40)</f>
        <v>0.15589857237697852</v>
      </c>
      <c r="CB51" s="173"/>
      <c r="CC51" s="173">
        <f>(IS!CC32*4)/AVERAGE(BS!CC40,BS!CA40)</f>
        <v>0.12014015395519106</v>
      </c>
      <c r="CD51" s="173">
        <f>(IS!CD32*4)/AVERAGE(BS!CD40,BS!CC40)</f>
        <v>0.16895348508895064</v>
      </c>
      <c r="CE51" s="173">
        <f>(IS!CE32*4)/AVERAGE(BS!CE40,BS!CD40)</f>
        <v>0.17258512040928731</v>
      </c>
      <c r="CF51" s="173">
        <f>(IS!CF32*4)/AVERAGE(BS!CF40,BS!CE40)</f>
        <v>0.20504231187282865</v>
      </c>
      <c r="CG51" s="172">
        <f>(IS!CG32)/AVERAGE(BS!CG40,BS!CA40)</f>
        <v>0.16603567051334928</v>
      </c>
      <c r="CH51" s="173"/>
      <c r="CI51" s="173">
        <f>(IS!CI32*4)/AVERAGE(BS!CI40,BS!CG40)</f>
        <v>0.13325692905038589</v>
      </c>
      <c r="CJ51" s="173">
        <f>(IS!CJ32*4)/AVERAGE(BS!CJ40,BS!CI40)</f>
        <v>0.15364025483175484</v>
      </c>
      <c r="CK51" s="173">
        <f>(IS!CK32*4)/AVERAGE(BS!CK40,BS!CJ40)</f>
        <v>0.15596121035248825</v>
      </c>
      <c r="CL51" s="173">
        <f>(IS!CL32*4)/AVERAGE(BS!CL40,BS!CK40)</f>
        <v>0.18377556523518498</v>
      </c>
      <c r="CM51" s="172">
        <f>(IS!CM32)/AVERAGE(BS!CM40,BS!CG40)</f>
        <v>0.1561299998825329</v>
      </c>
      <c r="CN51" s="94"/>
      <c r="CO51" s="94"/>
      <c r="CP51" s="94"/>
      <c r="CQ51" s="94"/>
    </row>
    <row r="52" spans="1:95" ht="12.75" hidden="1" customHeight="1" outlineLevel="1">
      <c r="A52" s="547" t="s">
        <v>258</v>
      </c>
      <c r="B52" s="36"/>
      <c r="C52" s="173"/>
      <c r="D52" s="173">
        <f>(IS!D37*4)/AVERAGE(BS!D22,BS!C22)</f>
        <v>-3.8386788906495024E-3</v>
      </c>
      <c r="E52" s="173">
        <f>(IS!E37*4)/AVERAGE(BS!E22,BS!D22)</f>
        <v>-1.1190354397211302E-2</v>
      </c>
      <c r="F52" s="173">
        <f>(IS!F37*4)/AVERAGE(BS!F22,BS!E22)</f>
        <v>5.1552377454452914E-3</v>
      </c>
      <c r="G52" s="172"/>
      <c r="H52" s="161"/>
      <c r="I52" s="173">
        <f>(IS!I37*4)/AVERAGE(BS!I22,BS!G22)</f>
        <v>-1.2577059492961111E-2</v>
      </c>
      <c r="J52" s="173">
        <f>(IS!J37*4)/AVERAGE(BS!J22,BS!I22)</f>
        <v>-1.2400883759098799E-2</v>
      </c>
      <c r="K52" s="173">
        <f>(IS!K37*4)/AVERAGE(BS!K22,BS!J22)</f>
        <v>-1.0888703899813663E-18</v>
      </c>
      <c r="L52" s="173">
        <f>(IS!L37*4)/AVERAGE(BS!L22,BS!K22)</f>
        <v>-2.6824533745448742E-2</v>
      </c>
      <c r="M52" s="172">
        <f>(IS!M37)/AVERAGE(BS!M22,BS!G22)</f>
        <v>-1.3255555419526676E-2</v>
      </c>
      <c r="N52" s="161"/>
      <c r="O52" s="173">
        <f>(IS!O37*4)/AVERAGE(BS!O22,BS!M22)</f>
        <v>-2.0934134218497963E-2</v>
      </c>
      <c r="P52" s="173">
        <f>(IS!P37*4)/AVERAGE(BS!P22,BS!O22)</f>
        <v>-1.2819922106910556E-2</v>
      </c>
      <c r="Q52" s="173">
        <f>(IS!Q37*4)/AVERAGE(BS!Q22,BS!P22)</f>
        <v>-2.4864106354748877E-2</v>
      </c>
      <c r="R52" s="173">
        <f>(IS!R37*4)/AVERAGE(BS!R22,BS!Q22)</f>
        <v>-9.1770377254926736E-3</v>
      </c>
      <c r="S52" s="172">
        <f>(IS!S37)/AVERAGE(BS!S22,BS!M22)</f>
        <v>-1.6736877018405035E-2</v>
      </c>
      <c r="T52" s="161"/>
      <c r="U52" s="173">
        <f>(IS!U37*4)/AVERAGE(BS!U22,BS!S22)</f>
        <v>-1.3951598274352684E-2</v>
      </c>
      <c r="V52" s="173">
        <f>(IS!V37*4)/AVERAGE(BS!V22,BS!U22)</f>
        <v>1.2265314642018074E-2</v>
      </c>
      <c r="W52" s="173">
        <f>(IS!W37*4)/AVERAGE(BS!W22,BS!V22)</f>
        <v>-1.3310662256316417E-2</v>
      </c>
      <c r="X52" s="173">
        <f>(IS!X37*4)/AVERAGE(BS!X22,BS!W22)</f>
        <v>-1.1705867267611778E-2</v>
      </c>
      <c r="Y52" s="172">
        <f>(IS!Y37)/AVERAGE(BS!Y22,BS!S22)</f>
        <v>-6.7758011477546225E-3</v>
      </c>
      <c r="Z52" s="161"/>
      <c r="AA52" s="173">
        <f>(IS!AA37*4)/AVERAGE(BS!AA22,BS!Y22)</f>
        <v>-1.5551165663644066E-2</v>
      </c>
      <c r="AB52" s="173">
        <f>(IS!AB37*4)/AVERAGE(BS!AB22,BS!AA22)</f>
        <v>-2.3705895673967345E-2</v>
      </c>
      <c r="AC52" s="173">
        <f>(IS!AC37*4)/AVERAGE(BS!AC22,BS!AB22)</f>
        <v>-2.3340488442291193E-2</v>
      </c>
      <c r="AD52" s="173">
        <f>(IS!AD37*4)/AVERAGE(BS!AD22,BS!AC22)</f>
        <v>-0.17118205627976035</v>
      </c>
      <c r="AE52" s="172">
        <f>(IS!AE37)/AVERAGE(BS!AE22,BS!Y22)</f>
        <v>-5.9166329124814669E-2</v>
      </c>
      <c r="AF52" s="161"/>
      <c r="AG52" s="173">
        <f>(IS!AG37*4)/AVERAGE(BS!AG22,BS!AE22)</f>
        <v>-2.8461427749740337E-2</v>
      </c>
      <c r="AH52" s="173">
        <f>(IS!AH37*4)/AVERAGE(BS!AH22,BS!AG22)</f>
        <v>-2.8699900524123717E-2</v>
      </c>
      <c r="AI52" s="173">
        <f>(IS!AI37*4)/AVERAGE(BS!AI22,BS!AH22)</f>
        <v>-2.3923937199612839E-2</v>
      </c>
      <c r="AJ52" s="173">
        <f>(IS!AJ37*4)/AVERAGE(BS!AJ22,BS!AI22)</f>
        <v>-9.3294120832939226E-2</v>
      </c>
      <c r="AK52" s="172">
        <f>(IS!AK37)/AVERAGE(BS!AK22,BS!AE22)</f>
        <v>-4.3628002213041438E-2</v>
      </c>
      <c r="AL52" s="161"/>
      <c r="AM52" s="173">
        <f>(IS!AM37*4)/AVERAGE(BS!AM22,BS!AK22)</f>
        <v>-9.5713515647657538E-3</v>
      </c>
      <c r="AN52" s="173">
        <f>(IS!AN37*4)/AVERAGE(BS!AN22,BS!AM22)</f>
        <v>-3.0770469707051579E-2</v>
      </c>
      <c r="AO52" s="173">
        <f>(IS!AO37*4)/AVERAGE(BS!AO22,BS!AN22)</f>
        <v>-1.5210307445963038E-2</v>
      </c>
      <c r="AP52" s="173">
        <f>(IS!AP37*4)/AVERAGE(BS!AP22,BS!AO22)</f>
        <v>-1.711059447018673E-2</v>
      </c>
      <c r="AQ52" s="172">
        <f>(IS!AQ37)/AVERAGE(BS!AQ22,BS!AK22)</f>
        <v>-1.7781605188473583E-2</v>
      </c>
      <c r="AR52" s="161"/>
      <c r="AS52" s="173">
        <f>(IS!AS37*4)/AVERAGE(BS!AS22,BS!AQ22)</f>
        <v>-1.8226621317312033E-2</v>
      </c>
      <c r="AT52" s="173">
        <f>(IS!AT37*4)/AVERAGE(BS!AT22,BS!AS22)</f>
        <v>-1.498926987879832E-2</v>
      </c>
      <c r="AU52" s="173">
        <f>(IS!AU37*4)/AVERAGE(BS!AU22,BS!AT22)</f>
        <v>-2.0939813918838181E-2</v>
      </c>
      <c r="AV52" s="173">
        <f>(IS!AV37*4)/AVERAGE(BS!AV22,BS!AU22)</f>
        <v>-6.5631290641720699E-2</v>
      </c>
      <c r="AW52" s="172">
        <f>(IS!AW37)/AVERAGE(BS!AW22,BS!AQ22)</f>
        <v>-2.9485249394644357E-2</v>
      </c>
      <c r="AX52" s="161"/>
      <c r="AY52" s="173">
        <f>(IS!AY37*4)/AVERAGE(BS!AY22,BS!AW22)</f>
        <v>-1.5565583718210426E-2</v>
      </c>
      <c r="AZ52" s="173">
        <f>(IS!AZ37*4)/AVERAGE(BS!AZ22,BS!AY22)</f>
        <v>-1.7661832465851734E-2</v>
      </c>
      <c r="BA52" s="173">
        <f>(IS!BA37*4)/AVERAGE(BS!BA22,BS!AZ22)</f>
        <v>-1.2300487662523878E-2</v>
      </c>
      <c r="BB52" s="173">
        <f>(IS!BB37*4)/AVERAGE(BS!BB22,BS!BA22)</f>
        <v>-2.6292505381215487E-2</v>
      </c>
      <c r="BC52" s="172">
        <f>(IS!BC37)/AVERAGE(BS!BC22,BS!AW22)</f>
        <v>-1.763968353217989E-2</v>
      </c>
      <c r="BD52" s="161"/>
      <c r="BE52" s="173">
        <f>(IS!BE37*4)/AVERAGE(BS!BE22,BS!BC22)</f>
        <v>-1.2742866911081467E-2</v>
      </c>
      <c r="BF52" s="173">
        <f>(IS!BF37*4)/AVERAGE(BS!BF22,BS!BE22)</f>
        <v>-1.0455462093488695E-2</v>
      </c>
      <c r="BG52" s="173">
        <f>(IS!BG37*4)/AVERAGE(BS!BG22,BS!BF22)</f>
        <v>-1.5543071337328997E-2</v>
      </c>
      <c r="BH52" s="173">
        <f>(IS!BH37*4)/AVERAGE(BS!BH22,BS!BG22)</f>
        <v>-2.7722793876268914E-2</v>
      </c>
      <c r="BI52" s="172">
        <f>(IS!BI37)/AVERAGE(BS!BI22,BS!BC22)</f>
        <v>-1.6718387753704916E-2</v>
      </c>
      <c r="BJ52" s="161"/>
      <c r="BK52" s="173">
        <f>(IS!BK37*4)/AVERAGE(BS!BK22,BS!BI22)</f>
        <v>-2.2508401816649145E-2</v>
      </c>
      <c r="BL52" s="173">
        <f>(IS!BL37*4)/AVERAGE(BS!BL22,BS!BK22)</f>
        <v>-9.9053781158457144E-3</v>
      </c>
      <c r="BM52" s="173">
        <f>(IS!BM37*4)/AVERAGE(BS!BM22,BS!BL22)</f>
        <v>1.330387147598276E-2</v>
      </c>
      <c r="BN52" s="173">
        <f>(IS!BN37*4)/AVERAGE(BS!BN22,BS!BM22)</f>
        <v>-0.10869359982227828</v>
      </c>
      <c r="BO52" s="172">
        <f>(IS!BO37)/AVERAGE(BS!BO22,BS!BI22)</f>
        <v>-3.2200877572518737E-2</v>
      </c>
      <c r="BP52" s="161"/>
      <c r="BQ52" s="173">
        <f>(IS!BQ37*4)/AVERAGE(BS!BQ22,BS!BO22)</f>
        <v>-1.0295522183229851E-2</v>
      </c>
      <c r="BR52" s="173">
        <f>(IS!BR37*4)/AVERAGE(BS!BR22,BS!BQ22)</f>
        <v>-1.0189134945581546E-2</v>
      </c>
      <c r="BS52" s="173">
        <f>(IS!BS37*4)/AVERAGE(BS!BS22,BS!BR22)</f>
        <v>-9.9704650422346493E-3</v>
      </c>
      <c r="BT52" s="173">
        <f>(IS!BT37*4)/AVERAGE(BS!BT22,BS!BS22)</f>
        <v>-9.8599576994236864E-3</v>
      </c>
      <c r="BU52" s="172">
        <f>(IS!BU37)/AVERAGE(BS!BU22,BS!BO22)</f>
        <v>-9.9953274962953503E-3</v>
      </c>
      <c r="BV52" s="173"/>
      <c r="BW52" s="173">
        <f>(IS!BW37*4)/AVERAGE(BS!BW22,BS!BU22)</f>
        <v>-9.9421718924436065E-3</v>
      </c>
      <c r="BX52" s="173">
        <f>(IS!BX37*4)/AVERAGE(BS!BX22,BS!BW22)</f>
        <v>-1.0101697137838395E-2</v>
      </c>
      <c r="BY52" s="173">
        <f>(IS!BY37*4)/AVERAGE(BS!BY22,BS!BX22)</f>
        <v>-1.0077440135907258E-2</v>
      </c>
      <c r="BZ52" s="173">
        <f>(IS!BZ37*4)/AVERAGE(BS!BZ22,BS!BY22)</f>
        <v>-9.8576394088254523E-3</v>
      </c>
      <c r="CA52" s="172">
        <f>(IS!CA37)/AVERAGE(BS!CA22,BS!BU22)</f>
        <v>-9.7136891066782905E-3</v>
      </c>
      <c r="CB52" s="173"/>
      <c r="CC52" s="173">
        <f>(IS!CC37*4)/AVERAGE(BS!CC22,BS!CA22)</f>
        <v>-9.7332783032979507E-3</v>
      </c>
      <c r="CD52" s="173">
        <f>(IS!CD37*4)/AVERAGE(BS!CD22,BS!CC22)</f>
        <v>-9.7079211986946939E-3</v>
      </c>
      <c r="CE52" s="173">
        <f>(IS!CE37*4)/AVERAGE(BS!CE22,BS!CD22)</f>
        <v>-9.490808331445607E-3</v>
      </c>
      <c r="CF52" s="173">
        <f>(IS!CF37*4)/AVERAGE(BS!CF22,BS!CE22)</f>
        <v>-9.2498294927420722E-3</v>
      </c>
      <c r="CG52" s="172">
        <f>(IS!CG37)/AVERAGE(BS!CG22,BS!CA22)</f>
        <v>-9.374860433002891E-3</v>
      </c>
      <c r="CH52" s="173"/>
      <c r="CI52" s="173">
        <f>(IS!CI37*4)/AVERAGE(BS!CI22,BS!CG22)</f>
        <v>-9.2420806584617692E-3</v>
      </c>
      <c r="CJ52" s="173">
        <f>(IS!CJ37*4)/AVERAGE(BS!CJ22,BS!CI22)</f>
        <v>-9.3434513950812325E-3</v>
      </c>
      <c r="CK52" s="173">
        <f>(IS!CK37*4)/AVERAGE(BS!CK22,BS!CJ22)</f>
        <v>-9.2533564311406292E-3</v>
      </c>
      <c r="CL52" s="173">
        <f>(IS!CL37*4)/AVERAGE(BS!CL22,BS!CK22)</f>
        <v>-9.1087631035116929E-3</v>
      </c>
      <c r="CM52" s="172">
        <f>(IS!CM37)/AVERAGE(BS!CM22,BS!CG22)</f>
        <v>-9.0596436275794598E-3</v>
      </c>
      <c r="CN52" s="94"/>
      <c r="CO52" s="94"/>
      <c r="CP52" s="94"/>
      <c r="CQ52" s="94"/>
    </row>
    <row r="53" spans="1:95" ht="12.75" hidden="1" customHeight="1" outlineLevel="1">
      <c r="A53" s="2268" t="s">
        <v>716</v>
      </c>
      <c r="B53" s="144"/>
      <c r="C53" s="174">
        <f>C188</f>
        <v>0.16304794163659933</v>
      </c>
      <c r="D53" s="174">
        <f>D188</f>
        <v>0.19897538962533601</v>
      </c>
      <c r="E53" s="174">
        <f>E188</f>
        <v>0.21792884595924247</v>
      </c>
      <c r="F53" s="174">
        <f>F188</f>
        <v>0.2580020150404857</v>
      </c>
      <c r="G53" s="175"/>
      <c r="H53" s="176"/>
      <c r="I53" s="174">
        <f>I188</f>
        <v>0.1562753044174211</v>
      </c>
      <c r="J53" s="174">
        <f>J188</f>
        <v>0.19899413718393058</v>
      </c>
      <c r="K53" s="174">
        <f>K188</f>
        <v>0.20871976550827975</v>
      </c>
      <c r="L53" s="174">
        <f>L188</f>
        <v>0.29652502782357909</v>
      </c>
      <c r="M53" s="175">
        <f>M188</f>
        <v>0.21391715663085928</v>
      </c>
      <c r="N53" s="176"/>
      <c r="O53" s="174">
        <f>O188</f>
        <v>0.15929106751379851</v>
      </c>
      <c r="P53" s="174">
        <f>P188</f>
        <v>0.16828376122226793</v>
      </c>
      <c r="Q53" s="174">
        <f>Q188</f>
        <v>0.14420754958162149</v>
      </c>
      <c r="R53" s="174">
        <f>R188</f>
        <v>0.14370960984986117</v>
      </c>
      <c r="S53" s="175">
        <f>S188</f>
        <v>0.15343926891577153</v>
      </c>
      <c r="T53" s="176"/>
      <c r="U53" s="174">
        <f>U188</f>
        <v>0.15476845333986722</v>
      </c>
      <c r="V53" s="174">
        <f>V188</f>
        <v>0.19210067503400075</v>
      </c>
      <c r="W53" s="174">
        <f>W188</f>
        <v>0.18435207016167815</v>
      </c>
      <c r="X53" s="174">
        <f>X188</f>
        <v>0.3111479146544997</v>
      </c>
      <c r="Y53" s="175">
        <f>Y188</f>
        <v>0.20645596354315196</v>
      </c>
      <c r="Z53" s="176"/>
      <c r="AA53" s="174">
        <f>AA188</f>
        <v>0.34728302775184217</v>
      </c>
      <c r="AB53" s="174">
        <f>AB188</f>
        <v>0.36016366848579345</v>
      </c>
      <c r="AC53" s="174">
        <f>AC188</f>
        <v>0.33968290023279163</v>
      </c>
      <c r="AD53" s="174">
        <f>AD188</f>
        <v>0.28908378539626095</v>
      </c>
      <c r="AE53" s="175">
        <f>AE188</f>
        <v>0.33208324216725571</v>
      </c>
      <c r="AF53" s="176"/>
      <c r="AG53" s="174">
        <f>AG188</f>
        <v>0.22212020631578777</v>
      </c>
      <c r="AH53" s="174">
        <f>AH188</f>
        <v>0.26603497920092362</v>
      </c>
      <c r="AI53" s="174">
        <f>AI188</f>
        <v>0.21338602766192041</v>
      </c>
      <c r="AJ53" s="174">
        <f>AJ188</f>
        <v>0.32761436899322133</v>
      </c>
      <c r="AK53" s="175">
        <f>AK188</f>
        <v>0.27115081268518976</v>
      </c>
      <c r="AL53" s="176"/>
      <c r="AM53" s="174">
        <f>AM188</f>
        <v>0.20436557235176947</v>
      </c>
      <c r="AN53" s="174">
        <f>AN188</f>
        <v>0.26206915440709672</v>
      </c>
      <c r="AO53" s="174">
        <f>AO188</f>
        <v>0.26097186092218788</v>
      </c>
      <c r="AP53" s="174">
        <f>AP188</f>
        <v>0.36127933092955067</v>
      </c>
      <c r="AQ53" s="175">
        <f>AQ188</f>
        <v>0.27274732577417815</v>
      </c>
      <c r="AR53" s="176"/>
      <c r="AS53" s="174">
        <f>AS188</f>
        <v>0.24725874381751056</v>
      </c>
      <c r="AT53" s="174">
        <f>AT188</f>
        <v>0.29290518451585007</v>
      </c>
      <c r="AU53" s="174">
        <f>AU188</f>
        <v>0.29136990881434227</v>
      </c>
      <c r="AV53" s="174">
        <f>AV188</f>
        <v>0.33027695912604249</v>
      </c>
      <c r="AW53" s="175">
        <f>AW188</f>
        <v>0.28941291067124886</v>
      </c>
      <c r="AX53" s="176"/>
      <c r="AY53" s="174">
        <f>AY188</f>
        <v>0.21279024807959629</v>
      </c>
      <c r="AZ53" s="174">
        <f>AZ188</f>
        <v>0.26517604932957667</v>
      </c>
      <c r="BA53" s="174">
        <f>BA188</f>
        <v>0.27494802490967318</v>
      </c>
      <c r="BB53" s="174">
        <f>BB188</f>
        <v>0.36115061470841459</v>
      </c>
      <c r="BC53" s="175">
        <f>BC188</f>
        <v>0.27940236999495971</v>
      </c>
      <c r="BD53" s="176"/>
      <c r="BE53" s="174">
        <f>BE188</f>
        <v>0.22136552701975848</v>
      </c>
      <c r="BF53" s="174">
        <f>BF188</f>
        <v>0.25868440321609903</v>
      </c>
      <c r="BG53" s="174">
        <f>BG188</f>
        <v>0.27891600806659306</v>
      </c>
      <c r="BH53" s="174">
        <f>BH188</f>
        <v>0.38028536292699178</v>
      </c>
      <c r="BI53" s="175">
        <f>BI188</f>
        <v>0.28310941147919455</v>
      </c>
      <c r="BJ53" s="176"/>
      <c r="BK53" s="174">
        <f>BK188</f>
        <v>0.2495162921123559</v>
      </c>
      <c r="BL53" s="174">
        <f>BL188</f>
        <v>0.29809083066771769</v>
      </c>
      <c r="BM53" s="174">
        <f>BM188</f>
        <v>0.32292619922247445</v>
      </c>
      <c r="BN53" s="174">
        <f>BN188</f>
        <v>0.2295605872691335</v>
      </c>
      <c r="BO53" s="175">
        <f>BO188</f>
        <v>0.26492989118284438</v>
      </c>
      <c r="BP53" s="176"/>
      <c r="BQ53" s="174">
        <f>BQ188</f>
        <v>0.15894683707506779</v>
      </c>
      <c r="BR53" s="174">
        <f>BR188</f>
        <v>0.20937620680783089</v>
      </c>
      <c r="BS53" s="174">
        <f>BS188</f>
        <v>0.22215733407650715</v>
      </c>
      <c r="BT53" s="174">
        <f>BT188</f>
        <v>0.27456411259030378</v>
      </c>
      <c r="BU53" s="175">
        <f>BU188</f>
        <v>0.21624307950414171</v>
      </c>
      <c r="BV53" s="35"/>
      <c r="BW53" s="174">
        <f>BW188</f>
        <v>0.18227005816932099</v>
      </c>
      <c r="BX53" s="174">
        <f>BX188</f>
        <v>0.2381799212074617</v>
      </c>
      <c r="BY53" s="174">
        <f>BY188</f>
        <v>0.25352216402387012</v>
      </c>
      <c r="BZ53" s="174">
        <f>BZ188</f>
        <v>0.31121180836108053</v>
      </c>
      <c r="CA53" s="175">
        <f>CA188</f>
        <v>0.24637136790888861</v>
      </c>
      <c r="CB53" s="35"/>
      <c r="CC53" s="174">
        <f>CC188</f>
        <v>0.20854027031783032</v>
      </c>
      <c r="CD53" s="174">
        <f>CD188</f>
        <v>0.26945191715401567</v>
      </c>
      <c r="CE53" s="174">
        <f>CE188</f>
        <v>0.28583958911973761</v>
      </c>
      <c r="CF53" s="174">
        <f>CF188</f>
        <v>0.34676094372187871</v>
      </c>
      <c r="CG53" s="175">
        <f>CG188</f>
        <v>0.27784752177639982</v>
      </c>
      <c r="CH53" s="35"/>
      <c r="CI53" s="174">
        <f>CI188</f>
        <v>0.2339318408992932</v>
      </c>
      <c r="CJ53" s="174">
        <f>CJ188</f>
        <v>0.29869831633229166</v>
      </c>
      <c r="CK53" s="174">
        <f>CK188</f>
        <v>0.31732643697290863</v>
      </c>
      <c r="CL53" s="174">
        <f>CL188</f>
        <v>0.38167831593322749</v>
      </c>
      <c r="CM53" s="175">
        <f>CM188</f>
        <v>0.30828093439351784</v>
      </c>
      <c r="CN53" s="94"/>
      <c r="CO53" s="94"/>
      <c r="CP53" s="94"/>
      <c r="CQ53" s="94"/>
    </row>
    <row r="54" spans="1:95" ht="12.75" hidden="1" customHeight="1" outlineLevel="1">
      <c r="A54" s="107"/>
      <c r="B54" s="98"/>
      <c r="C54" s="98"/>
      <c r="D54" s="98"/>
      <c r="E54" s="98"/>
      <c r="F54" s="98"/>
      <c r="G54" s="98"/>
      <c r="H54" s="110"/>
      <c r="I54" s="98"/>
      <c r="J54" s="98"/>
      <c r="K54" s="98"/>
      <c r="L54" s="98"/>
      <c r="M54" s="98"/>
      <c r="N54" s="110"/>
      <c r="O54" s="98"/>
      <c r="P54" s="98"/>
      <c r="Q54" s="98"/>
      <c r="R54" s="98"/>
      <c r="S54" s="129"/>
      <c r="T54" s="110"/>
      <c r="U54" s="129"/>
      <c r="V54" s="129"/>
      <c r="W54" s="129"/>
      <c r="X54" s="129"/>
      <c r="Y54" s="128"/>
      <c r="Z54" s="110"/>
      <c r="AA54" s="129"/>
      <c r="AB54" s="129"/>
      <c r="AC54" s="129"/>
      <c r="AD54" s="129"/>
      <c r="AE54" s="128"/>
      <c r="AF54" s="110"/>
      <c r="AG54" s="129"/>
      <c r="AH54" s="129"/>
      <c r="AI54" s="129"/>
      <c r="AJ54" s="129"/>
      <c r="AK54" s="162"/>
      <c r="AL54" s="110"/>
      <c r="AM54" s="129"/>
      <c r="AN54" s="129"/>
      <c r="AO54" s="129"/>
      <c r="AP54" s="129"/>
      <c r="AQ54" s="162"/>
      <c r="AR54" s="110"/>
      <c r="AS54" s="129"/>
      <c r="AT54" s="129"/>
      <c r="AU54" s="129"/>
      <c r="AV54" s="129"/>
      <c r="AW54" s="162"/>
      <c r="AX54" s="110"/>
      <c r="AY54" s="129"/>
      <c r="AZ54" s="129"/>
      <c r="BA54" s="129"/>
      <c r="BB54" s="129"/>
      <c r="BC54" s="162"/>
      <c r="BD54" s="110"/>
      <c r="BE54" s="129"/>
      <c r="BF54" s="129"/>
      <c r="BG54" s="129"/>
      <c r="BH54" s="129"/>
      <c r="BI54" s="162"/>
      <c r="BJ54" s="110"/>
      <c r="BK54" s="129"/>
      <c r="BL54" s="129"/>
      <c r="BM54" s="129"/>
      <c r="BN54" s="129"/>
      <c r="BO54" s="162"/>
      <c r="BP54" s="110"/>
      <c r="BQ54" s="129"/>
      <c r="BR54" s="129"/>
      <c r="BS54" s="129"/>
      <c r="BT54" s="129"/>
      <c r="BU54" s="162"/>
      <c r="BV54" s="162"/>
      <c r="BW54" s="129"/>
      <c r="BX54" s="129"/>
      <c r="BY54" s="129"/>
      <c r="BZ54" s="129"/>
      <c r="CA54" s="162"/>
      <c r="CB54" s="162"/>
      <c r="CC54" s="129"/>
      <c r="CD54" s="129"/>
      <c r="CE54" s="129"/>
      <c r="CF54" s="129"/>
      <c r="CG54" s="162"/>
      <c r="CH54" s="162"/>
      <c r="CI54" s="129"/>
      <c r="CJ54" s="129"/>
      <c r="CK54" s="129"/>
      <c r="CL54" s="129"/>
      <c r="CM54" s="162"/>
      <c r="CN54" s="94"/>
      <c r="CO54" s="94"/>
      <c r="CP54" s="94"/>
      <c r="CQ54" s="94"/>
    </row>
    <row r="55" spans="1:95" ht="12.75" customHeight="1" collapsed="1">
      <c r="A55" s="158" t="s">
        <v>260</v>
      </c>
      <c r="B55" s="146"/>
      <c r="C55" s="146"/>
      <c r="D55" s="146"/>
      <c r="E55" s="146"/>
      <c r="F55" s="146"/>
      <c r="G55" s="147"/>
      <c r="H55" s="157"/>
      <c r="I55" s="146"/>
      <c r="J55" s="146"/>
      <c r="K55" s="146"/>
      <c r="L55" s="146"/>
      <c r="M55" s="147"/>
      <c r="N55" s="157"/>
      <c r="O55" s="146"/>
      <c r="P55" s="146"/>
      <c r="Q55" s="146"/>
      <c r="R55" s="146"/>
      <c r="S55" s="155"/>
      <c r="T55" s="157"/>
      <c r="U55" s="151"/>
      <c r="V55" s="151"/>
      <c r="W55" s="151"/>
      <c r="X55" s="151"/>
      <c r="Y55" s="154"/>
      <c r="Z55" s="157"/>
      <c r="AA55" s="151"/>
      <c r="AB55" s="151"/>
      <c r="AC55" s="151"/>
      <c r="AD55" s="151"/>
      <c r="AE55" s="154"/>
      <c r="AF55" s="157"/>
      <c r="AG55" s="151"/>
      <c r="AH55" s="151"/>
      <c r="AI55" s="151"/>
      <c r="AJ55" s="151"/>
      <c r="AK55" s="153"/>
      <c r="AL55" s="157"/>
      <c r="AM55" s="151"/>
      <c r="AN55" s="151"/>
      <c r="AO55" s="151"/>
      <c r="AP55" s="151"/>
      <c r="AQ55" s="153"/>
      <c r="AR55" s="157"/>
      <c r="AS55" s="151"/>
      <c r="AT55" s="151"/>
      <c r="AU55" s="151"/>
      <c r="AV55" s="151"/>
      <c r="AW55" s="153"/>
      <c r="AX55" s="157"/>
      <c r="AY55" s="151"/>
      <c r="AZ55" s="151"/>
      <c r="BA55" s="151"/>
      <c r="BB55" s="151"/>
      <c r="BC55" s="153"/>
      <c r="BD55" s="157"/>
      <c r="BE55" s="151"/>
      <c r="BF55" s="151"/>
      <c r="BG55" s="151"/>
      <c r="BH55" s="151"/>
      <c r="BI55" s="153"/>
      <c r="BJ55" s="157"/>
      <c r="BK55" s="151"/>
      <c r="BL55" s="151"/>
      <c r="BM55" s="151"/>
      <c r="BN55" s="151"/>
      <c r="BO55" s="153"/>
      <c r="BP55" s="157"/>
      <c r="BQ55" s="151"/>
      <c r="BR55" s="151"/>
      <c r="BS55" s="151"/>
      <c r="BT55" s="151"/>
      <c r="BU55" s="153"/>
      <c r="BV55" s="1789"/>
      <c r="BW55" s="151"/>
      <c r="BX55" s="151"/>
      <c r="BY55" s="151"/>
      <c r="BZ55" s="151"/>
      <c r="CA55" s="153"/>
      <c r="CB55" s="1789"/>
      <c r="CC55" s="151"/>
      <c r="CD55" s="151"/>
      <c r="CE55" s="151"/>
      <c r="CF55" s="151"/>
      <c r="CG55" s="153"/>
      <c r="CH55" s="1789"/>
      <c r="CI55" s="151"/>
      <c r="CJ55" s="151"/>
      <c r="CK55" s="151"/>
      <c r="CL55" s="151"/>
      <c r="CM55" s="153"/>
      <c r="CN55" s="94"/>
      <c r="CO55" s="94"/>
      <c r="CP55" s="94"/>
      <c r="CQ55" s="94"/>
    </row>
    <row r="56" spans="1:95" ht="12.75" customHeight="1">
      <c r="A56" s="548" t="s">
        <v>261</v>
      </c>
      <c r="B56" s="186"/>
      <c r="C56" s="224">
        <f>IF(OR(IS!C24&lt;0,IS!C27&lt;0),"NM",IS!C24/IS!C27)</f>
        <v>24.223503325942339</v>
      </c>
      <c r="D56" s="224">
        <f>IF(OR(IS!D24&lt;0,IS!D27&lt;0),"NM",IS!D24/IS!D27)</f>
        <v>18.183528070675401</v>
      </c>
      <c r="E56" s="224">
        <f>IF(OR(IS!E24&lt;0,IS!E27&lt;0),"NM",IS!E24/IS!E27)</f>
        <v>16.821688500727809</v>
      </c>
      <c r="F56" s="224">
        <f>IF(OR(IS!F24&lt;0,IS!F27&lt;0),"NM",IS!F24/IS!F27)</f>
        <v>15.425078139363862</v>
      </c>
      <c r="G56" s="528">
        <f>IF(OR(IS!G24&lt;0,IS!G27&lt;0),"NM",IS!G24/IS!G27)</f>
        <v>17.726982055464919</v>
      </c>
      <c r="H56" s="646"/>
      <c r="I56" s="224">
        <f>IF(OR(IS!I24&lt;0,IS!I27&lt;0),"NM",IS!I24/IS!I27)</f>
        <v>9.7486546375435239</v>
      </c>
      <c r="J56" s="224">
        <f>IF(OR(IS!J24&lt;0,IS!J27&lt;0),"NM",IS!J24/IS!J27)</f>
        <v>12.299686738600776</v>
      </c>
      <c r="K56" s="224">
        <f>IF(OR(IS!K24&lt;0,IS!K27&lt;0),"NM",IS!K24/IS!K27)</f>
        <v>12.247527860618428</v>
      </c>
      <c r="L56" s="224">
        <f>IF(OR(IS!L24&lt;0,IS!L27&lt;0),"NM",IS!L24/IS!L27)</f>
        <v>4.1123016690706793</v>
      </c>
      <c r="M56" s="528">
        <f>IF(OR(IS!M24&lt;0,IS!M27&lt;0),"NM",IS!M24/IS!M27)</f>
        <v>7.2618266978922721</v>
      </c>
      <c r="N56" s="646"/>
      <c r="O56" s="224">
        <f>IF(OR(IS!O24&lt;0,IS!O27&lt;0),"NM",IS!O24/IS!O27)</f>
        <v>13.093504795117699</v>
      </c>
      <c r="P56" s="224">
        <f>IF(OR(IS!P24&lt;0,IS!P27&lt;0),"NM",IS!P24/IS!P27)</f>
        <v>15.432017025301477</v>
      </c>
      <c r="Q56" s="224">
        <f>IF(OR(IS!Q24&lt;0,IS!Q27&lt;0),"NM",IS!Q24/IS!Q27)</f>
        <v>12.854747162022701</v>
      </c>
      <c r="R56" s="224">
        <f>IF(OR(IS!R24&lt;0,IS!R27&lt;0),"NM",IS!R24/IS!R27)</f>
        <v>22.600904977375539</v>
      </c>
      <c r="S56" s="528">
        <f>IF(OR(IS!S24&lt;0,IS!S27&lt;0),"NM",IS!S24/IS!S27)</f>
        <v>15.622313843078453</v>
      </c>
      <c r="T56" s="646"/>
      <c r="U56" s="224">
        <f>IF(OR(IS!U24&lt;0,IS!U27&lt;0),"NM",IS!U24/IS!U27)</f>
        <v>14.4191427820142</v>
      </c>
      <c r="V56" s="224">
        <f>IF(OR(IS!V24&lt;0,IS!V27&lt;0),"NM",IS!V24/IS!V27)</f>
        <v>17.319321347176498</v>
      </c>
      <c r="W56" s="224">
        <f>IF(OR(IS!W24&lt;0,IS!W27&lt;0),"NM",IS!W24/IS!W27)</f>
        <v>16.096057347670257</v>
      </c>
      <c r="X56" s="224">
        <f>IF(OR(IS!X24&lt;0,IS!X27&lt;0),"NM",IS!X24/IS!X27)</f>
        <v>22.234699038947909</v>
      </c>
      <c r="Y56" s="528">
        <f>IF(OR(IS!Y24&lt;0,IS!Y27&lt;0),"NM",IS!Y24/IS!Y27)</f>
        <v>17.526146875589962</v>
      </c>
      <c r="Z56" s="646"/>
      <c r="AA56" s="224">
        <f>IF(OR(IS!AA24&lt;0,IS!AA27&lt;0),"NM",IS!AA24/IS!AA27)</f>
        <v>27.466036772216562</v>
      </c>
      <c r="AB56" s="224">
        <f>IF(OR(IS!AB24&lt;0,IS!AB27&lt;0),"NM",IS!AB24/IS!AB27)</f>
        <v>28.696653216235482</v>
      </c>
      <c r="AC56" s="224">
        <f>IF(OR(IS!AC24&lt;0,IS!AC27&lt;0),"NM",IS!AC24/IS!AC27)</f>
        <v>25.586648685097774</v>
      </c>
      <c r="AD56" s="224">
        <f>IF(OR(IS!AD24&lt;0,IS!AD27&lt;0),"NM",IS!AD24/IS!AD27)</f>
        <v>9.4567800081933449</v>
      </c>
      <c r="AE56" s="528">
        <f>IF(OR(IS!AE24&lt;0,IS!AE27&lt;0),"NM",IS!AE24/IS!AE27)</f>
        <v>18.468748739054984</v>
      </c>
      <c r="AF56" s="646"/>
      <c r="AG56" s="224">
        <f>IF(OR(IS!AG24&lt;0,IS!AG27&lt;0),"NM",IS!AG24/IS!AG27)</f>
        <v>8.1350878726938962</v>
      </c>
      <c r="AH56" s="224">
        <f>IF(OR(IS!AH24&lt;0,IS!AH27&lt;0),"NM",IS!AH24/IS!AH27)</f>
        <v>9.1122673957139106</v>
      </c>
      <c r="AI56" s="224">
        <f>IF(OR(IS!AI24&lt;0,IS!AI27&lt;0),"NM",IS!AI24/IS!AI27)</f>
        <v>8.1000880281690169</v>
      </c>
      <c r="AJ56" s="224">
        <f>IF(OR(IS!AJ24&lt;0,IS!AJ27&lt;0),"NM",IS!AJ24/IS!AJ27)</f>
        <v>10.372242725946281</v>
      </c>
      <c r="AK56" s="528">
        <f>IF(OR(IS!AK24&lt;0,IS!AK27&lt;0),"NM",IS!AK24/IS!AK27)</f>
        <v>8.9376678970013259</v>
      </c>
      <c r="AL56" s="646"/>
      <c r="AM56" s="224">
        <f>IF(OR(IS!AM24&lt;0,IS!AM27&lt;0),"NM",IS!AM24/IS!AM27)</f>
        <v>6.5331394851620628</v>
      </c>
      <c r="AN56" s="224">
        <f>IF(OR(IS!AN24&lt;0,IS!AN27&lt;0),"NM",IS!AN24/IS!AN27)</f>
        <v>8.2321833291362427</v>
      </c>
      <c r="AO56" s="224">
        <f>IF(OR(IS!AO24&lt;0,IS!AO27&lt;0),"NM",IS!AO24/IS!AO27)</f>
        <v>8.3298761671223573</v>
      </c>
      <c r="AP56" s="224">
        <f>IF(OR(IS!AP24&lt;0,IS!AP27&lt;0),"NM",IS!AP24/IS!AP27)</f>
        <v>8.6365813603394059</v>
      </c>
      <c r="AQ56" s="528">
        <f>IF(OR(IS!AQ24&lt;0,IS!AQ27&lt;0),"NM",IS!AQ24/IS!AQ27)</f>
        <v>7.97552020390994</v>
      </c>
      <c r="AR56" s="646"/>
      <c r="AS56" s="224">
        <f>IF(OR(IS!AS24&lt;0,IS!AS27&lt;0),"NM",IS!AS24/IS!AS27)</f>
        <v>10.058362946089632</v>
      </c>
      <c r="AT56" s="224">
        <f>IF(OR(IS!AT24&lt;0,IS!AT27&lt;0),"NM",IS!AT24/IS!AT27)</f>
        <v>11.667871681903295</v>
      </c>
      <c r="AU56" s="224">
        <f>IF(OR(IS!AU24&lt;0,IS!AU27&lt;0),"NM",IS!AU24/IS!AU27)</f>
        <v>11.464064002693915</v>
      </c>
      <c r="AV56" s="224">
        <f>IF(OR(IS!AV24&lt;0,IS!AV27&lt;0),"NM",IS!AV24/IS!AV27)</f>
        <v>15.63172085587556</v>
      </c>
      <c r="AW56" s="528">
        <f>IF(OR(IS!AW24&lt;0,IS!AW27&lt;0),"NM",IS!AW24/IS!AW27)</f>
        <v>12.199180791750779</v>
      </c>
      <c r="AX56" s="646"/>
      <c r="AY56" s="224">
        <f>IF(OR(IS!AY24&lt;0,IS!AY27&lt;0),"NM",IS!AY24/IS!AY27)</f>
        <v>8.9924371538133823</v>
      </c>
      <c r="AZ56" s="224">
        <f>IF(OR(IS!AZ24&lt;0,IS!AZ27&lt;0),"NM",IS!AZ24/IS!AZ27)</f>
        <v>10.649860245108579</v>
      </c>
      <c r="BA56" s="224">
        <f>IF(OR(IS!BA24&lt;0,IS!BA27&lt;0),"NM",IS!BA24/IS!BA27)</f>
        <v>10.062183512254407</v>
      </c>
      <c r="BB56" s="224">
        <f>IF(OR(IS!BB24&lt;0,IS!BB27&lt;0),"NM",IS!BB24/IS!BB27)</f>
        <v>13.938937771652711</v>
      </c>
      <c r="BC56" s="528">
        <f>IF(OR(IS!BC24&lt;0,IS!BC27&lt;0),"NM",IS!BC24/IS!BC27)</f>
        <v>10.904176645524641</v>
      </c>
      <c r="BD56" s="646"/>
      <c r="BE56" s="224">
        <f>IF(OR(IS!BE24&lt;0,IS!BE27&lt;0),"NM",IS!BE24/IS!BE27)</f>
        <v>9.4614368458489988</v>
      </c>
      <c r="BF56" s="224">
        <f>IF(OR(IS!BF24&lt;0,IS!BF27&lt;0),"NM",IS!BF24/IS!BF27)</f>
        <v>10.81567562128987</v>
      </c>
      <c r="BG56" s="224">
        <f>IF(OR(IS!BG24&lt;0,IS!BG27&lt;0),"NM",IS!BG24/IS!BG27)</f>
        <v>10.019912711402073</v>
      </c>
      <c r="BH56" s="224">
        <f>IF(OR(IS!BH24&lt;0,IS!BH27&lt;0),"NM",IS!BH24/IS!BH27)</f>
        <v>11.946418604651161</v>
      </c>
      <c r="BI56" s="528">
        <f>IF(OR(IS!BI24&lt;0,IS!BI27&lt;0),"NM",IS!BI24/IS!BI27)</f>
        <v>10.576719321903292</v>
      </c>
      <c r="BJ56" s="646"/>
      <c r="BK56" s="224">
        <f>IF(OR(IS!BK24&lt;0,IS!BK27&lt;0),"NM",IS!BK24/IS!BK27)</f>
        <v>8.9300975904917781</v>
      </c>
      <c r="BL56" s="224">
        <f>IF(OR(IS!BL24&lt;0,IS!BL27&lt;0),"NM",IS!BL24/IS!BL27)</f>
        <v>10.504271177116459</v>
      </c>
      <c r="BM56" s="224">
        <f>IF(OR(IS!BM24&lt;0,IS!BM27&lt;0),"NM",IS!BM24/IS!BM27)</f>
        <v>10.993577586479852</v>
      </c>
      <c r="BN56" s="224">
        <f>IF(OR(IS!BN24&lt;0,IS!BN27&lt;0),"NM",IS!BN24/IS!BN27)</f>
        <v>13.183201782220516</v>
      </c>
      <c r="BO56" s="528">
        <f>IF(OR(IS!BO24&lt;0,IS!BO27&lt;0),"NM",IS!BO24/IS!BO27)</f>
        <v>10.934130155441503</v>
      </c>
      <c r="BP56" s="646"/>
      <c r="BQ56" s="224">
        <f>IF(OR(IS!BQ24&lt;0,IS!BQ27&lt;0),"NM",IS!BQ24/IS!BQ27)</f>
        <v>7.7226175866416202</v>
      </c>
      <c r="BR56" s="224">
        <f>IF(OR(IS!BR24&lt;0,IS!BR27&lt;0),"NM",IS!BR24/IS!BR27)</f>
        <v>10.938196594557226</v>
      </c>
      <c r="BS56" s="224">
        <f>IF(OR(IS!BS24&lt;0,IS!BS27&lt;0),"NM",IS!BS24/IS!BS27)</f>
        <v>11.676202000133328</v>
      </c>
      <c r="BT56" s="224">
        <f>IF(OR(IS!BT24&lt;0,IS!BT27&lt;0),"NM",IS!BT24/IS!BT27)</f>
        <v>15.035268145689168</v>
      </c>
      <c r="BU56" s="528">
        <f>IF(OR(IS!BU24&lt;0,IS!BU27&lt;0),"NM",IS!BU24/IS!BU27)</f>
        <v>11.176138011371853</v>
      </c>
      <c r="BV56" s="224"/>
      <c r="BW56" s="224">
        <f>IF(OR(IS!BW24&lt;0,IS!BW27&lt;0),"NM",IS!BW24/IS!BW27)</f>
        <v>10.967045261143515</v>
      </c>
      <c r="BX56" s="224">
        <f>IF(OR(IS!BX24&lt;0,IS!BX27&lt;0),"NM",IS!BX24/IS!BX27)</f>
        <v>14.727339474461262</v>
      </c>
      <c r="BY56" s="224">
        <f>IF(OR(IS!BY24&lt;0,IS!BY27&lt;0),"NM",IS!BY24/IS!BY27)</f>
        <v>16.218379009324863</v>
      </c>
      <c r="BZ56" s="224">
        <f>IF(OR(IS!BZ24&lt;0,IS!BZ27&lt;0),"NM",IS!BZ24/IS!BZ27)</f>
        <v>19.531247028914436</v>
      </c>
      <c r="CA56" s="528">
        <f>IF(OR(IS!CA24&lt;0,IS!CA27&lt;0),"NM",IS!CA24/IS!CA27)</f>
        <v>15.246737469149096</v>
      </c>
      <c r="CB56" s="224"/>
      <c r="CC56" s="224">
        <f>IF(OR(IS!CC24&lt;0,IS!CC27&lt;0),"NM",IS!CC24/IS!CC27)</f>
        <v>13.517579262719741</v>
      </c>
      <c r="CD56" s="224">
        <f>IF(OR(IS!CD24&lt;0,IS!CD27&lt;0),"NM",IS!CD24/IS!CD27)</f>
        <v>17.253899477681312</v>
      </c>
      <c r="CE56" s="224">
        <f>IF(OR(IS!CE24&lt;0,IS!CE27&lt;0),"NM",IS!CE24/IS!CE27)</f>
        <v>18.022002371499102</v>
      </c>
      <c r="CF56" s="224">
        <f>IF(OR(IS!CF24&lt;0,IS!CF27&lt;0),"NM",IS!CF24/IS!CF27)</f>
        <v>22.501046846604012</v>
      </c>
      <c r="CG56" s="528">
        <f>IF(OR(IS!CG24&lt;0,IS!CG27&lt;0),"NM",IS!CG24/IS!CG27)</f>
        <v>17.774053855130912</v>
      </c>
      <c r="CH56" s="224"/>
      <c r="CI56" s="224">
        <f>IF(OR(IS!CI24&lt;0,IS!CI27&lt;0),"NM",IS!CI24/IS!CI27)</f>
        <v>16.236519827092582</v>
      </c>
      <c r="CJ56" s="224">
        <f>IF(OR(IS!CJ24&lt;0,IS!CJ27&lt;0),"NM",IS!CJ24/IS!CJ27)</f>
        <v>21.599408151920219</v>
      </c>
      <c r="CK56" s="224">
        <f>IF(OR(IS!CK24&lt;0,IS!CK27&lt;0),"NM",IS!CK24/IS!CK27)</f>
        <v>23.740031762089568</v>
      </c>
      <c r="CL56" s="224">
        <f>IF(OR(IS!CL24&lt;0,IS!CL27&lt;0),"NM",IS!CL24/IS!CL27)</f>
        <v>30.824936519042847</v>
      </c>
      <c r="CM56" s="528">
        <f>IF(OR(IS!CM24&lt;0,IS!CM27&lt;0),"NM",IS!CM24/IS!CM27)</f>
        <v>22.756757240297699</v>
      </c>
      <c r="CN56" s="94"/>
      <c r="CO56" s="94"/>
      <c r="CP56" s="94"/>
      <c r="CQ56" s="94"/>
    </row>
    <row r="57" spans="1:95" ht="12.75" customHeight="1">
      <c r="A57" s="549" t="s">
        <v>262</v>
      </c>
      <c r="B57" s="183"/>
      <c r="C57" s="224">
        <f>IF(OR(IS!C18&lt;0,IS!C27&lt;0),"NM",IS!C18/IS!C27)</f>
        <v>19.107317073170723</v>
      </c>
      <c r="D57" s="224">
        <f>IF(OR(IS!D18&lt;0,IS!D27&lt;0),"NM",IS!D18/IS!D27)</f>
        <v>14.469934454260468</v>
      </c>
      <c r="E57" s="224">
        <f>IF(OR(IS!E18&lt;0,IS!E27&lt;0),"NM",IS!E18/IS!E27)</f>
        <v>14.072295002426014</v>
      </c>
      <c r="F57" s="224">
        <f>IF(OR(IS!F18&lt;0,IS!F27&lt;0),"NM",IS!F18/IS!F27)</f>
        <v>13.175951461665756</v>
      </c>
      <c r="G57" s="528">
        <f>IF(OR(IS!G18&lt;0,IS!G27&lt;0),"NM",IS!G18/IS!G27)</f>
        <v>14.586101141924955</v>
      </c>
      <c r="H57" s="646"/>
      <c r="I57" s="224">
        <f>IF(OR(IS!I18&lt;0,IS!I27&lt;0),"NM",IS!I18/IS!I27)</f>
        <v>7.6560620449509313</v>
      </c>
      <c r="J57" s="224">
        <f>IF(OR(IS!J18&lt;0,IS!J27&lt;0),"NM",IS!J18/IS!J27)</f>
        <v>10.380960668290994</v>
      </c>
      <c r="K57" s="224">
        <f>IF(OR(IS!K18&lt;0,IS!K27&lt;0),"NM",IS!K18/IS!K27)</f>
        <v>10.074399623293045</v>
      </c>
      <c r="L57" s="224">
        <f>IF(OR(IS!L18&lt;0,IS!L27&lt;0),"NM",IS!L18/IS!L27)</f>
        <v>3.5374819699155169</v>
      </c>
      <c r="M57" s="528">
        <f>IF(OR(IS!M18&lt;0,IS!M27&lt;0),"NM",IS!M18/IS!M27)</f>
        <v>6.0431147540983616</v>
      </c>
      <c r="N57" s="646"/>
      <c r="O57" s="224">
        <f>IF(OR(IS!O18&lt;0,IS!O27&lt;0),"NM",IS!O18/IS!O27)</f>
        <v>10.4601133391456</v>
      </c>
      <c r="P57" s="224">
        <f>IF(OR(IS!P18&lt;0,IS!P27&lt;0),"NM",IS!P18/IS!P27)</f>
        <v>12.414518798770382</v>
      </c>
      <c r="Q57" s="224">
        <f>IF(OR(IS!Q18&lt;0,IS!Q27&lt;0),"NM",IS!Q18/IS!Q27)</f>
        <v>12.26702786377709</v>
      </c>
      <c r="R57" s="224">
        <f>IF(OR(IS!R18&lt;0,IS!R27&lt;0),"NM",IS!R18/IS!R27)</f>
        <v>14.92790346907991</v>
      </c>
      <c r="S57" s="528">
        <f>IF(OR(IS!S18&lt;0,IS!S27&lt;0),"NM",IS!S18/IS!S27)</f>
        <v>12.339142928535724</v>
      </c>
      <c r="T57" s="646"/>
      <c r="U57" s="224">
        <f>IF(OR(IS!U18&lt;0,IS!U27&lt;0),"NM",IS!U18/IS!U27)</f>
        <v>12.048645805942677</v>
      </c>
      <c r="V57" s="224">
        <f>IF(OR(IS!V18&lt;0,IS!V27&lt;0),"NM",IS!V18/IS!V27)</f>
        <v>14.162319574575841</v>
      </c>
      <c r="W57" s="224">
        <f>IF(OR(IS!W18&lt;0,IS!W27&lt;0),"NM",IS!W18/IS!W27)</f>
        <v>13.74145758661888</v>
      </c>
      <c r="X57" s="224">
        <f>IF(OR(IS!X18&lt;0,IS!X27&lt;0),"NM",IS!X18/IS!X27)</f>
        <v>19.826504805260505</v>
      </c>
      <c r="Y57" s="528">
        <f>IF(OR(IS!Y18&lt;0,IS!Y27&lt;0),"NM",IS!Y18/IS!Y27)</f>
        <v>14.955005978226673</v>
      </c>
      <c r="Z57" s="646"/>
      <c r="AA57" s="224">
        <f>IF(OR(IS!AA18&lt;0,IS!AA27&lt;0),"NM",IS!AA18/IS!AA27)</f>
        <v>24.753575076608801</v>
      </c>
      <c r="AB57" s="224">
        <f>IF(OR(IS!AB18&lt;0,IS!AB27&lt;0),"NM",IS!AB18/IS!AB27)</f>
        <v>25.78779966769525</v>
      </c>
      <c r="AC57" s="224">
        <f>IF(OR(IS!AC18&lt;0,IS!AC27&lt;0),"NM",IS!AC18/IS!AC27)</f>
        <v>23.494493144526857</v>
      </c>
      <c r="AD57" s="224">
        <f>IF(OR(IS!AD18&lt;0,IS!AD27&lt;0),"NM",IS!AD18/IS!AD27)</f>
        <v>8.2910282671036253</v>
      </c>
      <c r="AE57" s="528">
        <f>IF(OR(IS!AE18&lt;0,IS!AE27&lt;0),"NM",IS!AE18/IS!AE27)</f>
        <v>16.59597304603961</v>
      </c>
      <c r="AF57" s="646"/>
      <c r="AG57" s="224">
        <f>IF(OR(IS!AG18&lt;0,IS!AG27&lt;0),"NM",IS!AG18/IS!AG27)</f>
        <v>6.9036460610299972</v>
      </c>
      <c r="AH57" s="224">
        <f>IF(OR(IS!AH18&lt;0,IS!AH27&lt;0),"NM",IS!AH18/IS!AH27)</f>
        <v>7.9136608166505011</v>
      </c>
      <c r="AI57" s="224">
        <f>IF(OR(IS!AI18&lt;0,IS!AI27&lt;0),"NM",IS!AI18/IS!AI27)</f>
        <v>6.8902288732394394</v>
      </c>
      <c r="AJ57" s="224">
        <f>IF(OR(IS!AJ18&lt;0,IS!AJ27&lt;0),"NM",IS!AJ18/IS!AJ27)</f>
        <v>9.0625697365033133</v>
      </c>
      <c r="AK57" s="528">
        <f>IF(OR(IS!AK18&lt;0,IS!AK27&lt;0),"NM",IS!AK18/IS!AK27)</f>
        <v>7.6998056216830051</v>
      </c>
      <c r="AL57" s="646"/>
      <c r="AM57" s="224">
        <f>IF(OR(IS!AM18&lt;0,IS!AM27&lt;0),"NM",IS!AM18/IS!AM27)</f>
        <v>5.4642093560249725</v>
      </c>
      <c r="AN57" s="224">
        <f>IF(OR(IS!AN18&lt;0,IS!AN27&lt;0),"NM",IS!AN18/IS!AN27)</f>
        <v>7.1713254427935924</v>
      </c>
      <c r="AO57" s="224">
        <f>IF(OR(IS!AO18&lt;0,IS!AO27&lt;0),"NM",IS!AO18/IS!AO27)</f>
        <v>7.0115234671907096</v>
      </c>
      <c r="AP57" s="224">
        <f>IF(OR(IS!AP18&lt;0,IS!AP27&lt;0),"NM",IS!AP18/IS!AP27)</f>
        <v>7.8052552347064514</v>
      </c>
      <c r="AQ57" s="528">
        <f>IF(OR(IS!AQ18&lt;0,IS!AQ27&lt;0),"NM",IS!AQ18/IS!AQ27)</f>
        <v>6.9195951979008061</v>
      </c>
      <c r="AR57" s="646"/>
      <c r="AS57" s="224">
        <f>IF(OR(IS!AS18&lt;0,IS!AS27&lt;0),"NM",IS!AS18/IS!AS27)</f>
        <v>8.6195951838594542</v>
      </c>
      <c r="AT57" s="224">
        <f>IF(OR(IS!AT18&lt;0,IS!AT27&lt;0),"NM",IS!AT18/IS!AT27)</f>
        <v>10.270030509968059</v>
      </c>
      <c r="AU57" s="224">
        <f>IF(OR(IS!AU18&lt;0,IS!AU27&lt;0),"NM",IS!AU18/IS!AU27)</f>
        <v>10.254500639802455</v>
      </c>
      <c r="AV57" s="224">
        <f>IF(OR(IS!AV18&lt;0,IS!AV27&lt;0),"NM",IS!AV18/IS!AV27)</f>
        <v>14.409608972393267</v>
      </c>
      <c r="AW57" s="528">
        <f>IF(OR(IS!AW18&lt;0,IS!AW27&lt;0),"NM",IS!AW18/IS!AW27)</f>
        <v>10.881094218825496</v>
      </c>
      <c r="AX57" s="646"/>
      <c r="AY57" s="224">
        <f>IF(OR(IS!AY18&lt;0,IS!AY27&lt;0),"NM",IS!AY18/IS!AY27)</f>
        <v>7.6587132509586739</v>
      </c>
      <c r="AZ57" s="224">
        <f>IF(OR(IS!AZ18&lt;0,IS!AZ27&lt;0),"NM",IS!AZ18/IS!AZ27)</f>
        <v>9.2990754676413676</v>
      </c>
      <c r="BA57" s="224">
        <f>IF(OR(IS!BA18&lt;0,IS!BA27&lt;0),"NM",IS!BA18/IS!BA27)</f>
        <v>8.7806360137735471</v>
      </c>
      <c r="BB57" s="224">
        <f>IF(OR(IS!BB18&lt;0,IS!BB27&lt;0),"NM",IS!BB18/IS!BB27)</f>
        <v>12.519877027456801</v>
      </c>
      <c r="BC57" s="528">
        <f>IF(OR(IS!BC18&lt;0,IS!BC27&lt;0),"NM",IS!BC18/IS!BC27)</f>
        <v>9.5586493670552883</v>
      </c>
      <c r="BD57" s="646"/>
      <c r="BE57" s="224">
        <f>IF(OR(IS!BE18&lt;0,IS!BE27&lt;0),"NM",IS!BE18/IS!BE27)</f>
        <v>8.2511939843511826</v>
      </c>
      <c r="BF57" s="224">
        <f>IF(OR(IS!BF18&lt;0,IS!BF27&lt;0),"NM",IS!BF18/IS!BF27)</f>
        <v>9.457691920716373</v>
      </c>
      <c r="BG57" s="224">
        <f>IF(OR(IS!BG18&lt;0,IS!BG27&lt;0),"NM",IS!BG18/IS!BG27)</f>
        <v>8.8834333515184571</v>
      </c>
      <c r="BH57" s="224">
        <f>IF(OR(IS!BH18&lt;0,IS!BH27&lt;0),"NM",IS!BH18/IS!BH27)</f>
        <v>11.227906976744185</v>
      </c>
      <c r="BI57" s="528">
        <f>IF(OR(IS!BI18&lt;0,IS!BI27&lt;0),"NM",IS!BI18/IS!BI27)</f>
        <v>9.4779425929493328</v>
      </c>
      <c r="BJ57" s="646"/>
      <c r="BK57" s="224">
        <f>IF(OR(IS!BK18&lt;0,IS!BK27&lt;0),"NM",IS!BK18/IS!BK27)</f>
        <v>7.7379418262150157</v>
      </c>
      <c r="BL57" s="224">
        <f>IF(OR(IS!BL18&lt;0,IS!BL27&lt;0),"NM",IS!BL18/IS!BL27)</f>
        <v>9.3299287856071995</v>
      </c>
      <c r="BM57" s="224">
        <f>IF(OR(IS!BM18&lt;0,IS!BM27&lt;0),"NM",IS!BM18/IS!BM27)</f>
        <v>9.7509568069983654</v>
      </c>
      <c r="BN57" s="224">
        <f>IF(OR(IS!BN18&lt;0,IS!BN27&lt;0),"NM",IS!BN18/IS!BN27)</f>
        <v>11.986001749781277</v>
      </c>
      <c r="BO57" s="528">
        <f>IF(OR(IS!BO18&lt;0,IS!BO27&lt;0),"NM",IS!BO18/IS!BO27)</f>
        <v>9.7323850705507464</v>
      </c>
      <c r="BP57" s="646"/>
      <c r="BQ57" s="224">
        <f>IF(OR(IS!BQ18&lt;0,IS!BQ27&lt;0),"NM",IS!BQ18/IS!BQ27)</f>
        <v>6.5824669806375162</v>
      </c>
      <c r="BR57" s="224">
        <f>IF(OR(IS!BR18&lt;0,IS!BR27&lt;0),"NM",IS!BR18/IS!BR27)</f>
        <v>9.660033045529838</v>
      </c>
      <c r="BS57" s="224">
        <f>IF(OR(IS!BS18&lt;0,IS!BS27&lt;0),"NM",IS!BS18/IS!BS27)</f>
        <v>10.363948926948499</v>
      </c>
      <c r="BT57" s="224">
        <f>IF(OR(IS!BT18&lt;0,IS!BT27&lt;0),"NM",IS!BT18/IS!BT27)</f>
        <v>13.607214826187997</v>
      </c>
      <c r="BU57" s="528">
        <f>IF(OR(IS!BU18&lt;0,IS!BU27&lt;0),"NM",IS!BU18/IS!BU27)</f>
        <v>9.8931378041759395</v>
      </c>
      <c r="BV57" s="224"/>
      <c r="BW57" s="224">
        <f>IF(OR(IS!BW18&lt;0,IS!BW27&lt;0),"NM",IS!BW18/IS!BW27)</f>
        <v>9.3296875083973809</v>
      </c>
      <c r="BX57" s="224">
        <f>IF(OR(IS!BX18&lt;0,IS!BX27&lt;0),"NM",IS!BX18/IS!BX27)</f>
        <v>12.977249205361513</v>
      </c>
      <c r="BY57" s="224">
        <f>IF(OR(IS!BY18&lt;0,IS!BY27&lt;0),"NM",IS!BY18/IS!BY27)</f>
        <v>14.364554104487191</v>
      </c>
      <c r="BZ57" s="224">
        <f>IF(OR(IS!BZ18&lt;0,IS!BZ27&lt;0),"NM",IS!BZ18/IS!BZ27)</f>
        <v>17.639103403572562</v>
      </c>
      <c r="CA57" s="528">
        <f>IF(OR(IS!CA18&lt;0,IS!CA27&lt;0),"NM",IS!CA18/IS!CA27)</f>
        <v>13.467328054896354</v>
      </c>
      <c r="CB57" s="224"/>
      <c r="CC57" s="224">
        <f>IF(OR(IS!CC18&lt;0,IS!CC27&lt;0),"NM",IS!CC18/IS!CC27)</f>
        <v>11.614175223701906</v>
      </c>
      <c r="CD57" s="224">
        <f>IF(OR(IS!CD18&lt;0,IS!CD27&lt;0),"NM",IS!CD18/IS!CD27)</f>
        <v>15.311611322107924</v>
      </c>
      <c r="CE57" s="224">
        <f>IF(OR(IS!CE18&lt;0,IS!CE27&lt;0),"NM",IS!CE18/IS!CE27)</f>
        <v>16.064431237751091</v>
      </c>
      <c r="CF57" s="224">
        <f>IF(OR(IS!CF18&lt;0,IS!CF27&lt;0),"NM",IS!CF18/IS!CF27)</f>
        <v>20.419578607583841</v>
      </c>
      <c r="CG57" s="528">
        <f>IF(OR(IS!CG18&lt;0,IS!CG27&lt;0),"NM",IS!CG18/IS!CG27)</f>
        <v>15.804039929898156</v>
      </c>
      <c r="CH57" s="224"/>
      <c r="CI57" s="224">
        <f>IF(OR(IS!CI18&lt;0,IS!CI27&lt;0),"NM",IS!CI18/IS!CI27)</f>
        <v>14.053968130010137</v>
      </c>
      <c r="CJ57" s="224">
        <f>IF(OR(IS!CJ18&lt;0,IS!CJ27&lt;0),"NM",IS!CJ18/IS!CJ27)</f>
        <v>19.266342617784186</v>
      </c>
      <c r="CK57" s="224">
        <f>IF(OR(IS!CK18&lt;0,IS!CK27&lt;0),"NM",IS!CK18/IS!CK27)</f>
        <v>21.266941821601716</v>
      </c>
      <c r="CL57" s="224">
        <f>IF(OR(IS!CL18&lt;0,IS!CL27&lt;0),"NM",IS!CL18/IS!CL27)</f>
        <v>28.08394232401989</v>
      </c>
      <c r="CM57" s="528">
        <f>IF(OR(IS!CM18&lt;0,IS!CM27&lt;0),"NM",IS!CM18/IS!CM27)</f>
        <v>20.3379380142736</v>
      </c>
      <c r="CN57" s="94"/>
      <c r="CO57" s="94"/>
      <c r="CP57" s="94"/>
      <c r="CQ57" s="94"/>
    </row>
    <row r="58" spans="1:95" ht="12.75" customHeight="1">
      <c r="A58" s="549" t="s">
        <v>263</v>
      </c>
      <c r="B58" s="184"/>
      <c r="C58" s="623">
        <f>IF(C47&lt;0,"NM",C47/(IS!C24*4))</f>
        <v>0.27544669009959016</v>
      </c>
      <c r="D58" s="623">
        <f>IF(D47&lt;0,"NM",D47/(IS!D24*4))</f>
        <v>0.33445914177350111</v>
      </c>
      <c r="E58" s="623">
        <f>IF(E47&lt;0,"NM",E47/(IS!E24*4))</f>
        <v>0.31053591773749278</v>
      </c>
      <c r="F58" s="623">
        <f>IF(F47&lt;0,"NM",F47/(IS!F24*4))</f>
        <v>0.93356139075294664</v>
      </c>
      <c r="G58" s="615">
        <f>IF(G47&lt;0,"NM",G47/IS!G24)</f>
        <v>1.1532249158893646</v>
      </c>
      <c r="H58" s="652"/>
      <c r="I58" s="623">
        <f>IF(I47&lt;0,"NM",I47/(IS!I24*4))</f>
        <v>1.5479080075334464</v>
      </c>
      <c r="J58" s="623">
        <f>IF(J47&lt;0,"NM",J47/(IS!J24*4))</f>
        <v>1.1590224127684854</v>
      </c>
      <c r="K58" s="623">
        <f>IF(K47&lt;0,"NM",K47/(IS!K24*4))</f>
        <v>1.1383011444462952</v>
      </c>
      <c r="L58" s="623">
        <f>IF(L47&lt;0,"NM",L47/(IS!L24*4))</f>
        <v>0.82670241018189095</v>
      </c>
      <c r="M58" s="615">
        <f>IF(M47&lt;0,"NM",M47/IS!M24)</f>
        <v>1.0641447368421053</v>
      </c>
      <c r="N58" s="652"/>
      <c r="O58" s="623">
        <f>IF(O47&lt;0,"NM",O47/(IS!O24*4))</f>
        <v>1.5898198858056027</v>
      </c>
      <c r="P58" s="623">
        <f>IF(P47&lt;0,"NM",P47/(IS!P24*4))</f>
        <v>1.4275573840826221</v>
      </c>
      <c r="Q58" s="623">
        <f>IF(Q47&lt;0,"NM",Q47/(IS!Q24*4))</f>
        <v>2.1389563472152542</v>
      </c>
      <c r="R58" s="623">
        <f>IF(R47&lt;0,"NM",R47/(IS!R24*4))</f>
        <v>1.2634339713301854</v>
      </c>
      <c r="S58" s="615">
        <f>IF(S47&lt;0,"NM",S47/IS!S24)</f>
        <v>1.5140473924552751</v>
      </c>
      <c r="T58" s="652"/>
      <c r="U58" s="623">
        <f>IF(U47&lt;0,"NM",U47/(IS!U24*4))</f>
        <v>1.5800021883434239</v>
      </c>
      <c r="V58" s="623">
        <f>IF(V47&lt;0,"NM",V47/(IS!V24*4))</f>
        <v>1.4790076614907743</v>
      </c>
      <c r="W58" s="623">
        <f>IF(W47&lt;0,"NM",W47/(IS!W24*4))</f>
        <v>1.5561184347258088</v>
      </c>
      <c r="X58" s="623">
        <f>IF(X47&lt;0,"NM",X47/(IS!X24*4))</f>
        <v>1.7542313117066229E-2</v>
      </c>
      <c r="Y58" s="615">
        <f>IF(Y47&lt;0,"NM",Y47/IS!Y24)</f>
        <v>2.2150171628822084E-2</v>
      </c>
      <c r="Z58" s="652"/>
      <c r="AA58" s="623">
        <f>IF(AA47&lt;0,"NM",AA47/(IS!AA24*4))</f>
        <v>0.23336928326375767</v>
      </c>
      <c r="AB58" s="623">
        <f>IF(AB47&lt;0,"NM",AB47/(IS!AB24*4))</f>
        <v>0.57029421252450341</v>
      </c>
      <c r="AC58" s="623">
        <f>IF(AC47&lt;0,"NM",AC47/(IS!AC24*4))</f>
        <v>0.5707778802652963</v>
      </c>
      <c r="AD58" s="623">
        <f>IF(AD47&lt;0,"NM",AD47/(IS!AD24*4))</f>
        <v>1.7383599029630947</v>
      </c>
      <c r="AE58" s="615">
        <f>IF(AE47&lt;0,"NM",AE47/IS!AE24)</f>
        <v>1.753433935387178</v>
      </c>
      <c r="AF58" s="652"/>
      <c r="AG58" s="623">
        <f>IF(AG47&lt;0,"NM",AG47/(IS!AG24*4))</f>
        <v>2.1206081190012984</v>
      </c>
      <c r="AH58" s="623">
        <f>IF(AH47&lt;0,"NM",AH47/(IS!AH24*4))</f>
        <v>1.7896132553908088</v>
      </c>
      <c r="AI58" s="623">
        <f>IF(AI47&lt;0,"NM",AI47/(IS!AI24*4))</f>
        <v>2.0689166132345105</v>
      </c>
      <c r="AJ58" s="623">
        <f>IF(AJ47&lt;0,"NM",AJ47/(IS!AJ24*4))</f>
        <v>1.5911689988166839</v>
      </c>
      <c r="AK58" s="615">
        <f>IF(AK47&lt;0,"NM",AK47/IS!AK24)</f>
        <v>1.8795148926395753</v>
      </c>
      <c r="AL58" s="652"/>
      <c r="AM58" s="623">
        <f>IF(AM47&lt;0,"NM",AM47/IS!AM24)</f>
        <v>11.791483401403289</v>
      </c>
      <c r="AN58" s="623">
        <f>IF(AN47&lt;0,"NM",AN47/IS!AN24)</f>
        <v>9.0914958702967201</v>
      </c>
      <c r="AO58" s="623">
        <f>IF(AO47&lt;0,"NM",AO47/IS!AO24)</f>
        <v>8.2427668255101452</v>
      </c>
      <c r="AP58" s="623">
        <f>IF(AP47&lt;0,"NM",AP47/(IS!AP24*4))</f>
        <v>1.5083112149902935</v>
      </c>
      <c r="AQ58" s="615">
        <f>IF(AQ47&lt;0,"NM",AQ47/IS!AQ24)</f>
        <v>1.9124651464405715</v>
      </c>
      <c r="AR58" s="652"/>
      <c r="AS58" s="623">
        <f>IF(AS47&lt;0,"NM",AS47/IS!AS24)</f>
        <v>7.6072991421106773</v>
      </c>
      <c r="AT58" s="623">
        <f>IF(AT47&lt;0,"NM",AT47/IS!AT24)</f>
        <v>6.514283180059941</v>
      </c>
      <c r="AU58" s="623">
        <f>IF(AU47&lt;0,"NM",AU47/IS!AU24)</f>
        <v>6.4234848304617618</v>
      </c>
      <c r="AV58" s="623">
        <f>IF(AV47&lt;0,"NM",AV47/IS!AV24)</f>
        <v>6.1985192807192586</v>
      </c>
      <c r="AW58" s="615">
        <f>IF(AW47&lt;0,"NM",AW47/IS!AW24)</f>
        <v>1.984670910561545</v>
      </c>
      <c r="AX58" s="652"/>
      <c r="AY58" s="623">
        <f>IF(AY47&lt;0,"NM",AY47/IS!AY24)</f>
        <v>10.03097570509707</v>
      </c>
      <c r="AZ58" s="623">
        <f>IF(AZ47&lt;0,"NM",AZ47/IS!AZ24)</f>
        <v>8.0377126129309051</v>
      </c>
      <c r="BA58" s="623">
        <f>IF(BA47&lt;0,"NM",BA47/IS!BA24)</f>
        <v>8.3872818406908607</v>
      </c>
      <c r="BB58" s="623">
        <f>IF(BB47&lt;0,"NM",BB47/IS!BB24)</f>
        <v>5.893806184688863</v>
      </c>
      <c r="BC58" s="615">
        <f>IF(BC47&lt;0,"NM",BC47/IS!BC24)</f>
        <v>1.8703943271723245</v>
      </c>
      <c r="BD58" s="652"/>
      <c r="BE58" s="623">
        <f>IF(BE47&lt;0,"NM",BE47/IS!BE24)</f>
        <v>9.7758994737407381</v>
      </c>
      <c r="BF58" s="623">
        <f>IF(BF47&lt;0,"NM",BF47/IS!BF24)</f>
        <v>7.5350753974529505</v>
      </c>
      <c r="BG58" s="623">
        <f>IF(BG47&lt;0,"NM",BG47/IS!BG24)</f>
        <v>7.4539877857330836</v>
      </c>
      <c r="BH58" s="623">
        <f>IF(BH47&lt;0,"NM",BH47/IS!BH24)</f>
        <v>5.3507210490251049</v>
      </c>
      <c r="BI58" s="615">
        <f>IF(BI47&lt;0,"NM",BI47/IS!BI24)</f>
        <v>1.5644673633403912</v>
      </c>
      <c r="BJ58" s="652"/>
      <c r="BK58" s="623">
        <f>IF(BK47&lt;0,"NM",BK47/IS!BK24)</f>
        <v>7.9010721490826556</v>
      </c>
      <c r="BL58" s="623">
        <f>IF(BL47&lt;0,"NM",BL47/IS!BL24)</f>
        <v>4.2400115280329196</v>
      </c>
      <c r="BM58" s="623">
        <f>IF(BM47&lt;0,"NM",BM47/IS!BM24)</f>
        <v>3.3244636641659944</v>
      </c>
      <c r="BN58" s="623">
        <f>IF(BN47&lt;0,"NM",BN47/IS!BN24)</f>
        <v>11.971908387411293</v>
      </c>
      <c r="BO58" s="615">
        <f>IF(BO47&lt;0,"NM",BO47/IS!BO24)</f>
        <v>3.7547949304940711</v>
      </c>
      <c r="BP58" s="652"/>
      <c r="BQ58" s="623">
        <f>IF(BQ47&lt;0,"NM",BQ47/IS!BQ24)</f>
        <v>14.099126001955703</v>
      </c>
      <c r="BR58" s="623">
        <f>IF(BR47&lt;0,"NM",BR47/IS!BR24)</f>
        <v>10.582021780322801</v>
      </c>
      <c r="BS58" s="623">
        <f>IF(BS47&lt;0,"NM",BS47/IS!BS24)</f>
        <v>9.4615919921400877</v>
      </c>
      <c r="BT58" s="623">
        <f>IF(BT47&lt;0,"NM",BT47/IS!BT24)</f>
        <v>7.2239653319884463</v>
      </c>
      <c r="BU58" s="615">
        <f>IF(BU47&lt;0,"NM",BU47/IS!BU24)</f>
        <v>2.2341656882314811</v>
      </c>
      <c r="BV58" s="623"/>
      <c r="BW58" s="623">
        <f>IF(BW47&lt;0,"NM",BW47/IS!BW24)</f>
        <v>9.8245764459509246</v>
      </c>
      <c r="BX58" s="623">
        <f>IF(BX47&lt;0,"NM",BX47/IS!BX24)</f>
        <v>7.3598763141929178</v>
      </c>
      <c r="BY58" s="623">
        <f>IF(BY47&lt;0,"NM",BY47/IS!BY24)</f>
        <v>6.4157017680189288</v>
      </c>
      <c r="BZ58" s="623">
        <f>IF(BZ47&lt;0,"NM",BZ47/IS!BZ24)</f>
        <v>4.7984679068516707</v>
      </c>
      <c r="CA58" s="615">
        <f>IF(CA47&lt;0,"NM",CA47/IS!CA24)</f>
        <v>1.4808109240767824</v>
      </c>
      <c r="CB58" s="623"/>
      <c r="CC58" s="623">
        <f>IF(CC47&lt;0,"NM",CC47/IS!CC24)</f>
        <v>6.293525217098777</v>
      </c>
      <c r="CD58" s="623">
        <f>IF(CD47&lt;0,"NM",CD47/IS!CD24)</f>
        <v>4.5106137019549619</v>
      </c>
      <c r="CE58" s="623">
        <f>IF(CE47&lt;0,"NM",CE47/IS!CE24)</f>
        <v>3.5865521500101889</v>
      </c>
      <c r="CF58" s="623">
        <f>IF(CF47&lt;0,"NM",CF47/IS!CF24)</f>
        <v>2.3860329129195295</v>
      </c>
      <c r="CG58" s="615">
        <f>IF(CG47&lt;0,"NM",CG47/IS!CG24)</f>
        <v>0.73113648702744416</v>
      </c>
      <c r="CH58" s="623"/>
      <c r="CI58" s="623">
        <f>IF(CI47&lt;0,"NM",CI47/IS!CI24)</f>
        <v>2.5892460617322488</v>
      </c>
      <c r="CJ58" s="623">
        <f>IF(CJ47&lt;0,"NM",CJ47/IS!CJ24)</f>
        <v>1.5366997642433691</v>
      </c>
      <c r="CK58" s="623">
        <f>IF(CK47&lt;0,"NM",CK47/IS!CK24)</f>
        <v>0.67828370692032214</v>
      </c>
      <c r="CL58" s="623" t="str">
        <f>IF(CL47&lt;0,"NM",CL47/IS!CL24)</f>
        <v>NM</v>
      </c>
      <c r="CM58" s="615" t="str">
        <f>IF(CM47&lt;0,"NM",CM47/IS!CM24)</f>
        <v>NM</v>
      </c>
      <c r="CN58" s="94"/>
      <c r="CO58" s="94"/>
      <c r="CP58" s="94"/>
      <c r="CQ58" s="94"/>
    </row>
    <row r="59" spans="1:95" ht="12.75" customHeight="1">
      <c r="A59" s="550" t="s">
        <v>264</v>
      </c>
      <c r="B59" s="185"/>
      <c r="C59" s="482">
        <f>C46/(C46+C40)</f>
        <v>0.10440818555156049</v>
      </c>
      <c r="D59" s="482">
        <f>D46/(D46+D40)</f>
        <v>0.13593631258849645</v>
      </c>
      <c r="E59" s="482">
        <f>E46/(E46+E40)</f>
        <v>0.13852664800055178</v>
      </c>
      <c r="F59" s="482">
        <f>F46/(F46+F40)</f>
        <v>0.24696964554521045</v>
      </c>
      <c r="G59" s="647">
        <f>G46/(G46+G40)</f>
        <v>0.24696964554521045</v>
      </c>
      <c r="H59" s="685"/>
      <c r="I59" s="482">
        <f>I46/(I46+I40)</f>
        <v>0.25937636184526142</v>
      </c>
      <c r="J59" s="482">
        <f>J46/(J46+J40)</f>
        <v>0.23941078800809704</v>
      </c>
      <c r="K59" s="482">
        <f>K46/(K46+K40)</f>
        <v>0.24967717125846761</v>
      </c>
      <c r="L59" s="482">
        <f>L46/(L46+L40)</f>
        <v>0.24510080052074532</v>
      </c>
      <c r="M59" s="647">
        <f>M46/(M46+M40)</f>
        <v>0.24510080052074532</v>
      </c>
      <c r="N59" s="685"/>
      <c r="O59" s="482">
        <f>O46/(O46+O40)</f>
        <v>0.26456487837659753</v>
      </c>
      <c r="P59" s="482">
        <f>P46/(P46+P40)</f>
        <v>0.24972216026825111</v>
      </c>
      <c r="Q59" s="482">
        <f>Q46/(Q46+Q40)</f>
        <v>0.2647892857831361</v>
      </c>
      <c r="R59" s="482">
        <f>R46/(R46+R40)</f>
        <v>0.25526585287797737</v>
      </c>
      <c r="S59" s="647">
        <f>S46/(S46+S40)</f>
        <v>0.25526585287797737</v>
      </c>
      <c r="T59" s="685"/>
      <c r="U59" s="482">
        <f>U46/(U46+U40)</f>
        <v>0.24461965299076913</v>
      </c>
      <c r="V59" s="482">
        <f>V46/(V46+V40)</f>
        <v>0.27398025686656718</v>
      </c>
      <c r="W59" s="482">
        <f>W46/(W46+W40)</f>
        <v>0.28194863451051522</v>
      </c>
      <c r="X59" s="482">
        <f>X46/(X46+X40)</f>
        <v>0.1812252425838824</v>
      </c>
      <c r="Y59" s="647">
        <f>Y46/(Y46+Y40)</f>
        <v>0.1812252425838824</v>
      </c>
      <c r="Z59" s="685"/>
      <c r="AA59" s="482">
        <f>AA46/(AA46+AA40)</f>
        <v>0.21295843298894226</v>
      </c>
      <c r="AB59" s="482">
        <f>AB46/(AB46+AB40)</f>
        <v>0.25537962314188489</v>
      </c>
      <c r="AC59" s="482">
        <f>AC46/(AC46+AC40)</f>
        <v>0.20708153631672058</v>
      </c>
      <c r="AD59" s="482">
        <f>AD46/(AD46+AD40)</f>
        <v>0.3390261789572333</v>
      </c>
      <c r="AE59" s="647">
        <f>AE46/(AE46+AE40)</f>
        <v>0.3390261789572333</v>
      </c>
      <c r="AF59" s="685"/>
      <c r="AG59" s="482">
        <f>AG46/(AG46+AG40)</f>
        <v>0.33160060130215857</v>
      </c>
      <c r="AH59" s="482">
        <f>AH46/(AH46+AH40)</f>
        <v>0.32579452025892114</v>
      </c>
      <c r="AI59" s="482">
        <f>AI46/(AI46+AI40)</f>
        <v>0.3243146408234398</v>
      </c>
      <c r="AJ59" s="482">
        <f>AJ46/(AJ46+AJ40)</f>
        <v>0.32654957214394625</v>
      </c>
      <c r="AK59" s="647">
        <f>AK46/(AK46+AK40)</f>
        <v>0.32654957214394625</v>
      </c>
      <c r="AL59" s="685"/>
      <c r="AM59" s="482">
        <f>AM46/(AM46+AM40)</f>
        <v>0.35883300961983089</v>
      </c>
      <c r="AN59" s="482">
        <f>AN46/(AN46+AN40)</f>
        <v>0.35059332908508423</v>
      </c>
      <c r="AO59" s="482">
        <f>AO46/(AO46+AO40)</f>
        <v>0.32776008278803775</v>
      </c>
      <c r="AP59" s="482">
        <f>AP46/(AP46+AP40)</f>
        <v>0.31910528930105847</v>
      </c>
      <c r="AQ59" s="647">
        <f>AQ46/(AQ46+AQ40)</f>
        <v>0.31910528930105847</v>
      </c>
      <c r="AR59" s="685"/>
      <c r="AS59" s="482">
        <f>AS46/(AS46+AS40)</f>
        <v>0.3141385196618135</v>
      </c>
      <c r="AT59" s="482">
        <f>AT46/(AT46+AT40)</f>
        <v>0.30336655684025204</v>
      </c>
      <c r="AU59" s="482">
        <f>AU46/(AU46+AU40)</f>
        <v>0.29417903711528087</v>
      </c>
      <c r="AV59" s="482">
        <f>AV46/(AV46+AV40)</f>
        <v>0.34020792428214036</v>
      </c>
      <c r="AW59" s="647">
        <f>AW46/(AW46+AW40)</f>
        <v>0.34020792428214036</v>
      </c>
      <c r="AX59" s="685"/>
      <c r="AY59" s="482">
        <f>AY46/(AY46+AY40)</f>
        <v>0.33025678608052844</v>
      </c>
      <c r="AZ59" s="482">
        <f>AZ46/(AZ46+AZ40)</f>
        <v>0.31789034936787025</v>
      </c>
      <c r="BA59" s="482">
        <f>BA46/(BA46+BA40)</f>
        <v>0.33359587374703992</v>
      </c>
      <c r="BB59" s="482">
        <f>BB46/(BB46+BB40)</f>
        <v>0.32429691937377014</v>
      </c>
      <c r="BC59" s="647">
        <f>BC46/(BC46+BC40)</f>
        <v>0.32429691937377014</v>
      </c>
      <c r="BD59" s="685"/>
      <c r="BE59" s="482">
        <f>BE46/(BE46+BE40)</f>
        <v>0.35356708600843101</v>
      </c>
      <c r="BF59" s="482">
        <f>BF46/(BF46+BF40)</f>
        <v>0.33629545203166655</v>
      </c>
      <c r="BG59" s="482">
        <f>BG46/(BG46+BG40)</f>
        <v>0.34666745397822307</v>
      </c>
      <c r="BH59" s="482">
        <f>BH46/(BH46+BH40)</f>
        <v>0.32700853376066719</v>
      </c>
      <c r="BI59" s="647">
        <f>BI46/(BI46+BI40)</f>
        <v>0.32700853376066719</v>
      </c>
      <c r="BJ59" s="685"/>
      <c r="BK59" s="482">
        <f>BK46/(BK46+BK40)</f>
        <v>0.32319612629375544</v>
      </c>
      <c r="BL59" s="482">
        <f>BL46/(BL46+BL40)</f>
        <v>0.30921836829963606</v>
      </c>
      <c r="BM59" s="482">
        <f>BM46/(BM46+BM40)</f>
        <v>0.30454819184597565</v>
      </c>
      <c r="BN59" s="482">
        <f>BN46/(BN46+BN40)</f>
        <v>0.44488287198647603</v>
      </c>
      <c r="BO59" s="647">
        <f>BO46/(BO46+BO40)</f>
        <v>0.44488287198647603</v>
      </c>
      <c r="BP59" s="685"/>
      <c r="BQ59" s="482">
        <f>BQ46/(BQ46+BQ40)</f>
        <v>0.43039407240039979</v>
      </c>
      <c r="BR59" s="482">
        <f>BR46/(BR46+BR40)</f>
        <v>0.43719437596160221</v>
      </c>
      <c r="BS59" s="482">
        <f>BS46/(BS46+BS40)</f>
        <v>0.42332422524066299</v>
      </c>
      <c r="BT59" s="482">
        <f>BT46/(BT46+BT40)</f>
        <v>0.39484845000074364</v>
      </c>
      <c r="BU59" s="647">
        <f>BU46/(BU46+BU40)</f>
        <v>0.39484845000074364</v>
      </c>
      <c r="BV59" s="224"/>
      <c r="BW59" s="482">
        <f>BW46/(BW46+BW40)</f>
        <v>0.37784703720925439</v>
      </c>
      <c r="BX59" s="482">
        <f>BX46/(BX46+BX40)</f>
        <v>0.35737725303848666</v>
      </c>
      <c r="BY59" s="482">
        <f>BY46/(BY46+BY40)</f>
        <v>0.33653118457442244</v>
      </c>
      <c r="BZ59" s="482">
        <f>BZ46/(BZ46+BZ40)</f>
        <v>0.32825215097913346</v>
      </c>
      <c r="CA59" s="647">
        <f>CA46/(CA46+CA40)</f>
        <v>0.32825215097913346</v>
      </c>
      <c r="CB59" s="224"/>
      <c r="CC59" s="482">
        <f>CC46/(CC46+CC40)</f>
        <v>0.3240850596283239</v>
      </c>
      <c r="CD59" s="482">
        <f>CD46/(CD46+CD40)</f>
        <v>0.31600695688598746</v>
      </c>
      <c r="CE59" s="482">
        <f>CE46/(CE46+CE40)</f>
        <v>0.30817431986487126</v>
      </c>
      <c r="CF59" s="482">
        <f>CF46/(CF46+CF40)</f>
        <v>0.2851474906565627</v>
      </c>
      <c r="CG59" s="647">
        <f>CG46/(CG46+CG40)</f>
        <v>0.2851474906565627</v>
      </c>
      <c r="CH59" s="224"/>
      <c r="CI59" s="482">
        <f>CI46/(CI46+CI40)</f>
        <v>0.2657823137371837</v>
      </c>
      <c r="CJ59" s="482">
        <f>CJ46/(CJ46+CJ40)</f>
        <v>0.24344201172895052</v>
      </c>
      <c r="CK59" s="482">
        <f>CK46/(CK46+CK40)</f>
        <v>0.22170330780135619</v>
      </c>
      <c r="CL59" s="482">
        <f>CL46/(CL46+CL40)</f>
        <v>0.18985870278083011</v>
      </c>
      <c r="CM59" s="647">
        <f>CM46/(CM46+CM40)</f>
        <v>0.18985870278083011</v>
      </c>
      <c r="CN59" s="94"/>
      <c r="CO59" s="94"/>
      <c r="CP59" s="94"/>
      <c r="CQ59" s="94"/>
    </row>
    <row r="60" spans="1:95" ht="12.75" customHeight="1">
      <c r="A60" s="555"/>
      <c r="B60" s="98"/>
      <c r="C60" s="98"/>
      <c r="D60" s="98"/>
      <c r="E60" s="98"/>
      <c r="F60" s="98"/>
      <c r="G60" s="98"/>
      <c r="H60" s="555"/>
      <c r="I60" s="98"/>
      <c r="J60" s="98"/>
      <c r="K60" s="98"/>
      <c r="L60" s="98"/>
      <c r="M60" s="98"/>
      <c r="N60" s="555"/>
      <c r="O60" s="98"/>
      <c r="P60" s="98"/>
      <c r="Q60" s="98"/>
      <c r="R60" s="98"/>
      <c r="S60" s="129"/>
      <c r="T60" s="555"/>
      <c r="U60" s="129"/>
      <c r="V60" s="129"/>
      <c r="W60" s="129"/>
      <c r="X60" s="129"/>
      <c r="Y60" s="128"/>
      <c r="Z60" s="555"/>
      <c r="AA60" s="129"/>
      <c r="AB60" s="129"/>
      <c r="AC60" s="129"/>
      <c r="AD60" s="129"/>
      <c r="AE60" s="128"/>
      <c r="AF60" s="555"/>
      <c r="AG60" s="129"/>
      <c r="AH60" s="129"/>
      <c r="AI60" s="129"/>
      <c r="AJ60" s="129"/>
      <c r="AK60" s="162"/>
      <c r="AL60" s="555"/>
      <c r="AM60" s="129"/>
      <c r="AN60" s="129"/>
      <c r="AO60" s="129"/>
      <c r="AP60" s="129"/>
      <c r="AQ60" s="162"/>
      <c r="AR60" s="555"/>
      <c r="AS60" s="129"/>
      <c r="AT60" s="129"/>
      <c r="AU60" s="129"/>
      <c r="AV60" s="129"/>
      <c r="AW60" s="162"/>
      <c r="AX60" s="555"/>
      <c r="AY60" s="129"/>
      <c r="AZ60" s="129"/>
      <c r="BA60" s="129"/>
      <c r="BB60" s="129"/>
      <c r="BC60" s="162"/>
      <c r="BD60" s="555"/>
      <c r="BE60" s="129"/>
      <c r="BF60" s="129"/>
      <c r="BG60" s="129"/>
      <c r="BH60" s="129"/>
      <c r="BI60" s="162"/>
      <c r="BJ60" s="555"/>
      <c r="BK60" s="129"/>
      <c r="BL60" s="129"/>
      <c r="BM60" s="129"/>
      <c r="BN60" s="129"/>
      <c r="BO60" s="162"/>
      <c r="BP60" s="555"/>
      <c r="BQ60" s="129"/>
      <c r="BR60" s="129"/>
      <c r="BS60" s="129"/>
      <c r="BT60" s="129"/>
      <c r="BU60" s="162"/>
      <c r="BV60" s="162"/>
      <c r="BW60" s="129"/>
      <c r="BX60" s="129"/>
      <c r="BY60" s="129"/>
      <c r="BZ60" s="129"/>
      <c r="CA60" s="162"/>
      <c r="CB60" s="162"/>
      <c r="CC60" s="129"/>
      <c r="CD60" s="129"/>
      <c r="CE60" s="129"/>
      <c r="CF60" s="129"/>
      <c r="CG60" s="162"/>
      <c r="CH60" s="162"/>
      <c r="CI60" s="129"/>
      <c r="CJ60" s="129"/>
      <c r="CK60" s="129"/>
      <c r="CL60" s="129"/>
      <c r="CM60" s="162"/>
      <c r="CN60" s="94"/>
      <c r="CO60" s="94"/>
      <c r="CP60" s="94"/>
      <c r="CQ60" s="94"/>
    </row>
    <row r="61" spans="1:95" ht="12.75" hidden="1" customHeight="1" outlineLevel="1">
      <c r="A61" s="158" t="s">
        <v>265</v>
      </c>
      <c r="B61" s="146"/>
      <c r="C61" s="146"/>
      <c r="D61" s="146"/>
      <c r="E61" s="146"/>
      <c r="F61" s="146"/>
      <c r="G61" s="147"/>
      <c r="H61" s="157"/>
      <c r="I61" s="146"/>
      <c r="J61" s="146"/>
      <c r="K61" s="146"/>
      <c r="L61" s="146"/>
      <c r="M61" s="147"/>
      <c r="N61" s="157"/>
      <c r="O61" s="146"/>
      <c r="P61" s="146"/>
      <c r="Q61" s="146"/>
      <c r="R61" s="146"/>
      <c r="S61" s="155"/>
      <c r="T61" s="157"/>
      <c r="U61" s="151"/>
      <c r="V61" s="151"/>
      <c r="W61" s="151"/>
      <c r="X61" s="151"/>
      <c r="Y61" s="154"/>
      <c r="Z61" s="157"/>
      <c r="AA61" s="151"/>
      <c r="AB61" s="151"/>
      <c r="AC61" s="151"/>
      <c r="AD61" s="151"/>
      <c r="AE61" s="154"/>
      <c r="AF61" s="157"/>
      <c r="AG61" s="151"/>
      <c r="AH61" s="151"/>
      <c r="AI61" s="151"/>
      <c r="AJ61" s="151"/>
      <c r="AK61" s="153"/>
      <c r="AL61" s="157"/>
      <c r="AM61" s="151"/>
      <c r="AN61" s="151"/>
      <c r="AO61" s="151"/>
      <c r="AP61" s="151"/>
      <c r="AQ61" s="153"/>
      <c r="AR61" s="157"/>
      <c r="AS61" s="151"/>
      <c r="AT61" s="151"/>
      <c r="AU61" s="151"/>
      <c r="AV61" s="151"/>
      <c r="AW61" s="153"/>
      <c r="AX61" s="157"/>
      <c r="AY61" s="151"/>
      <c r="AZ61" s="151"/>
      <c r="BA61" s="151"/>
      <c r="BB61" s="151"/>
      <c r="BC61" s="153"/>
      <c r="BD61" s="157"/>
      <c r="BE61" s="151"/>
      <c r="BF61" s="151"/>
      <c r="BG61" s="151"/>
      <c r="BH61" s="151"/>
      <c r="BI61" s="153"/>
      <c r="BJ61" s="157"/>
      <c r="BK61" s="151"/>
      <c r="BL61" s="151"/>
      <c r="BM61" s="151"/>
      <c r="BN61" s="151"/>
      <c r="BO61" s="153"/>
      <c r="BP61" s="157"/>
      <c r="BQ61" s="151"/>
      <c r="BR61" s="151"/>
      <c r="BS61" s="151"/>
      <c r="BT61" s="151"/>
      <c r="BU61" s="153"/>
      <c r="BV61" s="1789"/>
      <c r="BW61" s="151"/>
      <c r="BX61" s="151"/>
      <c r="BY61" s="151"/>
      <c r="BZ61" s="151"/>
      <c r="CA61" s="153"/>
      <c r="CB61" s="1789"/>
      <c r="CC61" s="151"/>
      <c r="CD61" s="151"/>
      <c r="CE61" s="151"/>
      <c r="CF61" s="151"/>
      <c r="CG61" s="153"/>
      <c r="CH61" s="1789"/>
      <c r="CI61" s="151"/>
      <c r="CJ61" s="151"/>
      <c r="CK61" s="151"/>
      <c r="CL61" s="151"/>
      <c r="CM61" s="153"/>
      <c r="CN61" s="94"/>
      <c r="CO61" s="94"/>
      <c r="CP61" s="94"/>
      <c r="CQ61" s="94"/>
    </row>
    <row r="62" spans="1:95" ht="12.75" hidden="1" customHeight="1" outlineLevel="1">
      <c r="A62" s="548" t="s">
        <v>266</v>
      </c>
      <c r="B62" s="178"/>
      <c r="C62" s="178">
        <f t="shared" ref="C62:AW62" si="43">C15/C29</f>
        <v>1.6014403995518334</v>
      </c>
      <c r="D62" s="178">
        <f t="shared" si="43"/>
        <v>1.5835097252732593</v>
      </c>
      <c r="E62" s="178">
        <f t="shared" si="43"/>
        <v>1.6955368612056805</v>
      </c>
      <c r="F62" s="178">
        <f t="shared" si="43"/>
        <v>1.5393555126205716</v>
      </c>
      <c r="G62" s="177">
        <f t="shared" si="43"/>
        <v>1.5393555126205718</v>
      </c>
      <c r="H62" s="163"/>
      <c r="I62" s="178">
        <f t="shared" si="43"/>
        <v>1.5709347275713439</v>
      </c>
      <c r="J62" s="178">
        <f t="shared" si="43"/>
        <v>1.5469929984139086</v>
      </c>
      <c r="K62" s="178">
        <f t="shared" si="43"/>
        <v>1.6605037919722667</v>
      </c>
      <c r="L62" s="178">
        <f t="shared" si="43"/>
        <v>1.6092200944518271</v>
      </c>
      <c r="M62" s="177">
        <f t="shared" si="43"/>
        <v>1.6092200944518271</v>
      </c>
      <c r="N62" s="163"/>
      <c r="O62" s="178">
        <f t="shared" si="43"/>
        <v>1.6647826040589107</v>
      </c>
      <c r="P62" s="178">
        <f t="shared" si="43"/>
        <v>1.6504444372876441</v>
      </c>
      <c r="Q62" s="178">
        <f t="shared" si="43"/>
        <v>1.6596169442884769</v>
      </c>
      <c r="R62" s="178">
        <f t="shared" si="43"/>
        <v>1.777978455523286</v>
      </c>
      <c r="S62" s="177">
        <f t="shared" si="43"/>
        <v>1.7779784555232865</v>
      </c>
      <c r="T62" s="163"/>
      <c r="U62" s="178">
        <f t="shared" si="43"/>
        <v>1.7879938920024159</v>
      </c>
      <c r="V62" s="178">
        <f t="shared" si="43"/>
        <v>1.7977128424460951</v>
      </c>
      <c r="W62" s="178">
        <f t="shared" si="43"/>
        <v>1.9024900505016107</v>
      </c>
      <c r="X62" s="178">
        <f t="shared" si="43"/>
        <v>2.1060457839837579</v>
      </c>
      <c r="Y62" s="177">
        <f t="shared" si="43"/>
        <v>2.1060457839837579</v>
      </c>
      <c r="Z62" s="163"/>
      <c r="AA62" s="178">
        <f t="shared" si="43"/>
        <v>2.1276803843400223</v>
      </c>
      <c r="AB62" s="178">
        <f t="shared" si="43"/>
        <v>1.9239602254036816</v>
      </c>
      <c r="AC62" s="178">
        <f t="shared" si="43"/>
        <v>1.0614961693325131</v>
      </c>
      <c r="AD62" s="178">
        <f>AD15/AD29</f>
        <v>1.4368719440861508</v>
      </c>
      <c r="AE62" s="177">
        <f t="shared" si="43"/>
        <v>1.4368719440861508</v>
      </c>
      <c r="AF62" s="163"/>
      <c r="AG62" s="178">
        <f>AG15/AG29</f>
        <v>1.5064450733759573</v>
      </c>
      <c r="AH62" s="178">
        <f>AH15/AH29</f>
        <v>1.5276891532028214</v>
      </c>
      <c r="AI62" s="178">
        <f>AI15/AI29</f>
        <v>1.6160590234544725</v>
      </c>
      <c r="AJ62" s="178">
        <f>AJ15/AJ29</f>
        <v>1.6722663913267939</v>
      </c>
      <c r="AK62" s="177">
        <f t="shared" si="43"/>
        <v>1.6722663913267939</v>
      </c>
      <c r="AL62" s="163"/>
      <c r="AM62" s="178">
        <f t="shared" si="43"/>
        <v>1.5639412997903563</v>
      </c>
      <c r="AN62" s="178">
        <f t="shared" si="43"/>
        <v>1.6093299791755806</v>
      </c>
      <c r="AO62" s="178">
        <f t="shared" si="43"/>
        <v>1.6091592847532457</v>
      </c>
      <c r="AP62" s="178">
        <f>AP15/AP29</f>
        <v>1.7333193982707249</v>
      </c>
      <c r="AQ62" s="177">
        <f>AQ15/AQ29</f>
        <v>1.7333193982707249</v>
      </c>
      <c r="AR62" s="163"/>
      <c r="AS62" s="178">
        <f t="shared" si="43"/>
        <v>1.8128008033534722</v>
      </c>
      <c r="AT62" s="178">
        <f>AT15/AT29</f>
        <v>1.8676993911154358</v>
      </c>
      <c r="AU62" s="178">
        <f t="shared" si="43"/>
        <v>1.8933459985584205</v>
      </c>
      <c r="AV62" s="178">
        <f t="shared" si="43"/>
        <v>1.7889387420267533</v>
      </c>
      <c r="AW62" s="177">
        <f t="shared" si="43"/>
        <v>1.7889387420267533</v>
      </c>
      <c r="AX62" s="163"/>
      <c r="AY62" s="178">
        <f>AY15/AY29</f>
        <v>1.8571926746473273</v>
      </c>
      <c r="AZ62" s="178">
        <f>AZ15/AZ29</f>
        <v>1.8635660858300946</v>
      </c>
      <c r="BA62" s="178">
        <f>BA15/BA29</f>
        <v>1.9373687476997021</v>
      </c>
      <c r="BB62" s="178">
        <f>BB15/BB29</f>
        <v>1.8400509363562696</v>
      </c>
      <c r="BC62" s="177">
        <f>BC15/BC29</f>
        <v>1.8400509363562692</v>
      </c>
      <c r="BD62" s="163"/>
      <c r="BE62" s="178">
        <f>BE15/BE29</f>
        <v>1.8931127568988744</v>
      </c>
      <c r="BF62" s="178">
        <f>BF15/BF29</f>
        <v>1.9226363686582399</v>
      </c>
      <c r="BG62" s="178">
        <f>BG15/BG29</f>
        <v>2.1050820177703651</v>
      </c>
      <c r="BH62" s="178">
        <f>BH15/BH29</f>
        <v>1.9721905014460808</v>
      </c>
      <c r="BI62" s="177">
        <f>BI15/BI29</f>
        <v>1.9721905014460808</v>
      </c>
      <c r="BJ62" s="163"/>
      <c r="BK62" s="178">
        <f>BK15/BK29</f>
        <v>1.8590811311204651</v>
      </c>
      <c r="BL62" s="178">
        <f>BL15/BL29</f>
        <v>2.4327370085580298</v>
      </c>
      <c r="BM62" s="178">
        <f>BM15/BM29</f>
        <v>2.5868267080828504</v>
      </c>
      <c r="BN62" s="178">
        <f>BN15/BN29</f>
        <v>1.2619123737251581</v>
      </c>
      <c r="BO62" s="177">
        <f>BO15/BO29</f>
        <v>1.2619123737251581</v>
      </c>
      <c r="BP62" s="163"/>
      <c r="BQ62" s="178">
        <f>BQ15/BQ29</f>
        <v>1.2861932336716224</v>
      </c>
      <c r="BR62" s="178">
        <f>BR15/BR29</f>
        <v>1.5257087875188826</v>
      </c>
      <c r="BS62" s="178">
        <f>BS15/BS29</f>
        <v>1.5888052495961547</v>
      </c>
      <c r="BT62" s="178">
        <f>BT15/BT29</f>
        <v>1.4944062541543539</v>
      </c>
      <c r="BU62" s="177">
        <f>BU15/BU29</f>
        <v>1.4944062541543541</v>
      </c>
      <c r="BV62" s="178"/>
      <c r="BW62" s="178">
        <f>BW15/BW29</f>
        <v>1.5608652719920231</v>
      </c>
      <c r="BX62" s="178">
        <f>BX15/BX29</f>
        <v>1.5535555932728531</v>
      </c>
      <c r="BY62" s="178">
        <f>BY15/BY29</f>
        <v>1.5643370407663268</v>
      </c>
      <c r="BZ62" s="178">
        <f>BZ15/BZ29</f>
        <v>1.6225833159040464</v>
      </c>
      <c r="CA62" s="177">
        <f>CA15/CA29</f>
        <v>1.6225833159040464</v>
      </c>
      <c r="CB62" s="178"/>
      <c r="CC62" s="178">
        <f>CC15/CC29</f>
        <v>1.8538893903352267</v>
      </c>
      <c r="CD62" s="178">
        <f>CD15/CD29</f>
        <v>1.9915563903777718</v>
      </c>
      <c r="CE62" s="178">
        <f>CE15/CE29</f>
        <v>2.1517553129659825</v>
      </c>
      <c r="CF62" s="178">
        <f>CF15/CF29</f>
        <v>2.0740191667110648</v>
      </c>
      <c r="CG62" s="177">
        <f>CG15/CG29</f>
        <v>2.0740191667110648</v>
      </c>
      <c r="CH62" s="178"/>
      <c r="CI62" s="178">
        <f>CI15/CI29</f>
        <v>2.3432983370249971</v>
      </c>
      <c r="CJ62" s="178">
        <f>CJ15/CJ29</f>
        <v>2.3949039111713275</v>
      </c>
      <c r="CK62" s="178">
        <f>CK15/CK29</f>
        <v>2.4674689165870287</v>
      </c>
      <c r="CL62" s="178">
        <f>CL15/CL29</f>
        <v>2.3085261412008276</v>
      </c>
      <c r="CM62" s="177">
        <f>CM15/CM29</f>
        <v>2.3085261412008276</v>
      </c>
      <c r="CN62" s="94"/>
      <c r="CO62" s="94"/>
      <c r="CP62" s="94"/>
      <c r="CQ62" s="94"/>
    </row>
    <row r="63" spans="1:95" ht="12.75" hidden="1" customHeight="1" outlineLevel="1">
      <c r="A63" s="551" t="s">
        <v>267</v>
      </c>
      <c r="B63" s="178"/>
      <c r="C63" s="178">
        <f t="shared" ref="C63:AW63" si="44">(C10+C17+C11)/C29</f>
        <v>0.92999059989745347</v>
      </c>
      <c r="D63" s="178">
        <f t="shared" si="44"/>
        <v>0.94716913170697004</v>
      </c>
      <c r="E63" s="178">
        <f t="shared" si="44"/>
        <v>1.016501531579278</v>
      </c>
      <c r="F63" s="178">
        <f t="shared" si="44"/>
        <v>0.95634388730419018</v>
      </c>
      <c r="G63" s="177">
        <f t="shared" si="44"/>
        <v>0.95634388730419018</v>
      </c>
      <c r="H63" s="179"/>
      <c r="I63" s="178">
        <f t="shared" si="44"/>
        <v>0.97491590822700858</v>
      </c>
      <c r="J63" s="178">
        <f t="shared" si="44"/>
        <v>0.95935399633709262</v>
      </c>
      <c r="K63" s="178">
        <f t="shared" si="44"/>
        <v>1.0330749046488368</v>
      </c>
      <c r="L63" s="178">
        <f t="shared" si="44"/>
        <v>0.99465754432998488</v>
      </c>
      <c r="M63" s="177">
        <f t="shared" si="44"/>
        <v>0.99465754432998488</v>
      </c>
      <c r="N63" s="179"/>
      <c r="O63" s="178">
        <f t="shared" si="44"/>
        <v>0.97523061992769466</v>
      </c>
      <c r="P63" s="178">
        <f t="shared" si="44"/>
        <v>0.96938455097341425</v>
      </c>
      <c r="Q63" s="178">
        <f t="shared" si="44"/>
        <v>0.97708645267951832</v>
      </c>
      <c r="R63" s="178">
        <f t="shared" si="44"/>
        <v>1.009995897056339</v>
      </c>
      <c r="S63" s="177">
        <f t="shared" si="44"/>
        <v>1.0099958970563392</v>
      </c>
      <c r="T63" s="179"/>
      <c r="U63" s="178">
        <f t="shared" si="44"/>
        <v>1.0908775330431832</v>
      </c>
      <c r="V63" s="178">
        <f t="shared" si="44"/>
        <v>1.1324426507988707</v>
      </c>
      <c r="W63" s="178">
        <f t="shared" si="44"/>
        <v>1.1204779651451313</v>
      </c>
      <c r="X63" s="178">
        <f t="shared" si="44"/>
        <v>1.5104735618262353</v>
      </c>
      <c r="Y63" s="177">
        <f t="shared" si="44"/>
        <v>1.5104735618262353</v>
      </c>
      <c r="Z63" s="179"/>
      <c r="AA63" s="178">
        <f t="shared" si="44"/>
        <v>1.4919955243792229</v>
      </c>
      <c r="AB63" s="178">
        <f t="shared" si="44"/>
        <v>1.3928653155794564</v>
      </c>
      <c r="AC63" s="178">
        <f t="shared" si="44"/>
        <v>0.69500785997486192</v>
      </c>
      <c r="AD63" s="178">
        <f>(AD10+AD17+AD11)/AD29</f>
        <v>0.92212356640769533</v>
      </c>
      <c r="AE63" s="177">
        <f t="shared" si="44"/>
        <v>0.92212356640769511</v>
      </c>
      <c r="AF63" s="179"/>
      <c r="AG63" s="178">
        <f>(AG10+AG17+AG11)/AG29</f>
        <v>0.91862949703543217</v>
      </c>
      <c r="AH63" s="178">
        <f>(AH10+AH17+AH11)/AH29</f>
        <v>0.95624526744769744</v>
      </c>
      <c r="AI63" s="178">
        <f>(AI10+AI17+AI11)/AI29</f>
        <v>0.97360706330492175</v>
      </c>
      <c r="AJ63" s="178">
        <f>(AJ10+AJ17+AJ11)/AJ29</f>
        <v>1.0834692823954568</v>
      </c>
      <c r="AK63" s="177">
        <f t="shared" si="44"/>
        <v>1.0834692823954568</v>
      </c>
      <c r="AL63" s="179"/>
      <c r="AM63" s="178">
        <f t="shared" si="44"/>
        <v>0.93804700063137247</v>
      </c>
      <c r="AN63" s="178">
        <f t="shared" si="44"/>
        <v>0.97359399660205137</v>
      </c>
      <c r="AO63" s="178">
        <f t="shared" si="44"/>
        <v>0.95361822627084569</v>
      </c>
      <c r="AP63" s="178">
        <f>(AP10+AP17+AP11)/AP29</f>
        <v>1.0693319132840959</v>
      </c>
      <c r="AQ63" s="177">
        <f>(AQ10+AQ17+AQ11)/AQ29</f>
        <v>1.0693319132840959</v>
      </c>
      <c r="AR63" s="179"/>
      <c r="AS63" s="178">
        <f t="shared" si="44"/>
        <v>1.1039322038377306</v>
      </c>
      <c r="AT63" s="178">
        <f>(AT10+AT17+AT11)/AT29</f>
        <v>1.1239338471030889</v>
      </c>
      <c r="AU63" s="178">
        <f t="shared" si="44"/>
        <v>1.1139323937804111</v>
      </c>
      <c r="AV63" s="178">
        <f t="shared" si="44"/>
        <v>1.0831092732417005</v>
      </c>
      <c r="AW63" s="177">
        <f t="shared" si="44"/>
        <v>1.0831092732417005</v>
      </c>
      <c r="AX63" s="179"/>
      <c r="AY63" s="178">
        <f>(AY10+AY17+AY11)/AY29</f>
        <v>1.0641485993886457</v>
      </c>
      <c r="AZ63" s="178">
        <f>(AZ10+AZ17+AZ11)/AZ29</f>
        <v>1.0786236123298927</v>
      </c>
      <c r="BA63" s="178">
        <f>(BA10+BA17+BA11)/BA29</f>
        <v>1.1020376130303315</v>
      </c>
      <c r="BB63" s="178">
        <f>(BB10+BB17+BB11)/BB29</f>
        <v>1.2084614905117679</v>
      </c>
      <c r="BC63" s="177">
        <f>(BC10+BC17+BC11)/BC29</f>
        <v>1.2084614905117677</v>
      </c>
      <c r="BD63" s="179"/>
      <c r="BE63" s="178">
        <f>(BE10+BE17+BE11)/BE29</f>
        <v>1.170081165347572</v>
      </c>
      <c r="BF63" s="178">
        <f>(BF10+BF17+BF11)/BF29</f>
        <v>1.2212690736143954</v>
      </c>
      <c r="BG63" s="178">
        <f>(BG10+BG17+BG11)/BG29</f>
        <v>1.3804551534605496</v>
      </c>
      <c r="BH63" s="178">
        <f>(BH10+BH17+BH11)/BH29</f>
        <v>1.3008146116299693</v>
      </c>
      <c r="BI63" s="177">
        <f>(BI10+BI17+BI11)/BI29</f>
        <v>1.3008146116299693</v>
      </c>
      <c r="BJ63" s="179"/>
      <c r="BK63" s="178">
        <f>(BK10+BK17+BK11)/BK29</f>
        <v>1.1645082982577657</v>
      </c>
      <c r="BL63" s="178">
        <f>(BL10+BL17+BL11)/BL29</f>
        <v>1.7929106123640115</v>
      </c>
      <c r="BM63" s="178">
        <f>(BM10+BM17+BM11)/BM29</f>
        <v>1.924876822557539</v>
      </c>
      <c r="BN63" s="178">
        <f>(BN10+BN17+BN11)/BN29</f>
        <v>0.79339195837215615</v>
      </c>
      <c r="BO63" s="177">
        <f>(BO10+BO17+BO11)/BO29</f>
        <v>0.79339195837215615</v>
      </c>
      <c r="BP63" s="179"/>
      <c r="BQ63" s="178">
        <f>(BQ10+BQ17+BQ11)/BQ29</f>
        <v>0.81507382376591997</v>
      </c>
      <c r="BR63" s="178">
        <f>(BR10+BR17+BR11)/BR29</f>
        <v>1.0401929649909163</v>
      </c>
      <c r="BS63" s="178">
        <f>(BS10+BS17+BS11)/BS29</f>
        <v>1.0887233842935591</v>
      </c>
      <c r="BT63" s="178">
        <f>(BT10+BT17+BT11)/BT29</f>
        <v>1.0214878712888229</v>
      </c>
      <c r="BU63" s="177">
        <f>(BU10+BU17+BU11)/BU29</f>
        <v>1.0214878712888231</v>
      </c>
      <c r="BV63" s="178"/>
      <c r="BW63" s="178">
        <f>(BW10+BW17+BW11)/BW29</f>
        <v>1.0568325280610134</v>
      </c>
      <c r="BX63" s="178">
        <f>(BX10+BX17+BX11)/BX29</f>
        <v>1.0324843326540736</v>
      </c>
      <c r="BY63" s="178">
        <f>(BY10+BY17+BY11)/BY29</f>
        <v>1.0279336927056602</v>
      </c>
      <c r="BZ63" s="178">
        <f>(BZ10+BZ17+BZ11)/BZ29</f>
        <v>1.1169133650077949</v>
      </c>
      <c r="CA63" s="177">
        <f>(CA10+CA17+CA11)/CA29</f>
        <v>1.1169133650077949</v>
      </c>
      <c r="CB63" s="178"/>
      <c r="CC63" s="178">
        <f>(CC10+CC17+CC11)/CC29</f>
        <v>1.3118602605596732</v>
      </c>
      <c r="CD63" s="178">
        <f>(CD10+CD17+CD11)/CD29</f>
        <v>1.4299621034854455</v>
      </c>
      <c r="CE63" s="178">
        <f>(CE10+CE17+CE11)/CE29</f>
        <v>1.5751250309844858</v>
      </c>
      <c r="CF63" s="178">
        <f>(CF10+CF17+CF11)/CF29</f>
        <v>1.5328786972044379</v>
      </c>
      <c r="CG63" s="177">
        <f>(CG10+CG17+CG11)/CG29</f>
        <v>1.5328786972044379</v>
      </c>
      <c r="CH63" s="178"/>
      <c r="CI63" s="178">
        <f>(CI10+CI17+CI11)/CI29</f>
        <v>1.7610485797696815</v>
      </c>
      <c r="CJ63" s="178">
        <f>(CJ10+CJ17+CJ11)/CJ29</f>
        <v>1.7903299195550828</v>
      </c>
      <c r="CK63" s="178">
        <f>(CK10+CK17+CK11)/CK29</f>
        <v>1.847479799072725</v>
      </c>
      <c r="CL63" s="178">
        <f>(CL10+CL17+CL11)/CL29</f>
        <v>1.7287270178035914</v>
      </c>
      <c r="CM63" s="177">
        <f>(CM10+CM17+CM11)/CM29</f>
        <v>1.7287270178035914</v>
      </c>
      <c r="CN63" s="94"/>
      <c r="CO63" s="94"/>
      <c r="CP63" s="94"/>
      <c r="CQ63" s="94"/>
    </row>
    <row r="64" spans="1:95" ht="12.75" hidden="1" customHeight="1" outlineLevel="1">
      <c r="A64" s="159" t="s">
        <v>268</v>
      </c>
      <c r="B64" s="178"/>
      <c r="C64" s="178">
        <f t="shared" ref="C64:AW64" si="45">C10/C29</f>
        <v>0.28381188400843155</v>
      </c>
      <c r="D64" s="178">
        <f t="shared" si="45"/>
        <v>0.33360310924145531</v>
      </c>
      <c r="E64" s="178">
        <f t="shared" si="45"/>
        <v>0.36133817809437385</v>
      </c>
      <c r="F64" s="178">
        <f t="shared" si="45"/>
        <v>0.37134540301462005</v>
      </c>
      <c r="G64" s="177">
        <f t="shared" si="45"/>
        <v>0.37134540301462021</v>
      </c>
      <c r="H64" s="179"/>
      <c r="I64" s="178">
        <f t="shared" si="45"/>
        <v>0.33217505432794719</v>
      </c>
      <c r="J64" s="178">
        <f t="shared" si="45"/>
        <v>0.33903975744192361</v>
      </c>
      <c r="K64" s="178">
        <f t="shared" si="45"/>
        <v>0.36241695763087622</v>
      </c>
      <c r="L64" s="178">
        <f t="shared" si="45"/>
        <v>0.34694968638739193</v>
      </c>
      <c r="M64" s="177">
        <f t="shared" si="45"/>
        <v>0.34694968638739193</v>
      </c>
      <c r="N64" s="179"/>
      <c r="O64" s="178">
        <f t="shared" si="45"/>
        <v>0.3456344847444251</v>
      </c>
      <c r="P64" s="178">
        <f t="shared" si="45"/>
        <v>0.30462271138951058</v>
      </c>
      <c r="Q64" s="178">
        <f t="shared" si="45"/>
        <v>0.29358116538773465</v>
      </c>
      <c r="R64" s="178">
        <f t="shared" si="45"/>
        <v>0.36143514533270044</v>
      </c>
      <c r="S64" s="177">
        <f t="shared" si="45"/>
        <v>0.36143514533270055</v>
      </c>
      <c r="T64" s="179"/>
      <c r="U64" s="178">
        <f t="shared" si="45"/>
        <v>0.36468196876573911</v>
      </c>
      <c r="V64" s="178">
        <f t="shared" si="45"/>
        <v>0.41965079692477136</v>
      </c>
      <c r="W64" s="178">
        <f t="shared" si="45"/>
        <v>0.48845079741945535</v>
      </c>
      <c r="X64" s="178">
        <f t="shared" si="45"/>
        <v>0.81538115147068535</v>
      </c>
      <c r="Y64" s="177">
        <f t="shared" si="45"/>
        <v>0.81538115147068535</v>
      </c>
      <c r="Z64" s="179"/>
      <c r="AA64" s="178">
        <f t="shared" si="45"/>
        <v>0.81345190076954077</v>
      </c>
      <c r="AB64" s="178">
        <f t="shared" si="45"/>
        <v>0.70654614625495227</v>
      </c>
      <c r="AC64" s="178">
        <f t="shared" si="45"/>
        <v>0.28323536429299617</v>
      </c>
      <c r="AD64" s="178">
        <f>AD10/AD29</f>
        <v>0.23721057350358138</v>
      </c>
      <c r="AE64" s="177">
        <f t="shared" si="45"/>
        <v>0.23721057350358127</v>
      </c>
      <c r="AF64" s="179"/>
      <c r="AG64" s="178">
        <f>AG10/AG29</f>
        <v>0.24014658601891881</v>
      </c>
      <c r="AH64" s="178">
        <f>AH10/AH29</f>
        <v>0.29165794600849093</v>
      </c>
      <c r="AI64" s="178">
        <f>AI10/AI29</f>
        <v>0.29337926794292063</v>
      </c>
      <c r="AJ64" s="178">
        <f>AJ10/AJ29</f>
        <v>0.29503355704697981</v>
      </c>
      <c r="AK64" s="177">
        <f t="shared" si="45"/>
        <v>0.29503355704697981</v>
      </c>
      <c r="AL64" s="179"/>
      <c r="AM64" s="178">
        <f t="shared" si="45"/>
        <v>0.21953452840653415</v>
      </c>
      <c r="AN64" s="178">
        <f t="shared" si="45"/>
        <v>0.19966943674649065</v>
      </c>
      <c r="AO64" s="178">
        <f t="shared" si="45"/>
        <v>0.22447407578330855</v>
      </c>
      <c r="AP64" s="178">
        <f>AP10/AP29</f>
        <v>0.2873973948068666</v>
      </c>
      <c r="AQ64" s="177">
        <f>AQ10/AQ29</f>
        <v>0.2873973948068666</v>
      </c>
      <c r="AR64" s="179"/>
      <c r="AS64" s="178">
        <f t="shared" si="45"/>
        <v>0.3701520491789741</v>
      </c>
      <c r="AT64" s="178">
        <f>AT10/AT29</f>
        <v>0.35475000820948538</v>
      </c>
      <c r="AU64" s="178">
        <f t="shared" si="45"/>
        <v>0.35895515417679269</v>
      </c>
      <c r="AV64" s="178">
        <f t="shared" si="45"/>
        <v>0.29268051765414949</v>
      </c>
      <c r="AW64" s="177">
        <f t="shared" si="45"/>
        <v>0.29268051765414949</v>
      </c>
      <c r="AX64" s="179"/>
      <c r="AY64" s="178">
        <f>AY10/AY29</f>
        <v>0.30681044206029628</v>
      </c>
      <c r="AZ64" s="178">
        <f>AZ10/AZ29</f>
        <v>0.33459041967879871</v>
      </c>
      <c r="BA64" s="178">
        <f>BA10/BA29</f>
        <v>0.35192936371049804</v>
      </c>
      <c r="BB64" s="178">
        <f>BB10/BB29</f>
        <v>0.42375486433297416</v>
      </c>
      <c r="BC64" s="177">
        <f>BC10/BC29</f>
        <v>0.42375486433297399</v>
      </c>
      <c r="BD64" s="179"/>
      <c r="BE64" s="178">
        <f>BE10/BE29</f>
        <v>0.38000566227930183</v>
      </c>
      <c r="BF64" s="178">
        <f>BF10/BF29</f>
        <v>0.4420730566430438</v>
      </c>
      <c r="BG64" s="178">
        <f>BG10/BG29</f>
        <v>0.56873744276822069</v>
      </c>
      <c r="BH64" s="178">
        <f>BH10/BH29</f>
        <v>0.59544546742796522</v>
      </c>
      <c r="BI64" s="177">
        <f>BI10/BI29</f>
        <v>0.59544546742796545</v>
      </c>
      <c r="BJ64" s="179"/>
      <c r="BK64" s="178">
        <f>BK10/BK29</f>
        <v>0.4800618706377538</v>
      </c>
      <c r="BL64" s="178">
        <f>BL10/BL29</f>
        <v>1.0456744962571345</v>
      </c>
      <c r="BM64" s="178">
        <f>BM10/BM29</f>
        <v>1.1874037676230773</v>
      </c>
      <c r="BN64" s="178">
        <f>BN10/BN29</f>
        <v>0.21257080119717911</v>
      </c>
      <c r="BO64" s="177">
        <f>BO10/BO29</f>
        <v>0.21257080119717911</v>
      </c>
      <c r="BP64" s="179"/>
      <c r="BQ64" s="178">
        <f>BQ10/BQ29</f>
        <v>0.29209901728707016</v>
      </c>
      <c r="BR64" s="178">
        <f>BR10/BR29</f>
        <v>0.47810414447643246</v>
      </c>
      <c r="BS64" s="178">
        <f>BS10/BS29</f>
        <v>0.53789884866139981</v>
      </c>
      <c r="BT64" s="178">
        <f>BT10/BT29</f>
        <v>0.43589978626217829</v>
      </c>
      <c r="BU64" s="177">
        <f>BU10/BU29</f>
        <v>0.43589978626217835</v>
      </c>
      <c r="BV64" s="178"/>
      <c r="BW64" s="178">
        <f>BW10/BW29</f>
        <v>0.49067364031953514</v>
      </c>
      <c r="BX64" s="178">
        <f>BX10/BX29</f>
        <v>0.42203278362942781</v>
      </c>
      <c r="BY64" s="178">
        <f>BY10/BY29</f>
        <v>0.4295953424093093</v>
      </c>
      <c r="BZ64" s="178">
        <f>BZ10/BZ29</f>
        <v>0.4829927862376141</v>
      </c>
      <c r="CA64" s="177">
        <f>CA10/CA29</f>
        <v>0.48299278623761421</v>
      </c>
      <c r="CB64" s="178"/>
      <c r="CC64" s="178">
        <f>CC10/CC29</f>
        <v>0.69663421504844081</v>
      </c>
      <c r="CD64" s="178">
        <f>CD10/CD29</f>
        <v>0.76511209655421597</v>
      </c>
      <c r="CE64" s="178">
        <f>CE10/CE29</f>
        <v>0.92469606149668493</v>
      </c>
      <c r="CF64" s="178">
        <f>CF10/CF29</f>
        <v>0.8471174562395144</v>
      </c>
      <c r="CG64" s="177">
        <f>CG10/CG29</f>
        <v>0.8471174562395144</v>
      </c>
      <c r="CH64" s="178"/>
      <c r="CI64" s="178">
        <f>CI10/CI29</f>
        <v>1.0932117431077666</v>
      </c>
      <c r="CJ64" s="178">
        <f>CJ10/CJ29</f>
        <v>1.0670344698926264</v>
      </c>
      <c r="CK64" s="178">
        <f>CK10/CK29</f>
        <v>1.1402644317359016</v>
      </c>
      <c r="CL64" s="178">
        <f>CL10/CL29</f>
        <v>0.9859478363937787</v>
      </c>
      <c r="CM64" s="177">
        <f>CM10/CM29</f>
        <v>0.9859478363937787</v>
      </c>
      <c r="CN64" s="94"/>
      <c r="CO64" s="94"/>
      <c r="CP64" s="94"/>
      <c r="CQ64" s="94"/>
    </row>
    <row r="65" spans="1:101" ht="12.75" hidden="1" customHeight="1" outlineLevel="1">
      <c r="A65" s="552" t="s">
        <v>269</v>
      </c>
      <c r="B65" s="181"/>
      <c r="C65" s="181">
        <f t="shared" ref="C65:AW65" si="46">(C15-C12)/C29</f>
        <v>1.1157755559353577</v>
      </c>
      <c r="D65" s="181">
        <f t="shared" si="46"/>
        <v>1.1297992689369347</v>
      </c>
      <c r="E65" s="181">
        <f t="shared" si="46"/>
        <v>1.2226786019061644</v>
      </c>
      <c r="F65" s="181">
        <f t="shared" si="46"/>
        <v>1.1874404216231611</v>
      </c>
      <c r="G65" s="180">
        <f t="shared" si="46"/>
        <v>1.1874404216231613</v>
      </c>
      <c r="H65" s="182"/>
      <c r="I65" s="181">
        <f t="shared" si="46"/>
        <v>1.1702616347870993</v>
      </c>
      <c r="J65" s="181">
        <f t="shared" si="46"/>
        <v>1.1568039818782478</v>
      </c>
      <c r="K65" s="181">
        <f t="shared" si="46"/>
        <v>1.2403866640817398</v>
      </c>
      <c r="L65" s="181">
        <f t="shared" si="46"/>
        <v>1.2214426567385066</v>
      </c>
      <c r="M65" s="180">
        <f t="shared" si="46"/>
        <v>1.2214426567385066</v>
      </c>
      <c r="N65" s="182"/>
      <c r="O65" s="181">
        <f t="shared" si="46"/>
        <v>1.2293039277373117</v>
      </c>
      <c r="P65" s="181">
        <f t="shared" si="46"/>
        <v>1.215024717798425</v>
      </c>
      <c r="Q65" s="181">
        <f t="shared" si="46"/>
        <v>1.2220760028697983</v>
      </c>
      <c r="R65" s="181">
        <f t="shared" si="46"/>
        <v>1.4186370182058066</v>
      </c>
      <c r="S65" s="180">
        <f t="shared" si="46"/>
        <v>1.418637018205807</v>
      </c>
      <c r="T65" s="182"/>
      <c r="U65" s="181">
        <f t="shared" si="46"/>
        <v>1.3332771493870932</v>
      </c>
      <c r="V65" s="181">
        <f t="shared" si="46"/>
        <v>1.3453483371699102</v>
      </c>
      <c r="W65" s="181">
        <f t="shared" si="46"/>
        <v>1.4934990123480818</v>
      </c>
      <c r="X65" s="181">
        <f t="shared" si="46"/>
        <v>1.7037220352405464</v>
      </c>
      <c r="Y65" s="180">
        <f t="shared" si="46"/>
        <v>1.7037220352405464</v>
      </c>
      <c r="Z65" s="182"/>
      <c r="AA65" s="181">
        <f t="shared" si="46"/>
        <v>1.6878802223726268</v>
      </c>
      <c r="AB65" s="181">
        <f t="shared" si="46"/>
        <v>1.5266469057051733</v>
      </c>
      <c r="AC65" s="181">
        <f t="shared" si="46"/>
        <v>0.80058267700355168</v>
      </c>
      <c r="AD65" s="181">
        <f>(AD15-AD12)/AD29</f>
        <v>1.0356444124479642</v>
      </c>
      <c r="AE65" s="180">
        <f t="shared" si="46"/>
        <v>1.0356444124479642</v>
      </c>
      <c r="AF65" s="182"/>
      <c r="AG65" s="181">
        <f>(AG15-AG12)/AG29</f>
        <v>1.0886218326238497</v>
      </c>
      <c r="AH65" s="181">
        <f>(AH15-AH12)/AH29</f>
        <v>1.1117588504045537</v>
      </c>
      <c r="AI65" s="181">
        <f>(AI15-AI12)/AI29</f>
        <v>1.1671317946613036</v>
      </c>
      <c r="AJ65" s="181">
        <f>(AJ15-AJ12)/AJ29</f>
        <v>1.2460265014627432</v>
      </c>
      <c r="AK65" s="180">
        <f t="shared" si="46"/>
        <v>1.2460265014627432</v>
      </c>
      <c r="AL65" s="182"/>
      <c r="AM65" s="181">
        <f t="shared" si="46"/>
        <v>1.110884375098107</v>
      </c>
      <c r="AN65" s="181">
        <f t="shared" si="46"/>
        <v>1.1486895528164454</v>
      </c>
      <c r="AO65" s="181">
        <f t="shared" si="46"/>
        <v>1.1368904513302716</v>
      </c>
      <c r="AP65" s="181">
        <f>(AP15-AP12)/AP29</f>
        <v>1.3002773741033449</v>
      </c>
      <c r="AQ65" s="180">
        <f>(AQ15-AQ12)/AQ29</f>
        <v>1.3002773741033449</v>
      </c>
      <c r="AR65" s="182"/>
      <c r="AS65" s="181">
        <f t="shared" si="46"/>
        <v>1.3519444655486224</v>
      </c>
      <c r="AT65" s="181">
        <f>(AT15-AT12)/AT29</f>
        <v>1.3872440152851975</v>
      </c>
      <c r="AU65" s="181">
        <f t="shared" si="46"/>
        <v>1.3970459948575431</v>
      </c>
      <c r="AV65" s="181">
        <f t="shared" si="46"/>
        <v>1.3110344712126032</v>
      </c>
      <c r="AW65" s="180">
        <f t="shared" si="46"/>
        <v>1.3110344712126032</v>
      </c>
      <c r="AX65" s="182"/>
      <c r="AY65" s="181">
        <f>(AY15-AY12)/AY29</f>
        <v>1.3284421365793591</v>
      </c>
      <c r="AZ65" s="181">
        <f>(AZ15-AZ12)/AZ29</f>
        <v>1.3329537698661427</v>
      </c>
      <c r="BA65" s="181">
        <f>(BA15-BA12)/BA29</f>
        <v>1.3725833339347184</v>
      </c>
      <c r="BB65" s="181">
        <f>(BB15-BB12)/BB29</f>
        <v>1.3270755229436229</v>
      </c>
      <c r="BC65" s="180">
        <f>(BC15-BC12)/BC29</f>
        <v>1.3270755229436224</v>
      </c>
      <c r="BD65" s="182"/>
      <c r="BE65" s="181">
        <f>(BE15-BE12)/BE29</f>
        <v>1.3267766302946373</v>
      </c>
      <c r="BF65" s="181">
        <f>(BF15-BF12)/BF29</f>
        <v>1.3875826159474391</v>
      </c>
      <c r="BG65" s="181">
        <f>(BG15-BG12)/BG29</f>
        <v>1.546603867581767</v>
      </c>
      <c r="BH65" s="181">
        <f>(BH15-BH12)/BH29</f>
        <v>1.5630665197106182</v>
      </c>
      <c r="BI65" s="180">
        <f>(BI15-BI12)/BI29</f>
        <v>1.5630665197106182</v>
      </c>
      <c r="BJ65" s="182"/>
      <c r="BK65" s="181">
        <f>(BK15-BK12)/BK29</f>
        <v>1.4184726144173907</v>
      </c>
      <c r="BL65" s="181">
        <f>(BL15-BL12)/BL29</f>
        <v>1.9660071124624185</v>
      </c>
      <c r="BM65" s="181">
        <f>(BM15-BM12)/BM29</f>
        <v>2.0928182195504026</v>
      </c>
      <c r="BN65" s="181">
        <f>(BN15-BN12)/BN29</f>
        <v>0.89207930996043783</v>
      </c>
      <c r="BO65" s="180">
        <f>(BO15-BO12)/BO29</f>
        <v>0.89207930996043783</v>
      </c>
      <c r="BP65" s="182"/>
      <c r="BQ65" s="181">
        <f>(BQ15-BQ12)/BQ29</f>
        <v>0.94942156163365099</v>
      </c>
      <c r="BR65" s="181">
        <f>(BR15-BR12)/BR29</f>
        <v>1.1821583735521555</v>
      </c>
      <c r="BS65" s="181">
        <f>(BS15-BS12)/BS29</f>
        <v>1.2256459592643414</v>
      </c>
      <c r="BT65" s="181">
        <f>(BT15-BT12)/BT29</f>
        <v>1.1293407157233073</v>
      </c>
      <c r="BU65" s="180">
        <f>(BU15-BU12)/BU29</f>
        <v>1.1293407157233075</v>
      </c>
      <c r="BV65" s="178"/>
      <c r="BW65" s="181">
        <f>(BW15-BW12)/BW29</f>
        <v>1.2011793162027531</v>
      </c>
      <c r="BX65" s="181">
        <f>(BX15-BX12)/BX29</f>
        <v>1.1855130206028255</v>
      </c>
      <c r="BY65" s="181">
        <f>(BY15-BY12)/BY29</f>
        <v>1.1755408104144485</v>
      </c>
      <c r="BZ65" s="181">
        <f>(BZ15-BZ12)/BZ29</f>
        <v>1.2328566382375843</v>
      </c>
      <c r="CA65" s="180">
        <f>(CA15-CA12)/CA29</f>
        <v>1.2328566382375843</v>
      </c>
      <c r="CB65" s="178"/>
      <c r="CC65" s="181">
        <f>(CC15-CC12)/CC29</f>
        <v>1.4675454544830404</v>
      </c>
      <c r="CD65" s="181">
        <f>(CD15-CD12)/CD29</f>
        <v>1.595391858343719</v>
      </c>
      <c r="CE65" s="181">
        <f>(CE15-CE12)/CE29</f>
        <v>1.7343766740042381</v>
      </c>
      <c r="CF65" s="181">
        <f>(CF15-CF12)/CF29</f>
        <v>1.6574379377205457</v>
      </c>
      <c r="CG65" s="180">
        <f>(CG15-CG12)/CG29</f>
        <v>1.6574379377205457</v>
      </c>
      <c r="CH65" s="178"/>
      <c r="CI65" s="181">
        <f>(CI15-CI12)/CI29</f>
        <v>1.9287941286890984</v>
      </c>
      <c r="CJ65" s="181">
        <f>(CJ15-CJ12)/CJ29</f>
        <v>1.9689777909745352</v>
      </c>
      <c r="CK65" s="181">
        <f>(CK15-CK12)/CK29</f>
        <v>2.0193433786636157</v>
      </c>
      <c r="CL65" s="181">
        <f>(CL15-CL12)/CL29</f>
        <v>1.8627180507887497</v>
      </c>
      <c r="CM65" s="180">
        <f>(CM15-CM12)/CM29</f>
        <v>1.8627180507887497</v>
      </c>
      <c r="CN65" s="94"/>
      <c r="CO65" s="94"/>
      <c r="CP65" s="94"/>
      <c r="CQ65" s="94"/>
    </row>
    <row r="66" spans="1:101" ht="12.75" hidden="1" customHeight="1" outlineLevel="1">
      <c r="A66" s="555"/>
      <c r="B66" s="98"/>
      <c r="C66" s="98"/>
      <c r="D66" s="98"/>
      <c r="E66" s="98"/>
      <c r="F66" s="98"/>
      <c r="G66" s="98"/>
      <c r="H66" s="555"/>
      <c r="I66" s="98"/>
      <c r="J66" s="98"/>
      <c r="K66" s="98"/>
      <c r="L66" s="98"/>
      <c r="M66" s="98"/>
      <c r="N66" s="555"/>
      <c r="O66" s="98"/>
      <c r="P66" s="98"/>
      <c r="Q66" s="98"/>
      <c r="R66" s="98"/>
      <c r="S66" s="129"/>
      <c r="T66" s="555"/>
      <c r="U66" s="129"/>
      <c r="V66" s="129"/>
      <c r="W66" s="129"/>
      <c r="X66" s="129"/>
      <c r="Y66" s="128"/>
      <c r="Z66" s="555"/>
      <c r="AA66" s="129"/>
      <c r="AB66" s="129"/>
      <c r="AC66" s="129"/>
      <c r="AD66" s="129"/>
      <c r="AE66" s="128"/>
      <c r="AF66" s="555"/>
      <c r="AG66" s="129"/>
      <c r="AH66" s="129"/>
      <c r="AI66" s="129"/>
      <c r="AJ66" s="129"/>
      <c r="AK66" s="162"/>
      <c r="AL66" s="555"/>
      <c r="AM66" s="129"/>
      <c r="AN66" s="129"/>
      <c r="AO66" s="129"/>
      <c r="AP66" s="129"/>
      <c r="AQ66" s="162"/>
      <c r="AR66" s="555"/>
      <c r="AS66" s="129"/>
      <c r="AT66" s="129"/>
      <c r="AU66" s="129"/>
      <c r="AV66" s="129"/>
      <c r="AW66" s="162"/>
      <c r="AX66" s="555"/>
      <c r="AY66" s="129"/>
      <c r="AZ66" s="129"/>
      <c r="BA66" s="129"/>
      <c r="BB66" s="129"/>
      <c r="BC66" s="162"/>
      <c r="BD66" s="555"/>
      <c r="BE66" s="129"/>
      <c r="BF66" s="129"/>
      <c r="BG66" s="129"/>
      <c r="BH66" s="129"/>
      <c r="BI66" s="162"/>
      <c r="BJ66" s="555"/>
      <c r="BK66" s="129"/>
      <c r="BL66" s="129"/>
      <c r="BM66" s="129"/>
      <c r="BN66" s="129"/>
      <c r="BO66" s="162"/>
      <c r="BP66" s="555"/>
      <c r="BQ66" s="129"/>
      <c r="BR66" s="129"/>
      <c r="BS66" s="129"/>
      <c r="BT66" s="129"/>
      <c r="BU66" s="162"/>
      <c r="BV66" s="162"/>
      <c r="BW66" s="129"/>
      <c r="BX66" s="129"/>
      <c r="BY66" s="129"/>
      <c r="BZ66" s="129"/>
      <c r="CA66" s="162"/>
      <c r="CB66" s="162"/>
      <c r="CC66" s="129"/>
      <c r="CD66" s="129"/>
      <c r="CE66" s="129"/>
      <c r="CF66" s="129"/>
      <c r="CG66" s="162"/>
      <c r="CH66" s="162"/>
      <c r="CI66" s="129"/>
      <c r="CJ66" s="129"/>
      <c r="CK66" s="129"/>
      <c r="CL66" s="129"/>
      <c r="CM66" s="162"/>
      <c r="CN66" s="98"/>
      <c r="CO66" s="98"/>
      <c r="CP66" s="98"/>
      <c r="CQ66" s="98"/>
    </row>
    <row r="67" spans="1:101" ht="12.75" customHeight="1" collapsed="1">
      <c r="A67" s="158" t="s">
        <v>270</v>
      </c>
      <c r="B67" s="146"/>
      <c r="C67" s="146"/>
      <c r="D67" s="146"/>
      <c r="E67" s="146"/>
      <c r="F67" s="146"/>
      <c r="G67" s="147"/>
      <c r="H67" s="157"/>
      <c r="I67" s="146"/>
      <c r="J67" s="146"/>
      <c r="K67" s="146"/>
      <c r="L67" s="146"/>
      <c r="M67" s="147"/>
      <c r="N67" s="157"/>
      <c r="O67" s="146"/>
      <c r="P67" s="146"/>
      <c r="Q67" s="146"/>
      <c r="R67" s="146"/>
      <c r="S67" s="155"/>
      <c r="T67" s="157"/>
      <c r="U67" s="151"/>
      <c r="V67" s="151"/>
      <c r="W67" s="151"/>
      <c r="X67" s="151"/>
      <c r="Y67" s="154"/>
      <c r="Z67" s="157"/>
      <c r="AA67" s="151"/>
      <c r="AB67" s="151"/>
      <c r="AC67" s="151"/>
      <c r="AD67" s="151"/>
      <c r="AE67" s="154"/>
      <c r="AF67" s="157"/>
      <c r="AG67" s="151"/>
      <c r="AH67" s="151"/>
      <c r="AI67" s="151"/>
      <c r="AJ67" s="151"/>
      <c r="AK67" s="153"/>
      <c r="AL67" s="157"/>
      <c r="AM67" s="151"/>
      <c r="AN67" s="151"/>
      <c r="AO67" s="151"/>
      <c r="AP67" s="151"/>
      <c r="AQ67" s="153"/>
      <c r="AR67" s="157"/>
      <c r="AS67" s="151"/>
      <c r="AT67" s="151"/>
      <c r="AU67" s="151"/>
      <c r="AV67" s="151"/>
      <c r="AW67" s="153"/>
      <c r="AX67" s="157"/>
      <c r="AY67" s="151"/>
      <c r="AZ67" s="151"/>
      <c r="BA67" s="151"/>
      <c r="BB67" s="151"/>
      <c r="BC67" s="153"/>
      <c r="BD67" s="157"/>
      <c r="BE67" s="151"/>
      <c r="BF67" s="151"/>
      <c r="BG67" s="151"/>
      <c r="BH67" s="151"/>
      <c r="BI67" s="153"/>
      <c r="BJ67" s="157"/>
      <c r="BK67" s="151"/>
      <c r="BL67" s="151"/>
      <c r="BM67" s="151"/>
      <c r="BN67" s="151"/>
      <c r="BO67" s="153"/>
      <c r="BP67" s="157"/>
      <c r="BQ67" s="151"/>
      <c r="BR67" s="151"/>
      <c r="BS67" s="151"/>
      <c r="BT67" s="151"/>
      <c r="BU67" s="153"/>
      <c r="BV67" s="1789"/>
      <c r="BW67" s="151"/>
      <c r="BX67" s="151"/>
      <c r="BY67" s="151"/>
      <c r="BZ67" s="151"/>
      <c r="CA67" s="153"/>
      <c r="CB67" s="1789"/>
      <c r="CC67" s="151"/>
      <c r="CD67" s="151"/>
      <c r="CE67" s="151"/>
      <c r="CF67" s="151"/>
      <c r="CG67" s="153"/>
      <c r="CH67" s="1789"/>
      <c r="CI67" s="151"/>
      <c r="CJ67" s="151"/>
      <c r="CK67" s="151"/>
      <c r="CL67" s="151"/>
      <c r="CM67" s="153"/>
      <c r="CN67" s="94"/>
      <c r="CO67" s="94"/>
      <c r="CP67" s="94"/>
      <c r="CQ67" s="94"/>
    </row>
    <row r="68" spans="1:101" s="228" customFormat="1" ht="12.75" customHeight="1">
      <c r="A68" s="159" t="s">
        <v>271</v>
      </c>
      <c r="B68" s="140"/>
      <c r="C68" s="140">
        <v>90</v>
      </c>
      <c r="D68" s="140">
        <v>90</v>
      </c>
      <c r="E68" s="140">
        <v>90</v>
      </c>
      <c r="F68" s="140">
        <v>90</v>
      </c>
      <c r="G68" s="136">
        <v>365</v>
      </c>
      <c r="H68" s="815"/>
      <c r="I68" s="140">
        <v>90</v>
      </c>
      <c r="J68" s="140">
        <v>90</v>
      </c>
      <c r="K68" s="140">
        <v>90</v>
      </c>
      <c r="L68" s="140">
        <v>90</v>
      </c>
      <c r="M68" s="136">
        <v>365</v>
      </c>
      <c r="N68" s="815"/>
      <c r="O68" s="140">
        <v>90</v>
      </c>
      <c r="P68" s="140">
        <v>90</v>
      </c>
      <c r="Q68" s="140">
        <v>90</v>
      </c>
      <c r="R68" s="140">
        <v>90</v>
      </c>
      <c r="S68" s="136">
        <v>365</v>
      </c>
      <c r="T68" s="815"/>
      <c r="U68" s="140">
        <v>90</v>
      </c>
      <c r="V68" s="140">
        <v>90</v>
      </c>
      <c r="W68" s="140">
        <v>90</v>
      </c>
      <c r="X68" s="140">
        <v>90</v>
      </c>
      <c r="Y68" s="136">
        <v>365</v>
      </c>
      <c r="Z68" s="815"/>
      <c r="AA68" s="140">
        <v>90</v>
      </c>
      <c r="AB68" s="140">
        <v>90</v>
      </c>
      <c r="AC68" s="140">
        <v>90</v>
      </c>
      <c r="AD68" s="140">
        <v>90</v>
      </c>
      <c r="AE68" s="136">
        <v>365</v>
      </c>
      <c r="AF68" s="815"/>
      <c r="AG68" s="140">
        <v>90</v>
      </c>
      <c r="AH68" s="140">
        <v>90</v>
      </c>
      <c r="AI68" s="140">
        <v>90</v>
      </c>
      <c r="AJ68" s="140">
        <v>90</v>
      </c>
      <c r="AK68" s="136">
        <v>365</v>
      </c>
      <c r="AL68" s="815"/>
      <c r="AM68" s="140">
        <v>90</v>
      </c>
      <c r="AN68" s="140">
        <v>90</v>
      </c>
      <c r="AO68" s="140">
        <v>90</v>
      </c>
      <c r="AP68" s="140">
        <v>90</v>
      </c>
      <c r="AQ68" s="136">
        <v>365</v>
      </c>
      <c r="AR68" s="815"/>
      <c r="AS68" s="140">
        <v>90</v>
      </c>
      <c r="AT68" s="140">
        <v>90</v>
      </c>
      <c r="AU68" s="140">
        <v>90</v>
      </c>
      <c r="AV68" s="140">
        <v>90</v>
      </c>
      <c r="AW68" s="136">
        <v>365</v>
      </c>
      <c r="AX68" s="815"/>
      <c r="AY68" s="140">
        <v>90</v>
      </c>
      <c r="AZ68" s="140">
        <v>90</v>
      </c>
      <c r="BA68" s="140">
        <v>90</v>
      </c>
      <c r="BB68" s="140">
        <v>90</v>
      </c>
      <c r="BC68" s="136">
        <v>365</v>
      </c>
      <c r="BD68" s="815"/>
      <c r="BE68" s="140">
        <v>90</v>
      </c>
      <c r="BF68" s="140">
        <v>90</v>
      </c>
      <c r="BG68" s="140">
        <v>90</v>
      </c>
      <c r="BH68" s="140">
        <v>90</v>
      </c>
      <c r="BI68" s="136">
        <v>365</v>
      </c>
      <c r="BJ68" s="815"/>
      <c r="BK68" s="140">
        <v>90</v>
      </c>
      <c r="BL68" s="140">
        <v>90</v>
      </c>
      <c r="BM68" s="140">
        <v>90</v>
      </c>
      <c r="BN68" s="140">
        <v>90</v>
      </c>
      <c r="BO68" s="136">
        <v>365</v>
      </c>
      <c r="BP68" s="815"/>
      <c r="BQ68" s="140">
        <v>90</v>
      </c>
      <c r="BR68" s="140">
        <v>90</v>
      </c>
      <c r="BS68" s="140">
        <v>90</v>
      </c>
      <c r="BT68" s="140">
        <v>90</v>
      </c>
      <c r="BU68" s="136">
        <v>365</v>
      </c>
      <c r="BV68" s="140"/>
      <c r="BW68" s="140">
        <v>90</v>
      </c>
      <c r="BX68" s="140">
        <v>90</v>
      </c>
      <c r="BY68" s="140">
        <v>90</v>
      </c>
      <c r="BZ68" s="140">
        <v>90</v>
      </c>
      <c r="CA68" s="136">
        <v>365</v>
      </c>
      <c r="CB68" s="140"/>
      <c r="CC68" s="140">
        <v>90</v>
      </c>
      <c r="CD68" s="140">
        <v>90</v>
      </c>
      <c r="CE68" s="140">
        <v>90</v>
      </c>
      <c r="CF68" s="140">
        <v>90</v>
      </c>
      <c r="CG68" s="136">
        <v>365</v>
      </c>
      <c r="CH68" s="140"/>
      <c r="CI68" s="140">
        <v>90</v>
      </c>
      <c r="CJ68" s="140">
        <v>90</v>
      </c>
      <c r="CK68" s="140">
        <v>90</v>
      </c>
      <c r="CL68" s="140">
        <v>90</v>
      </c>
      <c r="CM68" s="136">
        <v>365</v>
      </c>
      <c r="CN68" s="98"/>
      <c r="CO68" s="98"/>
      <c r="CP68" s="98"/>
      <c r="CQ68" s="98"/>
      <c r="CR68"/>
      <c r="CS68"/>
      <c r="CT68"/>
      <c r="CU68"/>
      <c r="CV68"/>
      <c r="CW68"/>
    </row>
    <row r="69" spans="1:101" s="228" customFormat="1" ht="12.75" customHeight="1">
      <c r="A69" s="159" t="s">
        <v>272</v>
      </c>
      <c r="B69" s="139"/>
      <c r="C69" s="139">
        <f>C68/(IS!C11/C11)</f>
        <v>59.782874162323154</v>
      </c>
      <c r="D69" s="139">
        <f>D68/(IS!D11/D11)</f>
        <v>55.872075739211979</v>
      </c>
      <c r="E69" s="139">
        <f>E68/(IS!E11/E11)</f>
        <v>59.304998301458916</v>
      </c>
      <c r="F69" s="139">
        <f>F68/(IS!F11/F11)</f>
        <v>58.869449442993997</v>
      </c>
      <c r="G69" s="220">
        <f>G68/(IS!G11/G11)</f>
        <v>65.335418287976509</v>
      </c>
      <c r="H69" s="816"/>
      <c r="I69" s="139">
        <f>I68/(IS!I11/I11)</f>
        <v>69.35348360655739</v>
      </c>
      <c r="J69" s="139">
        <f>J68/(IS!J11/J11)</f>
        <v>62.324953214579224</v>
      </c>
      <c r="K69" s="139">
        <f>K68/(IS!K11/K11)</f>
        <v>64.903988954499965</v>
      </c>
      <c r="L69" s="139">
        <f>L68/(IS!L11/L11)</f>
        <v>59.580190849620905</v>
      </c>
      <c r="M69" s="220">
        <f>M68/(IS!M11/M11)</f>
        <v>62.185991158944397</v>
      </c>
      <c r="N69" s="816"/>
      <c r="O69" s="139">
        <f>O68/(IS!O11/O11)</f>
        <v>60.413712751949305</v>
      </c>
      <c r="P69" s="139">
        <f>P68/(IS!P11/P11)</f>
        <v>67.402560065712919</v>
      </c>
      <c r="Q69" s="139">
        <f>Q68/(IS!Q11/Q11)</f>
        <v>83.164233654080775</v>
      </c>
      <c r="R69" s="139">
        <f>R68/(IS!R11/R11)</f>
        <v>95.957083345820749</v>
      </c>
      <c r="S69" s="220">
        <f>S68/(IS!S11/S11)</f>
        <v>75.359983388854289</v>
      </c>
      <c r="T69" s="816"/>
      <c r="U69" s="139">
        <f>U68/(IS!U11/U11)</f>
        <v>82.218002134037889</v>
      </c>
      <c r="V69" s="139">
        <f>V68/(IS!V11/V11)</f>
        <v>77.918775708578821</v>
      </c>
      <c r="W69" s="139">
        <f>W68/(IS!W11/W11)</f>
        <v>69.440744052942222</v>
      </c>
      <c r="X69" s="139">
        <f>X68/(IS!X11/X11)</f>
        <v>68.26693455797934</v>
      </c>
      <c r="Y69" s="220">
        <f>Y68/(IS!Y11/Y11)</f>
        <v>76.370900485607706</v>
      </c>
      <c r="Z69" s="816"/>
      <c r="AA69" s="139">
        <f>AA68/(IS!AA11/AA11)</f>
        <v>64.352210004780744</v>
      </c>
      <c r="AB69" s="139">
        <f>AB68/(IS!AB11/AB11)</f>
        <v>65.784932189696946</v>
      </c>
      <c r="AC69" s="139">
        <f>AC68/(IS!AC11/AC11)</f>
        <v>64.766607576600336</v>
      </c>
      <c r="AD69" s="139">
        <f>AD68/(IS!AD11/AD11)</f>
        <v>66.605495642377008</v>
      </c>
      <c r="AE69" s="220">
        <f>AE68/(IS!AE11/AE11)</f>
        <v>72.610242176310805</v>
      </c>
      <c r="AF69" s="816"/>
      <c r="AG69" s="139">
        <f>AG68/(IS!AG11/AG11)</f>
        <v>70.952174778637044</v>
      </c>
      <c r="AH69" s="139">
        <f>AH68/(IS!AH11/AH11)</f>
        <v>65.855786627787907</v>
      </c>
      <c r="AI69" s="139">
        <f>AI68/(IS!AI11/AI11)</f>
        <v>69.039431591501071</v>
      </c>
      <c r="AJ69" s="139">
        <f>AJ68/(IS!AJ11/AJ11)</f>
        <v>71.284582068884234</v>
      </c>
      <c r="AK69" s="220">
        <f>AK68/(IS!AK11/AK11)</f>
        <v>77.89521278533185</v>
      </c>
      <c r="AL69" s="816"/>
      <c r="AM69" s="139">
        <f>AM68/(IS!AM11/AM11)</f>
        <v>72.875322780942611</v>
      </c>
      <c r="AN69" s="139">
        <f>AN68/(IS!AN11/AN11)</f>
        <v>71.871133869142938</v>
      </c>
      <c r="AO69" s="139">
        <f>AO68/(IS!AO11/AO11)</f>
        <v>73.744107569026227</v>
      </c>
      <c r="AP69" s="139">
        <f>AP68/(IS!AP11/AP11)</f>
        <v>71.21408574473206</v>
      </c>
      <c r="AQ69" s="220">
        <f>AQ68/(IS!AQ11/AQ11)</f>
        <v>79.103903839410847</v>
      </c>
      <c r="AR69" s="816"/>
      <c r="AS69" s="139">
        <f>AS68/(IS!AS11/AS11)</f>
        <v>74.927852240088612</v>
      </c>
      <c r="AT69" s="139">
        <f>AT68/(IS!AT11/AT11)</f>
        <v>71.748772801170887</v>
      </c>
      <c r="AU69" s="139">
        <f>AU68/(IS!AU11/AU11)</f>
        <v>70.788189091354198</v>
      </c>
      <c r="AV69" s="139">
        <f>AV68/(IS!AV11/AV11)</f>
        <v>69.584373398214879</v>
      </c>
      <c r="AW69" s="220">
        <f>AW68/(IS!AW11/AW11)</f>
        <v>76.669773373374127</v>
      </c>
      <c r="AX69" s="816"/>
      <c r="AY69" s="139">
        <f>AY68/(IS!AY11/AY11)</f>
        <v>77.174017158947336</v>
      </c>
      <c r="AZ69" s="139">
        <f>AZ68/(IS!AZ11/AZ11)</f>
        <v>72.912498120704981</v>
      </c>
      <c r="BA69" s="139">
        <f>BA68/(IS!BA11/BA11)</f>
        <v>70.913609791638521</v>
      </c>
      <c r="BB69" s="139">
        <f>BB68/(IS!BB11/BB11)</f>
        <v>69.309403022776067</v>
      </c>
      <c r="BC69" s="220">
        <f>BC68/(IS!BC11/BC11)</f>
        <v>76.101326450166695</v>
      </c>
      <c r="BD69" s="816"/>
      <c r="BE69" s="139">
        <f>BE68/(IS!BE11/BE11)</f>
        <v>78.901365139073164</v>
      </c>
      <c r="BF69" s="139">
        <f>BF68/(IS!BF11/BF11)</f>
        <v>73.122042884466964</v>
      </c>
      <c r="BG69" s="139">
        <f>BG68/(IS!BG11/BG11)</f>
        <v>77.515956981725978</v>
      </c>
      <c r="BH69" s="139">
        <f>BH68/(IS!BH11/BH11)</f>
        <v>67.559131781414379</v>
      </c>
      <c r="BI69" s="220">
        <f>BI68/(IS!BI11/BI11)</f>
        <v>73.404009397853159</v>
      </c>
      <c r="BJ69" s="816"/>
      <c r="BK69" s="139">
        <f>BK68/(IS!BK11/BK11)</f>
        <v>71.937701730507499</v>
      </c>
      <c r="BL69" s="139">
        <f>BL68/(IS!BL11/BL11)</f>
        <v>72.4430684202446</v>
      </c>
      <c r="BM69" s="139">
        <f>BM68/(IS!BM11/BM11)</f>
        <v>71.526187642030081</v>
      </c>
      <c r="BN69" s="139">
        <f>BN68/(IS!BN11/BN11)</f>
        <v>77.44762931605328</v>
      </c>
      <c r="BO69" s="220">
        <f>BO68/(IS!BO11/BO11)</f>
        <v>89.289342777049669</v>
      </c>
      <c r="BP69" s="816"/>
      <c r="BQ69" s="1886">
        <f>BK69-6</f>
        <v>65.937701730507499</v>
      </c>
      <c r="BR69" s="763">
        <f t="shared" ref="BR69:BT70" si="47">BL69-6</f>
        <v>66.4430684202446</v>
      </c>
      <c r="BS69" s="763">
        <f t="shared" si="47"/>
        <v>65.526187642030081</v>
      </c>
      <c r="BT69" s="763">
        <f t="shared" si="47"/>
        <v>71.44762931605328</v>
      </c>
      <c r="BU69" s="220">
        <f>BU68/(IS!BU11/BU11)</f>
        <v>80.465705161656629</v>
      </c>
      <c r="BV69" s="139"/>
      <c r="BW69" s="1886">
        <f>BQ69+0.5</f>
        <v>66.437701730507499</v>
      </c>
      <c r="BX69" s="763">
        <f t="shared" ref="BX69:BZ70" si="48">BR69+0.5</f>
        <v>66.9430684202446</v>
      </c>
      <c r="BY69" s="763">
        <f t="shared" si="48"/>
        <v>66.026187642030081</v>
      </c>
      <c r="BZ69" s="763">
        <f t="shared" si="48"/>
        <v>71.94762931605328</v>
      </c>
      <c r="CA69" s="220">
        <f>CA68/(IS!CA11/CA11)</f>
        <v>81.392389646756584</v>
      </c>
      <c r="CB69" s="139"/>
      <c r="CC69" s="1886">
        <f>BW69+0.5</f>
        <v>66.937701730507499</v>
      </c>
      <c r="CD69" s="763">
        <f t="shared" ref="CD69:CD70" si="49">BX69+0.5</f>
        <v>67.4430684202446</v>
      </c>
      <c r="CE69" s="763">
        <f t="shared" ref="CE69:CE70" si="50">BY69+0.5</f>
        <v>66.526187642030081</v>
      </c>
      <c r="CF69" s="763">
        <f t="shared" ref="CF69:CF70" si="51">BZ69+0.5</f>
        <v>72.44762931605328</v>
      </c>
      <c r="CG69" s="220">
        <f>CG68/(IS!CG11/CG11)</f>
        <v>81.625800959320102</v>
      </c>
      <c r="CH69" s="139"/>
      <c r="CI69" s="1886">
        <f>CC69+0.5</f>
        <v>67.437701730507499</v>
      </c>
      <c r="CJ69" s="763">
        <f t="shared" ref="CJ69:CJ70" si="52">CD69+0.5</f>
        <v>67.9430684202446</v>
      </c>
      <c r="CK69" s="763">
        <f t="shared" ref="CK69:CK70" si="53">CE69+0.5</f>
        <v>67.026187642030081</v>
      </c>
      <c r="CL69" s="763">
        <f t="shared" ref="CL69:CL70" si="54">CF69+0.5</f>
        <v>72.94762931605328</v>
      </c>
      <c r="CM69" s="220">
        <f>CM68/(IS!CM11/CM11)</f>
        <v>82.286875812934539</v>
      </c>
      <c r="CN69" s="98"/>
      <c r="CO69" s="98"/>
      <c r="CP69" s="98"/>
      <c r="CQ69" s="98"/>
      <c r="CR69"/>
      <c r="CS69"/>
      <c r="CT69"/>
      <c r="CU69"/>
      <c r="CV69"/>
      <c r="CW69"/>
    </row>
    <row r="70" spans="1:101" s="228" customFormat="1" ht="12.75" customHeight="1">
      <c r="A70" s="159" t="s">
        <v>273</v>
      </c>
      <c r="B70" s="139"/>
      <c r="C70" s="139">
        <f>C68/(IS!C12/C12)</f>
        <v>78.646453084358043</v>
      </c>
      <c r="D70" s="139">
        <f>D68/(IS!D12/D12)</f>
        <v>72.377887775772251</v>
      </c>
      <c r="E70" s="139">
        <f>E68/(IS!E12/E12)</f>
        <v>76.467787363510922</v>
      </c>
      <c r="F70" s="139">
        <f>F68/(IS!F12/F12)</f>
        <v>65.743971918864929</v>
      </c>
      <c r="G70" s="220">
        <f>G68/(IS!G12/G12)</f>
        <v>70.373325169283973</v>
      </c>
      <c r="H70" s="816"/>
      <c r="I70" s="139">
        <f>I68/(IS!I12/I12)</f>
        <v>78.54565265784818</v>
      </c>
      <c r="J70" s="139">
        <f>J68/(IS!J12/J12)</f>
        <v>71.715503634587094</v>
      </c>
      <c r="K70" s="139">
        <f>K68/(IS!K12/K12)</f>
        <v>74.857377385594091</v>
      </c>
      <c r="L70" s="139">
        <f>L68/(IS!L12/L12)</f>
        <v>66.200864216583255</v>
      </c>
      <c r="M70" s="220">
        <f>M68/(IS!M12/M12)</f>
        <v>68.240384292102348</v>
      </c>
      <c r="N70" s="816"/>
      <c r="O70" s="139">
        <f>O68/(IS!O12/O12)</f>
        <v>77.39683850070972</v>
      </c>
      <c r="P70" s="139">
        <f>P68/(IS!P12/P12)</f>
        <v>80.850834098148241</v>
      </c>
      <c r="Q70" s="139">
        <f>Q68/(IS!Q12/Q12)</f>
        <v>101.71380947824815</v>
      </c>
      <c r="R70" s="139">
        <f>R68/(IS!R12/R12)</f>
        <v>117.47043138400844</v>
      </c>
      <c r="S70" s="220">
        <f>S68/(IS!S12/S12)</f>
        <v>80.145474164417621</v>
      </c>
      <c r="T70" s="816"/>
      <c r="U70" s="139">
        <f>U68/(IS!U12/U12)</f>
        <v>97.88753755627441</v>
      </c>
      <c r="V70" s="139">
        <f>V68/(IS!V12/V12)</f>
        <v>94.314151513239139</v>
      </c>
      <c r="W70" s="139">
        <f>W68/(IS!W12/W12)</f>
        <v>85.106415529017909</v>
      </c>
      <c r="X70" s="139">
        <f>X68/(IS!X12/X12)</f>
        <v>75.189111193512531</v>
      </c>
      <c r="Y70" s="220">
        <f>Y68/(IS!Y12/Y12)</f>
        <v>84.011777299549394</v>
      </c>
      <c r="Z70" s="816"/>
      <c r="AA70" s="139">
        <f>AA68/(IS!AA12/AA12)</f>
        <v>85.915396079330506</v>
      </c>
      <c r="AB70" s="139">
        <f>AB68/(IS!AB12/AB12)</f>
        <v>78.082355421263429</v>
      </c>
      <c r="AC70" s="139">
        <f>AC68/(IS!AC12/AC12)</f>
        <v>85.849673202614383</v>
      </c>
      <c r="AD70" s="139">
        <f>AD68/(IS!AD12/AD12)</f>
        <v>78.013609115947503</v>
      </c>
      <c r="AE70" s="220">
        <f>AE68/(IS!AE12/AE12)</f>
        <v>87.09188112963713</v>
      </c>
      <c r="AF70" s="816"/>
      <c r="AG70" s="139">
        <f>AG68/(IS!AG12/AG12)</f>
        <v>87.138046361434661</v>
      </c>
      <c r="AH70" s="139">
        <f>AH68/(IS!AH12/AH12)</f>
        <v>81.540274874349521</v>
      </c>
      <c r="AI70" s="139">
        <f>AI68/(IS!AI12/AI12)</f>
        <v>88.389113478907746</v>
      </c>
      <c r="AJ70" s="139">
        <f>AJ68/(IS!AJ12/AJ12)</f>
        <v>75.504658937335506</v>
      </c>
      <c r="AK70" s="220">
        <f>AK68/(IS!AK12/AK12)</f>
        <v>82.840390019874846</v>
      </c>
      <c r="AL70" s="816"/>
      <c r="AM70" s="139">
        <f>AM68/(IS!AM12/AM12)</f>
        <v>87.405709756535245</v>
      </c>
      <c r="AN70" s="139">
        <f>AN68/(IS!AN12/AN12)</f>
        <v>81.534513459725559</v>
      </c>
      <c r="AO70" s="139">
        <f>AO68/(IS!AO12/AO12)</f>
        <v>91.218758192781607</v>
      </c>
      <c r="AP70" s="139">
        <f>AP68/(IS!AP12/AP12)</f>
        <v>77.586145401945828</v>
      </c>
      <c r="AQ70" s="220">
        <f>AQ68/(IS!AQ12/AQ12)</f>
        <v>84.218856623613547</v>
      </c>
      <c r="AR70" s="816"/>
      <c r="AS70" s="139">
        <f>AS68/(IS!AS12/AS12)</f>
        <v>88.988387791766925</v>
      </c>
      <c r="AT70" s="139">
        <f>AT68/(IS!AT12/AT12)</f>
        <v>84.549426856633062</v>
      </c>
      <c r="AU70" s="139">
        <f>AU68/(IS!AU12/AU12)</f>
        <v>88.515506041768518</v>
      </c>
      <c r="AV70" s="139">
        <f>AV68/(IS!AV12/AV12)</f>
        <v>83.544314911467737</v>
      </c>
      <c r="AW70" s="220">
        <f>AW68/(IS!AW12/AW12)</f>
        <v>88.903133186003046</v>
      </c>
      <c r="AX70" s="816"/>
      <c r="AY70" s="139">
        <f>AY68/(IS!AY12/AY12)</f>
        <v>105.17678795080123</v>
      </c>
      <c r="AZ70" s="139">
        <f>AZ68/(IS!AZ12/AZ12)</f>
        <v>99.570032998987173</v>
      </c>
      <c r="BA70" s="139">
        <f>BA68/(IS!BA12/BA12)</f>
        <v>102.49908139395285</v>
      </c>
      <c r="BB70" s="139">
        <f>BB68/(IS!BB12/BB12)</f>
        <v>89.335015094495674</v>
      </c>
      <c r="BC70" s="220">
        <f>BC68/(IS!BC12/BC12)</f>
        <v>96.483379526807511</v>
      </c>
      <c r="BD70" s="816"/>
      <c r="BE70" s="139">
        <f>BE68/(IS!BE12/BE12)</f>
        <v>111.02277771013114</v>
      </c>
      <c r="BF70" s="139">
        <f>BF68/(IS!BF12/BF12)</f>
        <v>98.511873081606026</v>
      </c>
      <c r="BG70" s="139">
        <f>BG68/(IS!BG12/BG12)</f>
        <v>106.36066649933389</v>
      </c>
      <c r="BH70" s="139">
        <f>BH68/(IS!BH12/BH12)</f>
        <v>78.459884020709595</v>
      </c>
      <c r="BI70" s="220">
        <f>BI68/(IS!BI12/BI12)</f>
        <v>84.12399582457229</v>
      </c>
      <c r="BJ70" s="816"/>
      <c r="BK70" s="139">
        <f>BK68/(IS!BK12/BK12)</f>
        <v>89.789296297134058</v>
      </c>
      <c r="BL70" s="139">
        <f>BL68/(IS!BL12/BL12)</f>
        <v>88.300657324549988</v>
      </c>
      <c r="BM70" s="139">
        <f>BM68/(IS!BM12/BM12)</f>
        <v>95.43938811509129</v>
      </c>
      <c r="BN70" s="139">
        <f>BN68/(IS!BN12/BN12)</f>
        <v>97.561332720956543</v>
      </c>
      <c r="BO70" s="220">
        <f>BO68/(IS!BO12/BO12)</f>
        <v>111.77361209677771</v>
      </c>
      <c r="BP70" s="816"/>
      <c r="BQ70" s="1886">
        <f>BK70-6</f>
        <v>83.789296297134058</v>
      </c>
      <c r="BR70" s="763">
        <f t="shared" si="47"/>
        <v>82.300657324549988</v>
      </c>
      <c r="BS70" s="763">
        <f t="shared" si="47"/>
        <v>89.43938811509129</v>
      </c>
      <c r="BT70" s="763">
        <f t="shared" si="47"/>
        <v>91.561332720956543</v>
      </c>
      <c r="BU70" s="220">
        <f>BU68/(IS!BU12/BU12)</f>
        <v>101.97198132259152</v>
      </c>
      <c r="BV70" s="139"/>
      <c r="BW70" s="1886">
        <f>BQ70+0.5</f>
        <v>84.289296297134058</v>
      </c>
      <c r="BX70" s="763">
        <f t="shared" si="48"/>
        <v>82.800657324549988</v>
      </c>
      <c r="BY70" s="763">
        <f t="shared" si="48"/>
        <v>89.93938811509129</v>
      </c>
      <c r="BZ70" s="763">
        <f t="shared" si="48"/>
        <v>92.061332720956543</v>
      </c>
      <c r="CA70" s="220">
        <f>CA68/(IS!CA12/CA12)</f>
        <v>102.98323762573484</v>
      </c>
      <c r="CB70" s="139"/>
      <c r="CC70" s="1886">
        <f>BW70+0.5</f>
        <v>84.789296297134058</v>
      </c>
      <c r="CD70" s="763">
        <f t="shared" si="49"/>
        <v>83.300657324549988</v>
      </c>
      <c r="CE70" s="763">
        <f t="shared" si="50"/>
        <v>90.43938811509129</v>
      </c>
      <c r="CF70" s="763">
        <f t="shared" si="51"/>
        <v>92.561332720956543</v>
      </c>
      <c r="CG70" s="220">
        <f>CG68/(IS!CG12/CG12)</f>
        <v>103.10876161540018</v>
      </c>
      <c r="CH70" s="139"/>
      <c r="CI70" s="1886">
        <f>CC70+0.5</f>
        <v>85.289296297134058</v>
      </c>
      <c r="CJ70" s="763">
        <f t="shared" si="52"/>
        <v>83.800657324549988</v>
      </c>
      <c r="CK70" s="763">
        <f t="shared" si="53"/>
        <v>90.93938811509129</v>
      </c>
      <c r="CL70" s="763">
        <f t="shared" si="54"/>
        <v>93.061332720956543</v>
      </c>
      <c r="CM70" s="220">
        <f>CM68/(IS!CM12/CM12)</f>
        <v>103.77930891712248</v>
      </c>
      <c r="CN70" s="98"/>
      <c r="CO70" s="98"/>
      <c r="CP70" s="98"/>
      <c r="CQ70" s="98"/>
      <c r="CR70"/>
      <c r="CS70"/>
      <c r="CT70"/>
      <c r="CU70"/>
      <c r="CV70"/>
      <c r="CW70"/>
    </row>
    <row r="71" spans="1:101" s="228" customFormat="1" ht="12.75" customHeight="1">
      <c r="A71" s="159" t="s">
        <v>274</v>
      </c>
      <c r="B71" s="139"/>
      <c r="C71" s="139">
        <f>C68/(IS!C12/C25)</f>
        <v>56.778497691483039</v>
      </c>
      <c r="D71" s="139">
        <f>D68/(IS!D12/D25)</f>
        <v>53.888201401423494</v>
      </c>
      <c r="E71" s="139">
        <f>E68/(IS!E12/E25)</f>
        <v>57.610865863401962</v>
      </c>
      <c r="F71" s="139">
        <f>F68/(IS!F12/F25)</f>
        <v>56.224967495176401</v>
      </c>
      <c r="G71" s="220">
        <f>G68/(IS!G12/G25)</f>
        <v>60.184041284477111</v>
      </c>
      <c r="H71" s="816"/>
      <c r="I71" s="139">
        <f>I68/(IS!I12/I25)</f>
        <v>66.712750875795251</v>
      </c>
      <c r="J71" s="139">
        <f>J68/(IS!J12/J25)</f>
        <v>62.716437782526064</v>
      </c>
      <c r="K71" s="139">
        <f>K68/(IS!K12/K25)</f>
        <v>63.224912784732197</v>
      </c>
      <c r="L71" s="139">
        <f>L68/(IS!L12/L25)</f>
        <v>56.035296192596846</v>
      </c>
      <c r="M71" s="220">
        <f>M68/(IS!M12/M25)</f>
        <v>57.761634857127909</v>
      </c>
      <c r="N71" s="816"/>
      <c r="O71" s="139">
        <f>O68/(IS!O12/O25)</f>
        <v>54.339501050884735</v>
      </c>
      <c r="P71" s="139">
        <f>P68/(IS!P12/P25)</f>
        <v>57.522871772723306</v>
      </c>
      <c r="Q71" s="139">
        <f>Q68/(IS!Q12/Q25)</f>
        <v>72.041786475040411</v>
      </c>
      <c r="R71" s="139">
        <f>R68/(IS!R12/R25)</f>
        <v>87.966395149212815</v>
      </c>
      <c r="S71" s="220">
        <f>S68/(IS!S12/S25)</f>
        <v>60.016025877367611</v>
      </c>
      <c r="T71" s="816"/>
      <c r="U71" s="139">
        <f>U68/(IS!U12/U25)</f>
        <v>72.777436478301354</v>
      </c>
      <c r="V71" s="139">
        <f>V68/(IS!V12/V25)</f>
        <v>70.973350402538742</v>
      </c>
      <c r="W71" s="139">
        <f>W68/(IS!W12/W25)</f>
        <v>57.913895663285956</v>
      </c>
      <c r="X71" s="139">
        <f>X68/(IS!X12/X25)</f>
        <v>58.417221532558429</v>
      </c>
      <c r="Y71" s="220">
        <f>Y68/(IS!Y12/Y25)</f>
        <v>65.271879504211896</v>
      </c>
      <c r="Z71" s="816"/>
      <c r="AA71" s="139">
        <f>AA68/(IS!AA12/AA25)</f>
        <v>57.012495701020299</v>
      </c>
      <c r="AB71" s="139">
        <f>AB68/(IS!AB12/AB25)</f>
        <v>52.424987702902108</v>
      </c>
      <c r="AC71" s="139">
        <f>AC68/(IS!AC12/AC25)</f>
        <v>56.649763353617296</v>
      </c>
      <c r="AD71" s="139">
        <f>AD68/(IS!AD12/AD25)</f>
        <v>56.106172706161892</v>
      </c>
      <c r="AE71" s="220">
        <f>AE68/(IS!AE12/AE25)</f>
        <v>62.635124555019068</v>
      </c>
      <c r="AF71" s="816"/>
      <c r="AG71" s="139">
        <f>AG68/(IS!AG12/AG25)</f>
        <v>56.395917425902425</v>
      </c>
      <c r="AH71" s="139">
        <f>AH68/(IS!AH12/AH25)</f>
        <v>58.053195747898407</v>
      </c>
      <c r="AI71" s="139">
        <f>AI68/(IS!AI12/AI25)</f>
        <v>52.657459310800867</v>
      </c>
      <c r="AJ71" s="139">
        <f>AJ68/(IS!AJ12/AJ25)</f>
        <v>51.500208305813267</v>
      </c>
      <c r="AK71" s="220">
        <f>AK68/(IS!AK12/AK25)</f>
        <v>56.503762843285578</v>
      </c>
      <c r="AL71" s="816"/>
      <c r="AM71" s="139">
        <f>AM68/(IS!AM12/AM25)</f>
        <v>57.931073159059629</v>
      </c>
      <c r="AN71" s="139">
        <f>AN68/(IS!AN12/AN25)</f>
        <v>53.458259138996539</v>
      </c>
      <c r="AO71" s="139">
        <f>AO68/(IS!AO12/AO25)</f>
        <v>53.260617844970717</v>
      </c>
      <c r="AP71" s="139">
        <f>AP68/(IS!AP12/AP25)</f>
        <v>49.694651950779715</v>
      </c>
      <c r="AQ71" s="220">
        <f>AQ68/(IS!AQ12/AQ25)</f>
        <v>53.942965537480234</v>
      </c>
      <c r="AR71" s="816"/>
      <c r="AS71" s="139">
        <f>AS68/(IS!AS12/AS25)</f>
        <v>53.590890245674217</v>
      </c>
      <c r="AT71" s="139">
        <f>AT68/(IS!AT12/AT25)</f>
        <v>47.268613641893538</v>
      </c>
      <c r="AU71" s="139">
        <f>AU68/(IS!AU12/AU25)</f>
        <v>50.448906893902347</v>
      </c>
      <c r="AV71" s="139">
        <f>AV68/(IS!AV12/AV25)</f>
        <v>50.910589727330375</v>
      </c>
      <c r="AW71" s="220">
        <f>AW68/(IS!AW12/AW25)</f>
        <v>54.17616918521805</v>
      </c>
      <c r="AX71" s="816"/>
      <c r="AY71" s="139">
        <f>AY68/(IS!AY12/AY25)</f>
        <v>56.891639102090622</v>
      </c>
      <c r="AZ71" s="139">
        <f>AZ68/(IS!AZ12/AZ25)</f>
        <v>55.764040905675174</v>
      </c>
      <c r="BA71" s="139">
        <f>BA68/(IS!BA12/BA25)</f>
        <v>49.01012467575935</v>
      </c>
      <c r="BB71" s="139">
        <f>BB68/(IS!BB12/BB25)</f>
        <v>47.369629047599354</v>
      </c>
      <c r="BC71" s="220">
        <f>BC68/(IS!BC12/BC25)</f>
        <v>51.160028266735189</v>
      </c>
      <c r="BD71" s="816"/>
      <c r="BE71" s="139">
        <f>BE68/(IS!BE12/BE25)</f>
        <v>56.377483885918977</v>
      </c>
      <c r="BF71" s="139">
        <f>BF68/(IS!BF12/BF25)</f>
        <v>51.326489694442223</v>
      </c>
      <c r="BG71" s="139">
        <f>BG68/(IS!BG12/BG25)</f>
        <v>56.412604019848246</v>
      </c>
      <c r="BH71" s="139">
        <f>BH68/(IS!BH12/BH25)</f>
        <v>53.408992986148888</v>
      </c>
      <c r="BI71" s="220">
        <f>BI68/(IS!BI12/BI25)</f>
        <v>57.264651344315922</v>
      </c>
      <c r="BJ71" s="816"/>
      <c r="BK71" s="139">
        <f>BK68/(IS!BK12/BK25)</f>
        <v>53.64903074034698</v>
      </c>
      <c r="BL71" s="139">
        <f>BL68/(IS!BL12/BL25)</f>
        <v>49.354124238976532</v>
      </c>
      <c r="BM71" s="139">
        <f>BM68/(IS!BM12/BM25)</f>
        <v>52.940510790255559</v>
      </c>
      <c r="BN71" s="139">
        <f>BN68/(IS!BN12/BN25)</f>
        <v>61.612821690468195</v>
      </c>
      <c r="BO71" s="220">
        <f>BO68/(IS!BO12/BO25)</f>
        <v>70.588289845481327</v>
      </c>
      <c r="BP71" s="816"/>
      <c r="BQ71" s="1886">
        <f>BK71+6</f>
        <v>59.64903074034698</v>
      </c>
      <c r="BR71" s="763">
        <f t="shared" ref="BR71:BT71" si="55">BL71+6</f>
        <v>55.354124238976532</v>
      </c>
      <c r="BS71" s="763">
        <f t="shared" si="55"/>
        <v>58.940510790255559</v>
      </c>
      <c r="BT71" s="763">
        <f t="shared" si="55"/>
        <v>67.612821690468195</v>
      </c>
      <c r="BU71" s="220">
        <f>BU68/(IS!BU12/BU25)</f>
        <v>75.300491874667699</v>
      </c>
      <c r="BV71" s="139"/>
      <c r="BW71" s="1886">
        <f>BQ71-0.5</f>
        <v>59.14903074034698</v>
      </c>
      <c r="BX71" s="763">
        <f t="shared" ref="BX71:BZ71" si="56">BR71-0.5</f>
        <v>54.854124238976532</v>
      </c>
      <c r="BY71" s="763">
        <f t="shared" si="56"/>
        <v>58.440510790255559</v>
      </c>
      <c r="BZ71" s="763">
        <f t="shared" si="56"/>
        <v>67.112821690468195</v>
      </c>
      <c r="CA71" s="220">
        <f>CA68/(IS!CA12/CA25)</f>
        <v>75.074903432391281</v>
      </c>
      <c r="CB71" s="139"/>
      <c r="CC71" s="1886">
        <f>BW71-0.5</f>
        <v>58.64903074034698</v>
      </c>
      <c r="CD71" s="763">
        <f t="shared" ref="CD71" si="57">BX71-0.5</f>
        <v>54.354124238976532</v>
      </c>
      <c r="CE71" s="763">
        <f t="shared" ref="CE71" si="58">BY71-0.5</f>
        <v>57.940510790255559</v>
      </c>
      <c r="CF71" s="763">
        <f t="shared" ref="CF71" si="59">BZ71-0.5</f>
        <v>66.612821690468195</v>
      </c>
      <c r="CG71" s="220">
        <f>CG68/(IS!CG12/CG25)</f>
        <v>74.203399522321234</v>
      </c>
      <c r="CH71" s="139"/>
      <c r="CI71" s="1886">
        <f>CC71-0.5</f>
        <v>58.14903074034698</v>
      </c>
      <c r="CJ71" s="763">
        <f t="shared" ref="CJ71" si="60">CD71-0.5</f>
        <v>53.854124238976532</v>
      </c>
      <c r="CK71" s="763">
        <f t="shared" ref="CK71" si="61">CE71-0.5</f>
        <v>57.440510790255559</v>
      </c>
      <c r="CL71" s="763">
        <f t="shared" ref="CL71" si="62">CF71-0.5</f>
        <v>66.112821690468195</v>
      </c>
      <c r="CM71" s="220">
        <f>CM68/(IS!CM12/CM25)</f>
        <v>73.727108187573464</v>
      </c>
      <c r="CN71" s="98"/>
      <c r="CO71" s="98"/>
      <c r="CP71" s="98"/>
      <c r="CQ71" s="98"/>
      <c r="CR71"/>
      <c r="CS71"/>
      <c r="CT71"/>
      <c r="CU71"/>
      <c r="CV71"/>
      <c r="CW71"/>
    </row>
    <row r="72" spans="1:101" s="228" customFormat="1" ht="12.75" customHeight="1">
      <c r="A72" s="817" t="s">
        <v>275</v>
      </c>
      <c r="B72" s="818"/>
      <c r="C72" s="818">
        <f>C69+C70-C71</f>
        <v>81.650829555198158</v>
      </c>
      <c r="D72" s="818">
        <f>D69+D70-D71</f>
        <v>74.361762113560758</v>
      </c>
      <c r="E72" s="818">
        <f>E69+E70-E71</f>
        <v>78.161919801567876</v>
      </c>
      <c r="F72" s="818">
        <f>F69+F70-F71</f>
        <v>68.388453866682525</v>
      </c>
      <c r="G72" s="819">
        <f>G69+G70-G71</f>
        <v>75.524702172783378</v>
      </c>
      <c r="H72" s="820"/>
      <c r="I72" s="818">
        <f>I69+I70-I71</f>
        <v>81.186385388610319</v>
      </c>
      <c r="J72" s="818">
        <f>J69+J70-J71</f>
        <v>71.324019066640261</v>
      </c>
      <c r="K72" s="818">
        <f>K69+K70-K71</f>
        <v>76.536453555361874</v>
      </c>
      <c r="L72" s="818">
        <f>L69+L70-L71</f>
        <v>69.745758873607315</v>
      </c>
      <c r="M72" s="819">
        <f>M69+M70-M71</f>
        <v>72.664740593918822</v>
      </c>
      <c r="N72" s="820"/>
      <c r="O72" s="818">
        <f>O69+O70-O71</f>
        <v>83.47105020177429</v>
      </c>
      <c r="P72" s="818">
        <f>P69+P70-P71</f>
        <v>90.730522391137868</v>
      </c>
      <c r="Q72" s="818">
        <f>Q69+Q70-Q71</f>
        <v>112.8362566572885</v>
      </c>
      <c r="R72" s="818">
        <f>R69+R70-R71</f>
        <v>125.46111958061636</v>
      </c>
      <c r="S72" s="819">
        <f>S69+S70-S71</f>
        <v>95.489431675904314</v>
      </c>
      <c r="T72" s="820"/>
      <c r="U72" s="818">
        <f>U69+U70-U71</f>
        <v>107.32810321201094</v>
      </c>
      <c r="V72" s="818">
        <f>V69+V70-V71</f>
        <v>101.25957681927922</v>
      </c>
      <c r="W72" s="818">
        <f>W69+W70-W71</f>
        <v>96.633263918674174</v>
      </c>
      <c r="X72" s="818">
        <f>X69+X70-X71</f>
        <v>85.038824218933442</v>
      </c>
      <c r="Y72" s="819">
        <f>Y69+Y70-Y71</f>
        <v>95.110798280945218</v>
      </c>
      <c r="Z72" s="820"/>
      <c r="AA72" s="818">
        <f>AA69+AA70-AA71</f>
        <v>93.255110383090965</v>
      </c>
      <c r="AB72" s="818">
        <f>AB69+AB70-AB71</f>
        <v>91.44229990805826</v>
      </c>
      <c r="AC72" s="818">
        <f>AC69+AC70-AC71</f>
        <v>93.966517425597431</v>
      </c>
      <c r="AD72" s="818">
        <f>AD69+AD70-AD71</f>
        <v>88.512932052162625</v>
      </c>
      <c r="AE72" s="819">
        <f>AE69+AE70-AE71</f>
        <v>97.06699875092886</v>
      </c>
      <c r="AF72" s="820"/>
      <c r="AG72" s="818">
        <f>AG69+AG70-AG71</f>
        <v>101.69430371416929</v>
      </c>
      <c r="AH72" s="818">
        <f>AH69+AH70-AH71</f>
        <v>89.342865754239028</v>
      </c>
      <c r="AI72" s="818">
        <f>AI69+AI70-AI71</f>
        <v>104.77108575960793</v>
      </c>
      <c r="AJ72" s="818">
        <f>AJ69+AJ70-AJ71</f>
        <v>95.289032700406494</v>
      </c>
      <c r="AK72" s="819">
        <f>AK69+AK70-AK71</f>
        <v>104.23183996192111</v>
      </c>
      <c r="AL72" s="820"/>
      <c r="AM72" s="818">
        <f>AM69+AM70-AM71</f>
        <v>102.34995937841825</v>
      </c>
      <c r="AN72" s="818">
        <f>AN69+AN70-AN71</f>
        <v>99.947388189871958</v>
      </c>
      <c r="AO72" s="818">
        <f>AO69+AO70-AO71</f>
        <v>111.70224791683714</v>
      </c>
      <c r="AP72" s="818">
        <f>AP69+AP70-AP71</f>
        <v>99.105579195898187</v>
      </c>
      <c r="AQ72" s="819">
        <f>AQ69+AQ70-AQ71</f>
        <v>109.37979492554416</v>
      </c>
      <c r="AR72" s="820"/>
      <c r="AS72" s="818">
        <f>AS69+AS70-AS71</f>
        <v>110.32534978618131</v>
      </c>
      <c r="AT72" s="818">
        <f>AT69+AT70-AT71</f>
        <v>109.0295860159104</v>
      </c>
      <c r="AU72" s="818">
        <f>AU69+AU70-AU71</f>
        <v>108.85478823922037</v>
      </c>
      <c r="AV72" s="818">
        <f>AV69+AV70-AV71</f>
        <v>102.21809858235224</v>
      </c>
      <c r="AW72" s="819">
        <f>AW69+AW70-AW71</f>
        <v>111.39673737415913</v>
      </c>
      <c r="AX72" s="820"/>
      <c r="AY72" s="818">
        <f>AY69+AY70-AY71</f>
        <v>125.45916600765794</v>
      </c>
      <c r="AZ72" s="818">
        <f>AZ69+AZ70-AZ71</f>
        <v>116.718490214017</v>
      </c>
      <c r="BA72" s="818">
        <f>BA69+BA70-BA71</f>
        <v>124.40256650983201</v>
      </c>
      <c r="BB72" s="818">
        <f>BB69+BB70-BB71</f>
        <v>111.27478906967241</v>
      </c>
      <c r="BC72" s="819">
        <f>BC69+BC70-BC71</f>
        <v>121.424677710239</v>
      </c>
      <c r="BD72" s="820"/>
      <c r="BE72" s="818">
        <f>BE69+BE70-BE71</f>
        <v>133.54665896328532</v>
      </c>
      <c r="BF72" s="818">
        <f>BF69+BF70-BF71</f>
        <v>120.30742627163079</v>
      </c>
      <c r="BG72" s="818">
        <f>BG69+BG70-BG71</f>
        <v>127.46401946121163</v>
      </c>
      <c r="BH72" s="818">
        <f>BH69+BH70-BH71</f>
        <v>92.6100228159751</v>
      </c>
      <c r="BI72" s="819">
        <f>BI69+BI70-BI71</f>
        <v>100.26335387810954</v>
      </c>
      <c r="BJ72" s="820"/>
      <c r="BK72" s="818">
        <f>BK69+BK70-BK71</f>
        <v>108.0779672872946</v>
      </c>
      <c r="BL72" s="818">
        <f>BL69+BL70-BL71</f>
        <v>111.38960150581804</v>
      </c>
      <c r="BM72" s="818">
        <f>BM69+BM70-BM71</f>
        <v>114.02506496686581</v>
      </c>
      <c r="BN72" s="818">
        <f>BN69+BN70-BN71</f>
        <v>113.39614034654164</v>
      </c>
      <c r="BO72" s="819">
        <f>BO69+BO70-BO71</f>
        <v>130.47466502834607</v>
      </c>
      <c r="BP72" s="820"/>
      <c r="BQ72" s="818">
        <f>BQ69+BQ70-BQ71</f>
        <v>90.077967287294598</v>
      </c>
      <c r="BR72" s="818">
        <f>BR69+BR70-BR71</f>
        <v>93.389601505818035</v>
      </c>
      <c r="BS72" s="818">
        <f>BS69+BS70-BS71</f>
        <v>96.025064966865813</v>
      </c>
      <c r="BT72" s="818">
        <f>BT69+BT70-BT71</f>
        <v>95.396140346541642</v>
      </c>
      <c r="BU72" s="819">
        <f>BU69+BU70-BU71</f>
        <v>107.13719460958046</v>
      </c>
      <c r="BV72" s="1791"/>
      <c r="BW72" s="818">
        <f>BW69+BW70-BW71</f>
        <v>91.577967287294598</v>
      </c>
      <c r="BX72" s="818">
        <f>BX69+BX70-BX71</f>
        <v>94.889601505818035</v>
      </c>
      <c r="BY72" s="818">
        <f>BY69+BY70-BY71</f>
        <v>97.525064966865813</v>
      </c>
      <c r="BZ72" s="818">
        <f>BZ69+BZ70-BZ71</f>
        <v>96.896140346541642</v>
      </c>
      <c r="CA72" s="819">
        <f>CA69+CA70-CA71</f>
        <v>109.30072384010016</v>
      </c>
      <c r="CB72" s="1791"/>
      <c r="CC72" s="818">
        <f>CC69+CC70-CC71</f>
        <v>93.077967287294598</v>
      </c>
      <c r="CD72" s="818">
        <f>CD69+CD70-CD71</f>
        <v>96.389601505818035</v>
      </c>
      <c r="CE72" s="818">
        <f>CE69+CE70-CE71</f>
        <v>99.025064966865813</v>
      </c>
      <c r="CF72" s="818">
        <f>CF69+CF70-CF71</f>
        <v>98.396140346541642</v>
      </c>
      <c r="CG72" s="819">
        <f>CG69+CG70-CG71</f>
        <v>110.53116305239905</v>
      </c>
      <c r="CH72" s="1791"/>
      <c r="CI72" s="818">
        <f>CI69+CI70-CI71</f>
        <v>94.577967287294598</v>
      </c>
      <c r="CJ72" s="818">
        <f>CJ69+CJ70-CJ71</f>
        <v>97.889601505818035</v>
      </c>
      <c r="CK72" s="818">
        <f>CK69+CK70-CK71</f>
        <v>100.52506496686581</v>
      </c>
      <c r="CL72" s="818">
        <f>CL69+CL70-CL71</f>
        <v>99.896140346541642</v>
      </c>
      <c r="CM72" s="819">
        <f>CM69+CM70-CM71</f>
        <v>112.33907654248355</v>
      </c>
      <c r="CN72" s="98"/>
      <c r="CO72" s="98"/>
      <c r="CP72" s="98"/>
      <c r="CQ72" s="98"/>
      <c r="CR72"/>
      <c r="CS72"/>
      <c r="CT72"/>
      <c r="CU72"/>
      <c r="CV72"/>
      <c r="CW72"/>
    </row>
    <row r="73" spans="1:101">
      <c r="A73" s="556"/>
      <c r="B73" s="98"/>
      <c r="C73" s="98"/>
      <c r="D73" s="98"/>
      <c r="E73" s="98"/>
      <c r="F73" s="98"/>
      <c r="G73" s="98"/>
      <c r="H73" s="556"/>
      <c r="I73" s="98"/>
      <c r="J73" s="98"/>
      <c r="K73" s="98"/>
      <c r="L73" s="98"/>
      <c r="M73" s="98"/>
      <c r="N73" s="556"/>
      <c r="O73" s="98"/>
      <c r="P73" s="98"/>
      <c r="Q73" s="98"/>
      <c r="R73" s="98"/>
      <c r="S73" s="129"/>
      <c r="T73" s="556"/>
      <c r="U73" s="129"/>
      <c r="V73" s="129"/>
      <c r="W73" s="129"/>
      <c r="X73" s="129"/>
      <c r="Y73" s="128"/>
      <c r="Z73" s="556"/>
      <c r="AA73" s="129"/>
      <c r="AB73" s="129"/>
      <c r="AC73" s="129"/>
      <c r="AD73" s="129"/>
      <c r="AE73" s="128"/>
      <c r="AF73" s="556"/>
      <c r="AG73" s="129"/>
      <c r="AH73" s="129"/>
      <c r="AI73" s="129"/>
      <c r="AJ73" s="129"/>
      <c r="AK73" s="162"/>
      <c r="AL73" s="556"/>
      <c r="AM73" s="129"/>
      <c r="AN73" s="129"/>
      <c r="AO73" s="129"/>
      <c r="AP73" s="129"/>
      <c r="AQ73" s="162"/>
      <c r="AR73" s="556"/>
      <c r="AS73" s="129"/>
      <c r="AT73" s="129"/>
      <c r="AU73" s="129"/>
      <c r="AV73" s="129"/>
      <c r="AW73" s="162"/>
      <c r="AX73" s="556"/>
      <c r="AY73" s="129"/>
      <c r="AZ73" s="129"/>
      <c r="BA73" s="129"/>
      <c r="BB73" s="129"/>
      <c r="BC73" s="162"/>
      <c r="BD73" s="556"/>
      <c r="BE73" s="129"/>
      <c r="BF73" s="129"/>
      <c r="BG73" s="129"/>
      <c r="BH73" s="129"/>
      <c r="BI73" s="162"/>
      <c r="BJ73" s="556"/>
      <c r="BK73" s="129"/>
      <c r="BL73" s="129"/>
      <c r="BM73" s="129"/>
      <c r="BN73" s="129"/>
      <c r="BO73" s="162"/>
      <c r="BP73" s="556"/>
      <c r="BQ73" s="129"/>
      <c r="BR73" s="129"/>
      <c r="BS73" s="129"/>
      <c r="BT73" s="129"/>
      <c r="BU73" s="162"/>
      <c r="BV73" s="162"/>
      <c r="BW73" s="129"/>
      <c r="BX73" s="129"/>
      <c r="BY73" s="129"/>
      <c r="BZ73" s="129"/>
      <c r="CA73" s="162"/>
      <c r="CB73" s="162"/>
      <c r="CC73" s="129"/>
      <c r="CD73" s="129"/>
      <c r="CE73" s="129"/>
      <c r="CF73" s="129"/>
      <c r="CG73" s="162"/>
      <c r="CH73" s="162"/>
      <c r="CI73" s="129"/>
      <c r="CJ73" s="129"/>
      <c r="CK73" s="129"/>
      <c r="CL73" s="129"/>
      <c r="CM73" s="162"/>
      <c r="CN73" s="94"/>
      <c r="CO73" s="94"/>
      <c r="CP73" s="94"/>
      <c r="CQ73" s="94"/>
    </row>
    <row r="74" spans="1:101" ht="12.75" customHeight="1">
      <c r="A74" s="158" t="s">
        <v>497</v>
      </c>
      <c r="B74" s="146"/>
      <c r="C74" s="146"/>
      <c r="D74" s="146"/>
      <c r="E74" s="146"/>
      <c r="F74" s="146"/>
      <c r="G74" s="147"/>
      <c r="H74" s="157"/>
      <c r="I74" s="146"/>
      <c r="J74" s="146"/>
      <c r="K74" s="146"/>
      <c r="L74" s="146"/>
      <c r="M74" s="147"/>
      <c r="N74" s="157"/>
      <c r="O74" s="146"/>
      <c r="P74" s="146"/>
      <c r="Q74" s="146"/>
      <c r="R74" s="146"/>
      <c r="S74" s="155"/>
      <c r="T74" s="157"/>
      <c r="U74" s="151"/>
      <c r="V74" s="151"/>
      <c r="W74" s="151"/>
      <c r="X74" s="151"/>
      <c r="Y74" s="154"/>
      <c r="Z74" s="157"/>
      <c r="AA74" s="151"/>
      <c r="AB74" s="151"/>
      <c r="AC74" s="151"/>
      <c r="AD74" s="151"/>
      <c r="AE74" s="154"/>
      <c r="AF74" s="157"/>
      <c r="AG74" s="151"/>
      <c r="AH74" s="151"/>
      <c r="AI74" s="151"/>
      <c r="AJ74" s="151"/>
      <c r="AK74" s="153"/>
      <c r="AL74" s="157"/>
      <c r="AM74" s="151"/>
      <c r="AN74" s="151"/>
      <c r="AO74" s="151"/>
      <c r="AP74" s="151"/>
      <c r="AQ74" s="153"/>
      <c r="AR74" s="157"/>
      <c r="AS74" s="151"/>
      <c r="AT74" s="151"/>
      <c r="AU74" s="151"/>
      <c r="AV74" s="151"/>
      <c r="AW74" s="153"/>
      <c r="AX74" s="157"/>
      <c r="AY74" s="151"/>
      <c r="AZ74" s="151"/>
      <c r="BA74" s="151"/>
      <c r="BB74" s="151"/>
      <c r="BC74" s="153"/>
      <c r="BD74" s="157"/>
      <c r="BE74" s="151"/>
      <c r="BF74" s="151"/>
      <c r="BG74" s="151"/>
      <c r="BH74" s="151"/>
      <c r="BI74" s="153"/>
      <c r="BJ74" s="157"/>
      <c r="BK74" s="151"/>
      <c r="BL74" s="151"/>
      <c r="BM74" s="151"/>
      <c r="BN74" s="151"/>
      <c r="BO74" s="153"/>
      <c r="BP74" s="157"/>
      <c r="BQ74" s="151"/>
      <c r="BR74" s="151"/>
      <c r="BS74" s="151"/>
      <c r="BT74" s="151"/>
      <c r="BU74" s="153"/>
      <c r="BV74" s="1789"/>
      <c r="BW74" s="151"/>
      <c r="BX74" s="151"/>
      <c r="BY74" s="151"/>
      <c r="BZ74" s="151"/>
      <c r="CA74" s="153"/>
      <c r="CB74" s="1789"/>
      <c r="CC74" s="151"/>
      <c r="CD74" s="151"/>
      <c r="CE74" s="151"/>
      <c r="CF74" s="151"/>
      <c r="CG74" s="153"/>
      <c r="CH74" s="1789"/>
      <c r="CI74" s="151"/>
      <c r="CJ74" s="151"/>
      <c r="CK74" s="151"/>
      <c r="CL74" s="151"/>
      <c r="CM74" s="153"/>
      <c r="CN74" s="94"/>
      <c r="CO74" s="94"/>
      <c r="CP74" s="94"/>
      <c r="CQ74" s="94"/>
    </row>
    <row r="75" spans="1:101" s="228" customFormat="1" ht="12.75" customHeight="1">
      <c r="A75" s="1707" t="s">
        <v>18</v>
      </c>
      <c r="B75" s="1708"/>
      <c r="C75" s="1717">
        <f>CFS!C53</f>
        <v>-71.497000000000014</v>
      </c>
      <c r="D75" s="1717">
        <f>CFS!D53</f>
        <v>30.47799999999998</v>
      </c>
      <c r="E75" s="1717">
        <f>CFS!E53</f>
        <v>10.860999999999965</v>
      </c>
      <c r="F75" s="1717">
        <f>CFS!F53</f>
        <v>42.446999999999996</v>
      </c>
      <c r="G75" s="1715">
        <f>CFS!G53</f>
        <v>12.289000000000012</v>
      </c>
      <c r="H75" s="1709"/>
      <c r="I75" s="1717">
        <f>CFS!I53</f>
        <v>-18.086000000000002</v>
      </c>
      <c r="J75" s="1717">
        <f>CFS!J53</f>
        <v>8.188999999999977</v>
      </c>
      <c r="K75" s="1717">
        <f>CFS!K53</f>
        <v>-4.6429999999999936</v>
      </c>
      <c r="L75" s="1717">
        <f>CFS!L53</f>
        <v>-9.6979999999999897</v>
      </c>
      <c r="M75" s="1715">
        <f>CFS!M53</f>
        <v>-24.238000000000039</v>
      </c>
      <c r="N75" s="1709"/>
      <c r="O75" s="1717">
        <f>CFS!O53</f>
        <v>-17.060999999999979</v>
      </c>
      <c r="P75" s="1717">
        <f>CFS!P53</f>
        <v>-10.710000000000008</v>
      </c>
      <c r="Q75" s="1717">
        <f>CFS!Q53</f>
        <v>-0.75300000000004275</v>
      </c>
      <c r="R75" s="1717">
        <f>CFS!R53</f>
        <v>29.121000000000052</v>
      </c>
      <c r="S75" s="1715">
        <f>CFS!S53</f>
        <v>0.59700000000005282</v>
      </c>
      <c r="T75" s="1709"/>
      <c r="U75" s="1717">
        <f>CFS!U53</f>
        <v>2.0370000000000053</v>
      </c>
      <c r="V75" s="1717">
        <f>CFS!V53</f>
        <v>33.92</v>
      </c>
      <c r="W75" s="1717">
        <f>CFS!W53</f>
        <v>35.323999999999998</v>
      </c>
      <c r="X75" s="1717">
        <f>CFS!X53</f>
        <v>169.09799999999993</v>
      </c>
      <c r="Y75" s="1715">
        <f>CFS!Y53</f>
        <v>240.37899999999993</v>
      </c>
      <c r="Z75" s="1709"/>
      <c r="AA75" s="1717">
        <f>CFS!AA53</f>
        <v>-4.2379999999999924</v>
      </c>
      <c r="AB75" s="1717">
        <f>CFS!AB53</f>
        <v>-20.63999999999999</v>
      </c>
      <c r="AC75" s="1717">
        <f>CFS!AC53</f>
        <v>-147.10600000000002</v>
      </c>
      <c r="AD75" s="1717">
        <f>CFS!AD53</f>
        <v>-105.75999999999996</v>
      </c>
      <c r="AE75" s="1715">
        <f>CFS!AE53</f>
        <v>-277.74400000000003</v>
      </c>
      <c r="AF75" s="1709"/>
      <c r="AG75" s="1717">
        <f>CFS!AG53</f>
        <v>2.4149999999999978</v>
      </c>
      <c r="AH75" s="1717">
        <f>CFS!AH53</f>
        <v>26.646000000000011</v>
      </c>
      <c r="AI75" s="1717">
        <f>CFS!AI53</f>
        <v>-0.57499999999999307</v>
      </c>
      <c r="AJ75" s="1717">
        <f>CFS!AJ53</f>
        <v>0.61600000000000099</v>
      </c>
      <c r="AK75" s="1715">
        <f>CFS!AK53</f>
        <v>29.101999999999979</v>
      </c>
      <c r="AL75" s="1709"/>
      <c r="AM75" s="1717">
        <f>CFS!AM53</f>
        <v>-45.573</v>
      </c>
      <c r="AN75" s="1717">
        <f>CFS!AN53</f>
        <v>-13.400999999999987</v>
      </c>
      <c r="AO75" s="1717">
        <f>CFS!AO53</f>
        <v>19.832999999999995</v>
      </c>
      <c r="AP75" s="1717">
        <f>CFS!AP53</f>
        <v>40.938999999999972</v>
      </c>
      <c r="AQ75" s="1715">
        <f>CFS!AQ53</f>
        <v>1.7979999999999989</v>
      </c>
      <c r="AR75" s="1709"/>
      <c r="AS75" s="1717">
        <f>CFS!AS53</f>
        <v>50.871000000000002</v>
      </c>
      <c r="AT75" s="1717">
        <f>CFS!AT53</f>
        <v>-18.855</v>
      </c>
      <c r="AU75" s="1717">
        <f>CFS!AU53</f>
        <v>-1.5750000000000028</v>
      </c>
      <c r="AV75" s="1717">
        <f>CFS!AV53</f>
        <v>-28.861999999999949</v>
      </c>
      <c r="AW75" s="1715">
        <f>CFS!AW53</f>
        <v>1.5789999999999722</v>
      </c>
      <c r="AX75" s="1709"/>
      <c r="AY75" s="1717">
        <f>CFS!AY53</f>
        <v>-5.897000000000002</v>
      </c>
      <c r="AZ75" s="1717">
        <f>CFS!AZ53</f>
        <v>23.246000000000013</v>
      </c>
      <c r="BA75" s="1717">
        <f>CFS!BA53</f>
        <v>2.8959999999999928</v>
      </c>
      <c r="BB75" s="1717">
        <f>CFS!BB53</f>
        <v>42.866000000000014</v>
      </c>
      <c r="BC75" s="1715">
        <f>CFS!BC53</f>
        <v>63.110999999999947</v>
      </c>
      <c r="BD75" s="1709"/>
      <c r="BE75" s="1717">
        <f>CFS!BE53</f>
        <v>-27.201000000000022</v>
      </c>
      <c r="BF75" s="1717">
        <f>CFS!BF53</f>
        <v>37.351999999999997</v>
      </c>
      <c r="BG75" s="1717">
        <f>CFS!BG53</f>
        <v>63.580000000000119</v>
      </c>
      <c r="BH75" s="1717">
        <f>CFS!BH53</f>
        <v>47.602000000000025</v>
      </c>
      <c r="BI75" s="1715">
        <f>CFS!BI53</f>
        <v>121.33300000000017</v>
      </c>
      <c r="BJ75" s="1709"/>
      <c r="BK75" s="1717">
        <f>CFS!BK53</f>
        <v>-70.935999999999979</v>
      </c>
      <c r="BL75" s="1717">
        <f>CFS!BL53</f>
        <v>327.97900000000004</v>
      </c>
      <c r="BM75" s="1717">
        <f>CFS!BM53</f>
        <v>93.17999999999995</v>
      </c>
      <c r="BN75" s="1717">
        <f>CFS!BN53</f>
        <v>-507.35399999999998</v>
      </c>
      <c r="BO75" s="1715">
        <f>CFS!BO53</f>
        <v>-157.13100000000011</v>
      </c>
      <c r="BP75" s="1709"/>
      <c r="BQ75" s="1717">
        <f>CFS!BQ53</f>
        <v>53.070480906630578</v>
      </c>
      <c r="BR75" s="1717">
        <f>CFS!BR53</f>
        <v>175.48891967745345</v>
      </c>
      <c r="BS75" s="1717">
        <f>CFS!BS53</f>
        <v>54.814471545808203</v>
      </c>
      <c r="BT75" s="1717">
        <f>CFS!BT53</f>
        <v>-32.850023429656346</v>
      </c>
      <c r="BU75" s="1715">
        <f>CFS!BU53</f>
        <v>250.52384870023599</v>
      </c>
      <c r="BV75" s="1717"/>
      <c r="BW75" s="1717">
        <f>CFS!BW53</f>
        <v>-28.233596704265977</v>
      </c>
      <c r="BX75" s="1717">
        <f>CFS!BX53</f>
        <v>-46.959969240376921</v>
      </c>
      <c r="BY75" s="1717">
        <f>CFS!BY53</f>
        <v>9.451782144975823</v>
      </c>
      <c r="BZ75" s="1717">
        <f>CFS!BZ53</f>
        <v>115.44356946552435</v>
      </c>
      <c r="CA75" s="1715">
        <f>CFS!CA53</f>
        <v>49.701785665857301</v>
      </c>
      <c r="CB75" s="1717"/>
      <c r="CC75" s="1717">
        <f>CFS!CC53</f>
        <v>96.612493879797825</v>
      </c>
      <c r="CD75" s="1717">
        <f>CFS!CD53</f>
        <v>80.978051162399836</v>
      </c>
      <c r="CE75" s="1717">
        <f>CFS!CE53</f>
        <v>147.36085773248408</v>
      </c>
      <c r="CF75" s="1717">
        <f>CFS!CF53</f>
        <v>47.496980260585815</v>
      </c>
      <c r="CG75" s="1715">
        <f>CFS!CG53</f>
        <v>372.44838303526763</v>
      </c>
      <c r="CH75" s="1717"/>
      <c r="CI75" s="1717">
        <f>CFS!CI53</f>
        <v>44.390252155768906</v>
      </c>
      <c r="CJ75" s="1717">
        <f>CFS!CJ53</f>
        <v>6.1293127287403166</v>
      </c>
      <c r="CK75" s="1717">
        <f>CFS!CK53</f>
        <v>74.457992405481036</v>
      </c>
      <c r="CL75" s="1717">
        <f>CFS!CL53</f>
        <v>0.48951757006122421</v>
      </c>
      <c r="CM75" s="1715">
        <f>CFS!CM53</f>
        <v>125.46707486005153</v>
      </c>
      <c r="CN75" s="98"/>
      <c r="CO75" s="98"/>
      <c r="CP75" s="98"/>
      <c r="CQ75" s="98"/>
      <c r="CR75"/>
      <c r="CS75"/>
      <c r="CT75"/>
      <c r="CU75"/>
      <c r="CV75"/>
      <c r="CW75"/>
    </row>
    <row r="76" spans="1:101" s="228" customFormat="1" ht="12.75" customHeight="1">
      <c r="A76" s="1707" t="s">
        <v>498</v>
      </c>
      <c r="B76" s="1710"/>
      <c r="C76" s="1717">
        <f>CFS!C26</f>
        <v>17.251999999999999</v>
      </c>
      <c r="D76" s="1717">
        <f>CFS!D26</f>
        <v>69.734999999999999</v>
      </c>
      <c r="E76" s="1717">
        <f>CFS!E26</f>
        <v>23.372</v>
      </c>
      <c r="F76" s="1717">
        <f>CFS!F26</f>
        <v>94.768000000000001</v>
      </c>
      <c r="G76" s="1715">
        <f>CFS!G26</f>
        <v>205.12700000000001</v>
      </c>
      <c r="H76" s="1711"/>
      <c r="I76" s="1717">
        <f>CFS!I26</f>
        <v>15.605000000000002</v>
      </c>
      <c r="J76" s="1717">
        <f>CFS!J26</f>
        <v>79.256999999999991</v>
      </c>
      <c r="K76" s="1717">
        <f>CFS!K26</f>
        <v>32.406999999999996</v>
      </c>
      <c r="L76" s="1717">
        <f>CFS!L26</f>
        <v>90.575000000000017</v>
      </c>
      <c r="M76" s="1715">
        <f>CFS!M26</f>
        <v>217.84399999999999</v>
      </c>
      <c r="N76" s="1711"/>
      <c r="O76" s="1717">
        <f>CFS!O26</f>
        <v>14.945000000000006</v>
      </c>
      <c r="P76" s="1717">
        <f>CFS!P26</f>
        <v>36.274999999999999</v>
      </c>
      <c r="Q76" s="1717">
        <f>CFS!Q26</f>
        <v>34.402999999999992</v>
      </c>
      <c r="R76" s="1717">
        <f>CFS!R26</f>
        <v>63.099000000000011</v>
      </c>
      <c r="S76" s="1715">
        <f>CFS!S26</f>
        <v>148.72200000000004</v>
      </c>
      <c r="T76" s="1711"/>
      <c r="U76" s="1717">
        <f>CFS!U26</f>
        <v>49.392000000000003</v>
      </c>
      <c r="V76" s="1717">
        <f>CFS!V26</f>
        <v>70.667000000000002</v>
      </c>
      <c r="W76" s="1717">
        <f>CFS!W26</f>
        <v>15.272000000000004</v>
      </c>
      <c r="X76" s="1717">
        <f>CFS!X26</f>
        <v>28.921999999999947</v>
      </c>
      <c r="Y76" s="1715">
        <f>CFS!Y26</f>
        <v>164.25299999999996</v>
      </c>
      <c r="Z76" s="1711"/>
      <c r="AA76" s="1717">
        <f>CFS!AA26</f>
        <v>42.651000000000003</v>
      </c>
      <c r="AB76" s="1717">
        <f>CFS!AB26</f>
        <v>51.9</v>
      </c>
      <c r="AC76" s="1717">
        <f>CFS!AC26</f>
        <v>47.798000000000002</v>
      </c>
      <c r="AD76" s="1717">
        <f>CFS!AD26</f>
        <v>82.52500000000002</v>
      </c>
      <c r="AE76" s="1715">
        <f>CFS!AE26</f>
        <v>224.87400000000005</v>
      </c>
      <c r="AF76" s="1711"/>
      <c r="AG76" s="1717">
        <f>CFS!AG26</f>
        <v>15.538999999999998</v>
      </c>
      <c r="AH76" s="1717">
        <f>CFS!AH26</f>
        <v>76.390000000000015</v>
      </c>
      <c r="AI76" s="1717">
        <f>CFS!AI26</f>
        <v>20.717000000000002</v>
      </c>
      <c r="AJ76" s="1717">
        <f>CFS!AJ26</f>
        <v>39.524000000000008</v>
      </c>
      <c r="AK76" s="1715">
        <f>CFS!AK26</f>
        <v>152.16999999999999</v>
      </c>
      <c r="AL76" s="1711"/>
      <c r="AM76" s="1717">
        <f>CFS!AM26</f>
        <v>10.930999999999992</v>
      </c>
      <c r="AN76" s="1717">
        <f>CFS!AN26</f>
        <v>27.862000000000005</v>
      </c>
      <c r="AO76" s="1717">
        <f>CFS!AO26</f>
        <v>48.095000000000013</v>
      </c>
      <c r="AP76" s="1717">
        <f>CFS!AP26</f>
        <v>71.702999999999989</v>
      </c>
      <c r="AQ76" s="1715">
        <f>CFS!AQ26</f>
        <v>158.59100000000001</v>
      </c>
      <c r="AR76" s="1711"/>
      <c r="AS76" s="1717">
        <f>CFS!AS26</f>
        <v>67.710999999999999</v>
      </c>
      <c r="AT76" s="1717">
        <f>CFS!AT26</f>
        <v>54.395000000000003</v>
      </c>
      <c r="AU76" s="1717">
        <f>CFS!AU26</f>
        <v>62.927</v>
      </c>
      <c r="AV76" s="1717">
        <f>CFS!AV26</f>
        <v>96.564000000000007</v>
      </c>
      <c r="AW76" s="1715">
        <f>CFS!AW26</f>
        <v>281.59699999999998</v>
      </c>
      <c r="AX76" s="1711"/>
      <c r="AY76" s="1717">
        <f>CFS!AY26</f>
        <v>37.662999999999997</v>
      </c>
      <c r="AZ76" s="1717">
        <f>CFS!AZ26</f>
        <v>63.471000000000018</v>
      </c>
      <c r="BA76" s="1717">
        <f>CFS!BA26</f>
        <v>60.724999999999987</v>
      </c>
      <c r="BB76" s="1717">
        <f>CFS!BB26</f>
        <v>125.23900000000002</v>
      </c>
      <c r="BC76" s="1715">
        <f>CFS!BC26</f>
        <v>287.09799999999996</v>
      </c>
      <c r="BD76" s="1711"/>
      <c r="BE76" s="1717">
        <f>CFS!BE26</f>
        <v>32.04</v>
      </c>
      <c r="BF76" s="1717">
        <f>CFS!BF26</f>
        <v>96.238</v>
      </c>
      <c r="BG76" s="1717">
        <f>CFS!BG26</f>
        <v>73.614000000000019</v>
      </c>
      <c r="BH76" s="1717">
        <f>CFS!BH26</f>
        <v>148.72299999999998</v>
      </c>
      <c r="BI76" s="1715">
        <f>CFS!BI26</f>
        <v>350.61500000000007</v>
      </c>
      <c r="BJ76" s="1711"/>
      <c r="BK76" s="1717">
        <f>CFS!BK26</f>
        <v>53.736000000000011</v>
      </c>
      <c r="BL76" s="1717">
        <f>CFS!BL26</f>
        <v>48.117000000000004</v>
      </c>
      <c r="BM76" s="1717">
        <f>CFS!BM26</f>
        <v>58.503999999999998</v>
      </c>
      <c r="BN76" s="1717">
        <f>CFS!BN26</f>
        <v>128.09599999999998</v>
      </c>
      <c r="BO76" s="1715">
        <f>CFS!BO26</f>
        <v>288.45299999999997</v>
      </c>
      <c r="BP76" s="1711"/>
      <c r="BQ76" s="1717">
        <f>CFS!BQ26</f>
        <v>142.8906133770825</v>
      </c>
      <c r="BR76" s="1717">
        <f>CFS!BR26</f>
        <v>71.632026123400166</v>
      </c>
      <c r="BS76" s="1717">
        <f>CFS!BS26</f>
        <v>122.83722907798355</v>
      </c>
      <c r="BT76" s="1717">
        <f>CFS!BT26</f>
        <v>138.91167899967309</v>
      </c>
      <c r="BU76" s="1715">
        <f>CFS!BU26</f>
        <v>476.2715475781394</v>
      </c>
      <c r="BV76" s="1717"/>
      <c r="BW76" s="1717">
        <f>CFS!BW26</f>
        <v>108.10573028069007</v>
      </c>
      <c r="BX76" s="1717">
        <f>CFS!BX26</f>
        <v>82.214773191718024</v>
      </c>
      <c r="BY76" s="1717">
        <f>CFS!BY26</f>
        <v>142.28035220340357</v>
      </c>
      <c r="BZ76" s="1717">
        <f>CFS!BZ26</f>
        <v>152.15002935235583</v>
      </c>
      <c r="CA76" s="1715">
        <f>CFS!CA26</f>
        <v>484.75088502816749</v>
      </c>
      <c r="CB76" s="1717"/>
      <c r="CC76" s="1717">
        <f>CFS!CC26</f>
        <v>132.77059222430441</v>
      </c>
      <c r="CD76" s="1717">
        <f>CFS!CD26</f>
        <v>99.764526187504856</v>
      </c>
      <c r="CE76" s="1717">
        <f>CFS!CE26</f>
        <v>172.0265863046661</v>
      </c>
      <c r="CF76" s="1717">
        <f>CFS!CF26</f>
        <v>177.73061675686245</v>
      </c>
      <c r="CG76" s="1715">
        <f>CFS!CG26</f>
        <v>582.29232147333789</v>
      </c>
      <c r="CH76" s="1717"/>
      <c r="CI76" s="1717">
        <f>CFS!CI26</f>
        <v>174.39293914237177</v>
      </c>
      <c r="CJ76" s="1717">
        <f>CFS!CJ26</f>
        <v>99.875321445862269</v>
      </c>
      <c r="CK76" s="1717">
        <f>CFS!CK26</f>
        <v>179.36726740907824</v>
      </c>
      <c r="CL76" s="1717">
        <f>CFS!CL26</f>
        <v>176.73810025099337</v>
      </c>
      <c r="CM76" s="1715">
        <f>CFS!CM26</f>
        <v>630.37362824830564</v>
      </c>
      <c r="CN76" s="98"/>
      <c r="CO76" s="98"/>
      <c r="CP76" s="98"/>
      <c r="CQ76" s="98"/>
      <c r="CR76"/>
      <c r="CS76"/>
      <c r="CT76"/>
      <c r="CU76"/>
      <c r="CV76"/>
      <c r="CW76"/>
    </row>
    <row r="77" spans="1:101" s="228" customFormat="1" ht="12.75" customHeight="1">
      <c r="A77" s="1707" t="s">
        <v>19</v>
      </c>
      <c r="B77" s="1710"/>
      <c r="C77" s="1717">
        <f>CFS!C60</f>
        <v>5.8589999999999982</v>
      </c>
      <c r="D77" s="1717">
        <f>CFS!D60</f>
        <v>53.611000000000004</v>
      </c>
      <c r="E77" s="1717">
        <f>CFS!E60</f>
        <v>12.901</v>
      </c>
      <c r="F77" s="1717">
        <f>CFS!F60</f>
        <v>88.24199999999999</v>
      </c>
      <c r="G77" s="1715">
        <f>CFS!G60</f>
        <v>160.613</v>
      </c>
      <c r="H77" s="1711"/>
      <c r="I77" s="1717">
        <f>CFS!I60</f>
        <v>8.902000000000001</v>
      </c>
      <c r="J77" s="1717">
        <f>CFS!J60</f>
        <v>68.063999999999993</v>
      </c>
      <c r="K77" s="1717">
        <f>CFS!K60</f>
        <v>18.680999999999997</v>
      </c>
      <c r="L77" s="1717">
        <f>CFS!L60</f>
        <v>78.872000000000014</v>
      </c>
      <c r="M77" s="1715">
        <f>CFS!M60</f>
        <v>174.51900000000001</v>
      </c>
      <c r="N77" s="1711"/>
      <c r="O77" s="1717">
        <f>CFS!O60</f>
        <v>9.8220000000000063</v>
      </c>
      <c r="P77" s="1717">
        <f>CFS!P60</f>
        <v>28.754999999999999</v>
      </c>
      <c r="Q77" s="1717">
        <f>CFS!Q60</f>
        <v>32.225999999999992</v>
      </c>
      <c r="R77" s="1717">
        <f>CFS!R60</f>
        <v>46.233000000000011</v>
      </c>
      <c r="S77" s="1715">
        <f>CFS!S60</f>
        <v>117.03600000000003</v>
      </c>
      <c r="T77" s="1711"/>
      <c r="U77" s="1717">
        <f>CFS!U60</f>
        <v>41.891000000000005</v>
      </c>
      <c r="V77" s="1717">
        <f>CFS!V60</f>
        <v>64.335999999999999</v>
      </c>
      <c r="W77" s="1717">
        <f>CFS!W60</f>
        <v>6.2220000000000031</v>
      </c>
      <c r="X77" s="1717">
        <f>CFS!X60</f>
        <v>18.157999999999948</v>
      </c>
      <c r="Y77" s="1715">
        <f>CFS!Y60</f>
        <v>130.60699999999997</v>
      </c>
      <c r="Z77" s="1711"/>
      <c r="AA77" s="1717">
        <f>CFS!AA60</f>
        <v>34.970000000000006</v>
      </c>
      <c r="AB77" s="1717">
        <f>CFS!AB60</f>
        <v>43.610999999999997</v>
      </c>
      <c r="AC77" s="1717">
        <f>CFS!AC60</f>
        <v>38.789000000000001</v>
      </c>
      <c r="AD77" s="1717">
        <f>CFS!AD60</f>
        <v>76.91200000000002</v>
      </c>
      <c r="AE77" s="1715">
        <f>CFS!AE60</f>
        <v>194.28200000000004</v>
      </c>
      <c r="AF77" s="1711"/>
      <c r="AG77" s="1717">
        <f>CFS!AG60</f>
        <v>10.310999999999998</v>
      </c>
      <c r="AH77" s="1717">
        <f>CFS!AH60</f>
        <v>70.169000000000011</v>
      </c>
      <c r="AI77" s="1717">
        <f>CFS!AI60</f>
        <v>7.8160000000000025</v>
      </c>
      <c r="AJ77" s="1717">
        <f>CFS!AJ60</f>
        <v>21.466000000000008</v>
      </c>
      <c r="AK77" s="1715">
        <f>CFS!AK60</f>
        <v>109.76199999999999</v>
      </c>
      <c r="AL77" s="1711"/>
      <c r="AM77" s="1717">
        <f>CFS!AM60</f>
        <v>-0.89800000000000857</v>
      </c>
      <c r="AN77" s="1717">
        <f>CFS!AN60</f>
        <v>16.839000000000006</v>
      </c>
      <c r="AO77" s="1717">
        <f>CFS!AO60</f>
        <v>39.38300000000001</v>
      </c>
      <c r="AP77" s="1717">
        <f>CFS!AP60</f>
        <v>64.275999999999982</v>
      </c>
      <c r="AQ77" s="1715">
        <f>CFS!AQ60</f>
        <v>119.60000000000001</v>
      </c>
      <c r="AR77" s="1711"/>
      <c r="AS77" s="1717">
        <f>CFS!AS60</f>
        <v>61.691000000000003</v>
      </c>
      <c r="AT77" s="1717">
        <f>CFS!AT60</f>
        <v>45.968000000000004</v>
      </c>
      <c r="AU77" s="1717">
        <f>CFS!AU60</f>
        <v>55.16</v>
      </c>
      <c r="AV77" s="1717">
        <f>CFS!AV60</f>
        <v>89.706000000000003</v>
      </c>
      <c r="AW77" s="1715">
        <f>CFS!AW60</f>
        <v>252.52499999999998</v>
      </c>
      <c r="AX77" s="1711"/>
      <c r="AY77" s="1717">
        <f>CFS!AY60</f>
        <v>33.183999999999997</v>
      </c>
      <c r="AZ77" s="1717">
        <f>CFS!AZ60</f>
        <v>57.85100000000002</v>
      </c>
      <c r="BA77" s="1717">
        <f>CFS!BA60</f>
        <v>53.009999999999991</v>
      </c>
      <c r="BB77" s="1717">
        <f>CFS!BB60</f>
        <v>113.42100000000002</v>
      </c>
      <c r="BC77" s="1715">
        <f>CFS!BC60</f>
        <v>257.46599999999995</v>
      </c>
      <c r="BD77" s="1711"/>
      <c r="BE77" s="1717">
        <f>CFS!BE60</f>
        <v>24.231999999999999</v>
      </c>
      <c r="BF77" s="1717">
        <f>CFS!BF60</f>
        <v>87.725999999999999</v>
      </c>
      <c r="BG77" s="1717">
        <f>CFS!BG60</f>
        <v>64.623000000000019</v>
      </c>
      <c r="BH77" s="1717">
        <f>CFS!BH60</f>
        <v>142.33199999999999</v>
      </c>
      <c r="BI77" s="1715">
        <f>CFS!BI60</f>
        <v>318.91300000000007</v>
      </c>
      <c r="BJ77" s="1711"/>
      <c r="BK77" s="1717">
        <f>CFS!BK60</f>
        <v>47.75500000000001</v>
      </c>
      <c r="BL77" s="1717">
        <f>CFS!BL60</f>
        <v>42.625</v>
      </c>
      <c r="BM77" s="1717">
        <f>CFS!BM60</f>
        <v>47.615000000000002</v>
      </c>
      <c r="BN77" s="1717">
        <f>CFS!BN60</f>
        <v>111.36899999999997</v>
      </c>
      <c r="BO77" s="1715">
        <f>CFS!BO60</f>
        <v>249.36399999999998</v>
      </c>
      <c r="BP77" s="1711"/>
      <c r="BQ77" s="1717">
        <f>CFS!BQ60</f>
        <v>135.09486730968061</v>
      </c>
      <c r="BR77" s="1717">
        <f>CFS!BR60</f>
        <v>63.058617994700398</v>
      </c>
      <c r="BS77" s="1717">
        <f>CFS!BS60</f>
        <v>114.30138330388843</v>
      </c>
      <c r="BT77" s="1717">
        <f>CFS!BT60</f>
        <v>129.33664488840719</v>
      </c>
      <c r="BU77" s="1715">
        <f>CFS!BU60</f>
        <v>441.79151349667671</v>
      </c>
      <c r="BV77" s="1717"/>
      <c r="BW77" s="1717">
        <f>CFS!BW60</f>
        <v>99.813263975551706</v>
      </c>
      <c r="BX77" s="1717">
        <f>CFS!BX60</f>
        <v>73.039314541339266</v>
      </c>
      <c r="BY77" s="1717">
        <f>CFS!BY60</f>
        <v>133.09828772110279</v>
      </c>
      <c r="BZ77" s="1717">
        <f>CFS!BZ60</f>
        <v>141.84035433392049</v>
      </c>
      <c r="CA77" s="1715">
        <f>CFS!CA60</f>
        <v>447.79122057191427</v>
      </c>
      <c r="CB77" s="1717"/>
      <c r="CC77" s="1717">
        <f>CFS!CC60</f>
        <v>123.88025465759294</v>
      </c>
      <c r="CD77" s="1717">
        <f>CFS!CD60</f>
        <v>89.908748390603876</v>
      </c>
      <c r="CE77" s="1717">
        <f>CFS!CE60</f>
        <v>162.18580517928953</v>
      </c>
      <c r="CF77" s="1717">
        <f>CFS!CF60</f>
        <v>166.73371355234775</v>
      </c>
      <c r="CG77" s="1715">
        <f>CFS!CG60</f>
        <v>542.7085217798342</v>
      </c>
      <c r="CH77" s="1717"/>
      <c r="CI77" s="1717">
        <f>CFS!CI60</f>
        <v>165.02541024527605</v>
      </c>
      <c r="CJ77" s="1717">
        <f>CFS!CJ60</f>
        <v>89.489516605048493</v>
      </c>
      <c r="CK77" s="1717">
        <f>CFS!CK60</f>
        <v>168.95941842245554</v>
      </c>
      <c r="CL77" s="1717">
        <f>CFS!CL60</f>
        <v>165.11648270933551</v>
      </c>
      <c r="CM77" s="1715">
        <f>CFS!CM60</f>
        <v>588.59082798211557</v>
      </c>
      <c r="CN77" s="98"/>
      <c r="CO77" s="98"/>
      <c r="CP77" s="98"/>
      <c r="CQ77" s="98"/>
      <c r="CR77"/>
      <c r="CS77"/>
      <c r="CT77"/>
      <c r="CU77"/>
      <c r="CV77"/>
      <c r="CW77"/>
    </row>
    <row r="78" spans="1:101" s="228" customFormat="1" ht="12.75" customHeight="1">
      <c r="A78" s="1712" t="s">
        <v>499</v>
      </c>
      <c r="B78" s="1713"/>
      <c r="C78" s="1718">
        <f>CFS!C61</f>
        <v>4.7532511783746928E-2</v>
      </c>
      <c r="D78" s="1718">
        <f>CFS!D61</f>
        <v>0.44420783998541713</v>
      </c>
      <c r="E78" s="1718">
        <f>CFS!E61</f>
        <v>0.10800063623349769</v>
      </c>
      <c r="F78" s="1718">
        <f>CFS!F61</f>
        <v>0.74143595345124558</v>
      </c>
      <c r="G78" s="1716">
        <f>CFS!G61</f>
        <v>1.3317275403175655</v>
      </c>
      <c r="H78" s="1714"/>
      <c r="I78" s="1718">
        <f>CFS!I61</f>
        <v>7.5148363568829729E-2</v>
      </c>
      <c r="J78" s="1718">
        <f>CFS!J61</f>
        <v>0.57070508036859702</v>
      </c>
      <c r="K78" s="1718">
        <f>CFS!K61</f>
        <v>0.15618389920490933</v>
      </c>
      <c r="L78" s="1718">
        <f>CFS!L61</f>
        <v>0.67172555933127243</v>
      </c>
      <c r="M78" s="1716">
        <f>CFS!M61</f>
        <v>1.4704137774145443</v>
      </c>
      <c r="N78" s="1714"/>
      <c r="O78" s="1718">
        <f>CFS!O61</f>
        <v>8.427139817420555E-2</v>
      </c>
      <c r="P78" s="1718">
        <f>CFS!P61</f>
        <v>0.24731654453503973</v>
      </c>
      <c r="Q78" s="1718">
        <f>CFS!Q61</f>
        <v>0.27628363954355667</v>
      </c>
      <c r="R78" s="1718">
        <f>CFS!R61</f>
        <v>0.39549187339606506</v>
      </c>
      <c r="S78" s="1716">
        <f>CFS!S61</f>
        <v>1.0038253709580585</v>
      </c>
      <c r="T78" s="1714"/>
      <c r="U78" s="1718">
        <f>CFS!U61</f>
        <v>0.35521618573572689</v>
      </c>
      <c r="V78" s="1718">
        <f>CFS!V61</f>
        <v>0.54381931295645114</v>
      </c>
      <c r="W78" s="1718">
        <f>CFS!W61</f>
        <v>5.2636476689197791E-2</v>
      </c>
      <c r="X78" s="1718">
        <f>CFS!X61</f>
        <v>0.15455326972345834</v>
      </c>
      <c r="Y78" s="1716">
        <f>CFS!Y61</f>
        <v>1.1070078486548793</v>
      </c>
      <c r="Z78" s="1714"/>
      <c r="AA78" s="1718">
        <f>CFS!AA61</f>
        <v>0.30371721382664585</v>
      </c>
      <c r="AB78" s="1718">
        <f>CFS!AB61</f>
        <v>0.38382193745984522</v>
      </c>
      <c r="AC78" s="1718">
        <f>CFS!AC61</f>
        <v>0.34197928146352219</v>
      </c>
      <c r="AD78" s="1718">
        <f>CFS!AD61</f>
        <v>0.68240659408909854</v>
      </c>
      <c r="AE78" s="1716">
        <f>CFS!AE61</f>
        <v>1.7062636127309776</v>
      </c>
      <c r="AF78" s="1714"/>
      <c r="AG78" s="1718">
        <f>CFS!AG61</f>
        <v>9.035305251535676E-2</v>
      </c>
      <c r="AH78" s="1718">
        <f>CFS!AH61</f>
        <v>0.61241250501841549</v>
      </c>
      <c r="AI78" s="1718">
        <f>CFS!AI61</f>
        <v>6.7966399415642031E-2</v>
      </c>
      <c r="AJ78" s="1718">
        <f>CFS!AJ61</f>
        <v>0.18757427472911578</v>
      </c>
      <c r="AK78" s="1716">
        <f>CFS!AK61</f>
        <v>0.95561553195194138</v>
      </c>
      <c r="AL78" s="1714"/>
      <c r="AM78" s="1718">
        <f>CFS!AM61</f>
        <v>-7.8280274765508608E-3</v>
      </c>
      <c r="AN78" s="1718">
        <f>CFS!AN61</f>
        <v>0.14939051438102172</v>
      </c>
      <c r="AO78" s="1718">
        <f>CFS!AO61</f>
        <v>0.34816779383812946</v>
      </c>
      <c r="AP78" s="1718">
        <f>CFS!AP61</f>
        <v>0.5664930417845464</v>
      </c>
      <c r="AQ78" s="1716">
        <f>CFS!AQ61</f>
        <v>1.0537166418508763</v>
      </c>
      <c r="AR78" s="1714"/>
      <c r="AS78" s="1718">
        <f>CFS!AS61</f>
        <v>0.54220976119953945</v>
      </c>
      <c r="AT78" s="1718">
        <f>CFS!AT61</f>
        <v>0.40333067183757271</v>
      </c>
      <c r="AU78" s="1718">
        <f>CFS!AU61</f>
        <v>0.48488471241835807</v>
      </c>
      <c r="AV78" s="1718">
        <f>CFS!AV61</f>
        <v>0.7907235032790354</v>
      </c>
      <c r="AW78" s="1716">
        <f>CFS!AW61</f>
        <v>2.2202147020810803</v>
      </c>
      <c r="AX78" s="1714"/>
      <c r="AY78" s="1718">
        <f>CFS!AY61</f>
        <v>0.29252726134750834</v>
      </c>
      <c r="AZ78" s="1718">
        <f>CFS!AZ61</f>
        <v>0.50820939446381996</v>
      </c>
      <c r="BA78" s="1718">
        <f>CFS!BA61</f>
        <v>0.46736964610040371</v>
      </c>
      <c r="BB78" s="1718">
        <f>CFS!BB61</f>
        <v>1.010315063734267</v>
      </c>
      <c r="BC78" s="1716">
        <f>CFS!BC61</f>
        <v>2.2721263733839292</v>
      </c>
      <c r="BD78" s="1714"/>
      <c r="BE78" s="1718">
        <f>CFS!BE61</f>
        <v>0.21792346778182473</v>
      </c>
      <c r="BF78" s="1718">
        <f>CFS!BF61</f>
        <v>0.79864171006154183</v>
      </c>
      <c r="BG78" s="1718">
        <f>CFS!BG61</f>
        <v>0.5870655353476627</v>
      </c>
      <c r="BH78" s="1718">
        <f>CFS!BH61</f>
        <v>1.2923177497117226</v>
      </c>
      <c r="BI78" s="1716">
        <f>CFS!BI61</f>
        <v>2.8909829303889847</v>
      </c>
      <c r="BJ78" s="1714"/>
      <c r="BK78" s="1718">
        <f>CFS!BK61</f>
        <v>0.43333272839461373</v>
      </c>
      <c r="BL78" s="1718">
        <f>CFS!BL61</f>
        <v>0.38483414889583067</v>
      </c>
      <c r="BM78" s="1718">
        <f>CFS!BM61</f>
        <v>0.42899101745155105</v>
      </c>
      <c r="BN78" s="1718">
        <f>CFS!BN61</f>
        <v>0.99903119029037402</v>
      </c>
      <c r="BO78" s="1716">
        <f>CFS!BO61</f>
        <v>2.249379842863457</v>
      </c>
      <c r="BP78" s="1714"/>
      <c r="BQ78" s="1718">
        <f>CFS!BQ61</f>
        <v>1.2162544673318214</v>
      </c>
      <c r="BR78" s="1718">
        <f>CFS!BR61</f>
        <v>0.56760581793490095</v>
      </c>
      <c r="BS78" s="1718">
        <f>CFS!BS61</f>
        <v>1.0290525675888595</v>
      </c>
      <c r="BT78" s="1718">
        <f>CFS!BT61</f>
        <v>1.1649686557488388</v>
      </c>
      <c r="BU78" s="1716">
        <f>CFS!BU61</f>
        <v>3.9777183994633161</v>
      </c>
      <c r="BV78" s="1792"/>
      <c r="BW78" s="1718">
        <f>CFS!BW61</f>
        <v>0.9009515525878472</v>
      </c>
      <c r="BX78" s="1718">
        <f>CFS!BX61</f>
        <v>0.66011101903248715</v>
      </c>
      <c r="BY78" s="1718">
        <f>CFS!BY61</f>
        <v>1.2048399851351459</v>
      </c>
      <c r="BZ78" s="1718">
        <f>CFS!BZ61</f>
        <v>1.2863498797085764</v>
      </c>
      <c r="CA78" s="1716">
        <f>CFS!CA61</f>
        <v>4.0508607805208481</v>
      </c>
      <c r="CB78" s="1792"/>
      <c r="CC78" s="1718">
        <f>CFS!CC61</f>
        <v>1.1256067868199238</v>
      </c>
      <c r="CD78" s="1718">
        <f>CFS!CD61</f>
        <v>0.81703394515732763</v>
      </c>
      <c r="CE78" s="1718">
        <f>CFS!CE61</f>
        <v>1.4748306164514817</v>
      </c>
      <c r="CF78" s="1718">
        <f>CFS!CF61</f>
        <v>1.5177975069321463</v>
      </c>
      <c r="CG78" s="1716">
        <f>CFS!CG61</f>
        <v>4.9346021415923262</v>
      </c>
      <c r="CH78" s="1792"/>
      <c r="CI78" s="1718">
        <f>CFS!CI61</f>
        <v>1.5040026302803862</v>
      </c>
      <c r="CJ78" s="1718">
        <f>CFS!CJ61</f>
        <v>0.81384874161470144</v>
      </c>
      <c r="CK78" s="1718">
        <f>CFS!CK61</f>
        <v>1.5348406224072337</v>
      </c>
      <c r="CL78" s="1718">
        <f>CFS!CL61</f>
        <v>1.499323078316974</v>
      </c>
      <c r="CM78" s="1716">
        <f>CFS!CM61</f>
        <v>5.3521317581704251</v>
      </c>
      <c r="CN78" s="98"/>
      <c r="CO78" s="98"/>
      <c r="CP78" s="98"/>
      <c r="CQ78" s="98"/>
      <c r="CR78"/>
      <c r="CS78"/>
      <c r="CT78"/>
      <c r="CU78"/>
      <c r="CV78"/>
      <c r="CW78"/>
    </row>
    <row r="79" spans="1:101">
      <c r="A79" s="556"/>
      <c r="B79" s="98"/>
      <c r="C79" s="98"/>
      <c r="D79" s="98"/>
      <c r="E79" s="98"/>
      <c r="F79" s="98"/>
      <c r="G79" s="98"/>
      <c r="H79" s="556"/>
      <c r="I79" s="98"/>
      <c r="J79" s="98"/>
      <c r="K79" s="98"/>
      <c r="L79" s="98"/>
      <c r="M79" s="98"/>
      <c r="N79" s="556"/>
      <c r="O79" s="98"/>
      <c r="P79" s="98"/>
      <c r="Q79" s="98"/>
      <c r="R79" s="98"/>
      <c r="S79" s="129"/>
      <c r="T79" s="556"/>
      <c r="U79" s="129"/>
      <c r="V79" s="129"/>
      <c r="W79" s="129"/>
      <c r="X79" s="129"/>
      <c r="Y79" s="128"/>
      <c r="Z79" s="556"/>
      <c r="AA79" s="129"/>
      <c r="AB79" s="129"/>
      <c r="AC79" s="129"/>
      <c r="AD79" s="129"/>
      <c r="AE79" s="128"/>
      <c r="AF79" s="556"/>
      <c r="AG79" s="129"/>
      <c r="AH79" s="129"/>
      <c r="AI79" s="129"/>
      <c r="AJ79" s="129"/>
      <c r="AK79" s="162"/>
      <c r="AL79" s="556"/>
      <c r="AM79" s="129"/>
      <c r="AN79" s="129"/>
      <c r="AO79" s="129"/>
      <c r="AP79" s="129"/>
      <c r="AQ79" s="162"/>
      <c r="AR79" s="556"/>
      <c r="AS79" s="129"/>
      <c r="AT79" s="129"/>
      <c r="AU79" s="129"/>
      <c r="AV79" s="129"/>
      <c r="AW79" s="162"/>
      <c r="AX79" s="556"/>
      <c r="AY79" s="129"/>
      <c r="AZ79" s="129"/>
      <c r="BA79" s="129"/>
      <c r="BB79" s="129"/>
      <c r="BC79" s="162"/>
      <c r="BD79" s="556"/>
      <c r="BE79" s="129"/>
      <c r="BF79" s="129"/>
      <c r="BG79" s="129"/>
      <c r="BH79" s="129"/>
      <c r="BI79" s="162"/>
      <c r="BJ79" s="556"/>
      <c r="BK79" s="129"/>
      <c r="BL79" s="129"/>
      <c r="BM79" s="129"/>
      <c r="BN79" s="129"/>
      <c r="BO79" s="162"/>
      <c r="BP79" s="556"/>
      <c r="BQ79" s="129"/>
      <c r="BR79" s="129"/>
      <c r="BS79" s="129"/>
      <c r="BT79" s="129"/>
      <c r="BU79" s="162"/>
      <c r="BV79" s="162"/>
      <c r="BW79" s="129"/>
      <c r="BX79" s="129"/>
      <c r="BY79" s="129"/>
      <c r="BZ79" s="129"/>
      <c r="CA79" s="162"/>
      <c r="CB79" s="162"/>
      <c r="CC79" s="129"/>
      <c r="CD79" s="129"/>
      <c r="CE79" s="129"/>
      <c r="CF79" s="129"/>
      <c r="CG79" s="162"/>
      <c r="CH79" s="162"/>
      <c r="CI79" s="129"/>
      <c r="CJ79" s="129"/>
      <c r="CK79" s="129"/>
      <c r="CL79" s="129"/>
      <c r="CM79" s="162"/>
      <c r="CN79" s="94"/>
      <c r="CO79" s="94"/>
      <c r="CP79" s="94"/>
      <c r="CQ79" s="94"/>
    </row>
    <row r="80" spans="1:101" ht="12.75" hidden="1" customHeight="1" outlineLevel="1">
      <c r="A80" s="149" t="s">
        <v>276</v>
      </c>
      <c r="B80" s="146"/>
      <c r="C80" s="146"/>
      <c r="D80" s="146"/>
      <c r="E80" s="146"/>
      <c r="F80" s="146"/>
      <c r="G80" s="147"/>
      <c r="H80" s="148"/>
      <c r="I80" s="146"/>
      <c r="J80" s="146"/>
      <c r="K80" s="146"/>
      <c r="L80" s="146"/>
      <c r="M80" s="147"/>
      <c r="N80" s="148"/>
      <c r="O80" s="146"/>
      <c r="P80" s="146"/>
      <c r="Q80" s="146"/>
      <c r="R80" s="146"/>
      <c r="S80" s="155"/>
      <c r="T80" s="148"/>
      <c r="U80" s="151"/>
      <c r="V80" s="151"/>
      <c r="W80" s="151"/>
      <c r="X80" s="151"/>
      <c r="Y80" s="154"/>
      <c r="Z80" s="148"/>
      <c r="AA80" s="151"/>
      <c r="AB80" s="151"/>
      <c r="AC80" s="151"/>
      <c r="AD80" s="151"/>
      <c r="AE80" s="154"/>
      <c r="AF80" s="148"/>
      <c r="AG80" s="151"/>
      <c r="AH80" s="151"/>
      <c r="AI80" s="151"/>
      <c r="AJ80" s="151"/>
      <c r="AK80" s="153"/>
      <c r="AL80" s="148"/>
      <c r="AM80" s="151"/>
      <c r="AN80" s="151"/>
      <c r="AO80" s="151"/>
      <c r="AP80" s="151"/>
      <c r="AQ80" s="153"/>
      <c r="AR80" s="148"/>
      <c r="AS80" s="151"/>
      <c r="AT80" s="151"/>
      <c r="AU80" s="151"/>
      <c r="AV80" s="151"/>
      <c r="AW80" s="153"/>
      <c r="AX80" s="148"/>
      <c r="AY80" s="151"/>
      <c r="AZ80" s="151"/>
      <c r="BA80" s="151"/>
      <c r="BB80" s="151"/>
      <c r="BC80" s="153"/>
      <c r="BD80" s="148"/>
      <c r="BE80" s="151"/>
      <c r="BF80" s="151"/>
      <c r="BG80" s="151"/>
      <c r="BH80" s="151"/>
      <c r="BI80" s="153"/>
      <c r="BJ80" s="148"/>
      <c r="BK80" s="151"/>
      <c r="BL80" s="151"/>
      <c r="BM80" s="151"/>
      <c r="BN80" s="151"/>
      <c r="BO80" s="153"/>
      <c r="BP80" s="148"/>
      <c r="BQ80" s="151"/>
      <c r="BR80" s="151"/>
      <c r="BS80" s="151"/>
      <c r="BT80" s="151"/>
      <c r="BU80" s="153"/>
      <c r="BV80" s="1789"/>
      <c r="BW80" s="151"/>
      <c r="BX80" s="151"/>
      <c r="BY80" s="151"/>
      <c r="BZ80" s="151"/>
      <c r="CA80" s="153"/>
      <c r="CB80" s="1789"/>
      <c r="CC80" s="151"/>
      <c r="CD80" s="151"/>
      <c r="CE80" s="151"/>
      <c r="CF80" s="151"/>
      <c r="CG80" s="153"/>
      <c r="CH80" s="1789"/>
      <c r="CI80" s="151"/>
      <c r="CJ80" s="151"/>
      <c r="CK80" s="151"/>
      <c r="CL80" s="151"/>
      <c r="CM80" s="153"/>
      <c r="CN80" s="94"/>
      <c r="CO80" s="94"/>
      <c r="CP80" s="94"/>
      <c r="CQ80" s="94"/>
    </row>
    <row r="81" spans="1:95" ht="12.75" hidden="1" customHeight="1" outlineLevel="1">
      <c r="A81" s="194" t="s">
        <v>428</v>
      </c>
      <c r="B81" s="173"/>
      <c r="C81" s="173">
        <f>C13/(IS!C11*4)</f>
        <v>5.1115661454455202E-2</v>
      </c>
      <c r="D81" s="173">
        <f>D13/(IS!D11*4)</f>
        <v>4.9245923757689408E-2</v>
      </c>
      <c r="E81" s="173">
        <f>E13/(IS!E11*4)</f>
        <v>5.5076342536059572E-2</v>
      </c>
      <c r="F81" s="173">
        <f>F13/(IS!F11*4)</f>
        <v>5.103027907508919E-2</v>
      </c>
      <c r="G81" s="172">
        <f>G13/IS!G11</f>
        <v>5.5859401908169015E-2</v>
      </c>
      <c r="H81" s="187"/>
      <c r="I81" s="173">
        <f>I13/(IS!I11*4)</f>
        <v>6.1751177188698991E-2</v>
      </c>
      <c r="J81" s="173">
        <f>J13/(IS!J11*4)</f>
        <v>5.7569831572485221E-2</v>
      </c>
      <c r="K81" s="173">
        <f>K13/(IS!K11*4)</f>
        <v>5.8214464007085159E-2</v>
      </c>
      <c r="L81" s="173">
        <f>L13/(IS!L11*4)</f>
        <v>5.5679476663932623E-2</v>
      </c>
      <c r="M81" s="172">
        <f>M13/IS!M11</f>
        <v>5.7318583824760516E-2</v>
      </c>
      <c r="N81" s="187"/>
      <c r="O81" s="173">
        <f>O13/(IS!O11*4)</f>
        <v>6.1941437228402618E-2</v>
      </c>
      <c r="P81" s="173">
        <f>P13/(IS!P11*4)</f>
        <v>6.1290414584616794E-2</v>
      </c>
      <c r="Q81" s="173">
        <f>Q13/(IS!Q11*4)</f>
        <v>7.3261571839293868E-2</v>
      </c>
      <c r="R81" s="173">
        <f>R13/(IS!R11*4)</f>
        <v>9.0683409756146319E-2</v>
      </c>
      <c r="S81" s="526">
        <f>S13/IS!S11</f>
        <v>7.0242705862780072E-2</v>
      </c>
      <c r="T81" s="187"/>
      <c r="U81" s="173">
        <f>U13/(IS!U11*4)</f>
        <v>7.1036786748640821E-2</v>
      </c>
      <c r="V81" s="173">
        <f>V13/(IS!V11*4)</f>
        <v>6.4259296577721406E-2</v>
      </c>
      <c r="W81" s="173">
        <f>W13/(IS!W11*4)</f>
        <v>5.3777499552852791E-2</v>
      </c>
      <c r="X81" s="173">
        <f>X13/(IS!X11*4)</f>
        <v>5.3517136539524612E-2</v>
      </c>
      <c r="Y81" s="526">
        <f>Y13/IS!Y11</f>
        <v>5.9050015248551392E-2</v>
      </c>
      <c r="Z81" s="187"/>
      <c r="AA81" s="173">
        <f>AA13/(IS!AA11*4)</f>
        <v>5.2410650904718442E-2</v>
      </c>
      <c r="AB81" s="173">
        <f>AB13/(IS!AB11*4)</f>
        <v>3.6181251468220543E-2</v>
      </c>
      <c r="AC81" s="173">
        <f>AC13/(IS!AC11*4)</f>
        <v>4.6666479926050719E-2</v>
      </c>
      <c r="AD81" s="173">
        <f>AD13/(IS!AD11*4)</f>
        <v>3.1155605147176978E-2</v>
      </c>
      <c r="AE81" s="526">
        <f>AE13/IS!AE11</f>
        <v>3.34991392619347E-2</v>
      </c>
      <c r="AF81" s="187"/>
      <c r="AG81" s="173">
        <f>AG13/(IS!AG11*4)</f>
        <v>4.9955253854643639E-2</v>
      </c>
      <c r="AH81" s="173">
        <f>AH13/(IS!AH11*4)</f>
        <v>4.3350154907534577E-2</v>
      </c>
      <c r="AI81" s="173">
        <f>AI13/(IS!AI11*4)</f>
        <v>5.5175772714294316E-2</v>
      </c>
      <c r="AJ81" s="173">
        <f>AJ13/(IS!AJ11*4)</f>
        <v>4.142612526581594E-2</v>
      </c>
      <c r="AK81" s="526">
        <f>AK13/IS!AK11</f>
        <v>4.4647701981924436E-2</v>
      </c>
      <c r="AL81" s="187"/>
      <c r="AM81" s="173">
        <f>AM13/(IS!AM11*4)</f>
        <v>4.9416037531292499E-2</v>
      </c>
      <c r="AN81" s="173">
        <f>AN13/(IS!AN11*4)</f>
        <v>4.5809059051705125E-2</v>
      </c>
      <c r="AO81" s="173">
        <f>AO13/(IS!AO11*4)</f>
        <v>5.2218007349739609E-2</v>
      </c>
      <c r="AP81" s="173">
        <f>AP13/(IS!AP11*4)</f>
        <v>5.9144572816694406E-2</v>
      </c>
      <c r="AQ81" s="526">
        <f>AQ13/IS!AQ11</f>
        <v>6.4797246205210546E-2</v>
      </c>
      <c r="AR81" s="187"/>
      <c r="AS81" s="173">
        <f>AS13/(IS!AS11*4)</f>
        <v>7.1164642704422285E-2</v>
      </c>
      <c r="AT81" s="173">
        <f>AT13/(IS!AT11*4)</f>
        <v>6.8144300219567161E-2</v>
      </c>
      <c r="AU81" s="173">
        <f>AU13/(IS!AU11*4)</f>
        <v>7.431837764986296E-2</v>
      </c>
      <c r="AV81" s="173">
        <f>AV13/(IS!AV11*4)</f>
        <v>5.6566189275566205E-2</v>
      </c>
      <c r="AW81" s="526">
        <f>AW13/IS!AW11</f>
        <v>6.147223697994264E-2</v>
      </c>
      <c r="AX81" s="187"/>
      <c r="AY81" s="173">
        <f>AY13/(IS!AY11*4)</f>
        <v>7.5923490747545466E-2</v>
      </c>
      <c r="AZ81" s="173">
        <f>AZ13/(IS!AZ11*4)</f>
        <v>7.0274215311068519E-2</v>
      </c>
      <c r="BA81" s="173">
        <f>BA13/(IS!BA11*4)</f>
        <v>7.2065238275505872E-2</v>
      </c>
      <c r="BB81" s="173">
        <f>BB13/(IS!BB11*4)</f>
        <v>2.9902363210261164E-2</v>
      </c>
      <c r="BC81" s="526">
        <f>BC13/IS!BC11</f>
        <v>3.2382861105042703E-2</v>
      </c>
      <c r="BD81" s="187"/>
      <c r="BE81" s="173">
        <f>BE13/(IS!BE11*4)</f>
        <v>4.429726751386516E-2</v>
      </c>
      <c r="BF81" s="173">
        <f>BF13/(IS!BF11*4)</f>
        <v>4.4172641484812217E-2</v>
      </c>
      <c r="BG81" s="173">
        <f>BG13/(IS!BG11*4)</f>
        <v>4.4974400823836871E-2</v>
      </c>
      <c r="BH81" s="173">
        <f>BH13/(IS!BH11*4)</f>
        <v>4.3762809681208707E-2</v>
      </c>
      <c r="BI81" s="526">
        <f>BI13/IS!BI11</f>
        <v>4.6897593264997907E-2</v>
      </c>
      <c r="BJ81" s="187"/>
      <c r="BK81" s="173">
        <f>BK13/(IS!BK11*4)</f>
        <v>4.7052304102663825E-2</v>
      </c>
      <c r="BL81" s="173">
        <f>BL13/(IS!BL11*4)</f>
        <v>4.6614901269857512E-2</v>
      </c>
      <c r="BM81" s="173">
        <f>BM13/(IS!BM11*4)</f>
        <v>4.5245373877285999E-2</v>
      </c>
      <c r="BN81" s="173">
        <f>BN13/(IS!BN11*4)</f>
        <v>3.6553140371350802E-2</v>
      </c>
      <c r="BO81" s="526">
        <f>BO13/IS!BO11</f>
        <v>4.1564812751940336E-2</v>
      </c>
      <c r="BP81" s="187"/>
      <c r="BQ81" s="2366">
        <f t="shared" ref="BQ81" si="63">BK81</f>
        <v>4.7052304102663825E-2</v>
      </c>
      <c r="BR81" s="1815">
        <f t="shared" ref="BR81" si="64">BL81</f>
        <v>4.6614901269857512E-2</v>
      </c>
      <c r="BS81" s="1815">
        <f t="shared" ref="BS81" si="65">BM81</f>
        <v>4.5245373877285999E-2</v>
      </c>
      <c r="BT81" s="1815">
        <f t="shared" ref="BT81" si="66">BN81</f>
        <v>3.6553140371350802E-2</v>
      </c>
      <c r="BU81" s="526">
        <f>BU13/IS!BU11</f>
        <v>4.0602925751484886E-2</v>
      </c>
      <c r="BV81" s="35"/>
      <c r="BW81" s="1887">
        <f t="shared" ref="BW81" si="67">BQ81</f>
        <v>4.7052304102663825E-2</v>
      </c>
      <c r="BX81" s="1815">
        <f t="shared" ref="BX81" si="68">BR81</f>
        <v>4.6614901269857512E-2</v>
      </c>
      <c r="BY81" s="1815">
        <f t="shared" ref="BY81" si="69">BS81</f>
        <v>4.5245373877285999E-2</v>
      </c>
      <c r="BZ81" s="1832">
        <f t="shared" ref="BZ81" si="70">BT81</f>
        <v>3.6553140371350802E-2</v>
      </c>
      <c r="CA81" s="526">
        <f>CA13/IS!CA11</f>
        <v>4.0785110327820222E-2</v>
      </c>
      <c r="CB81" s="35"/>
      <c r="CC81" s="1887">
        <f t="shared" ref="CC81" si="71">BW81</f>
        <v>4.7052304102663825E-2</v>
      </c>
      <c r="CD81" s="1815">
        <f t="shared" ref="CD81" si="72">BX81</f>
        <v>4.6614901269857512E-2</v>
      </c>
      <c r="CE81" s="1815">
        <f t="shared" ref="CE81" si="73">BY81</f>
        <v>4.5245373877285999E-2</v>
      </c>
      <c r="CF81" s="1832">
        <f t="shared" ref="CF81" si="74">BZ81</f>
        <v>3.6553140371350802E-2</v>
      </c>
      <c r="CG81" s="526">
        <f>CG13/IS!CG11</f>
        <v>4.0619783810269483E-2</v>
      </c>
      <c r="CH81" s="35"/>
      <c r="CI81" s="1887">
        <f t="shared" ref="CI81" si="75">CC81</f>
        <v>4.7052304102663825E-2</v>
      </c>
      <c r="CJ81" s="1815">
        <f t="shared" ref="CJ81" si="76">CD81</f>
        <v>4.6614901269857512E-2</v>
      </c>
      <c r="CK81" s="1815">
        <f t="shared" ref="CK81" si="77">CE81</f>
        <v>4.5245373877285999E-2</v>
      </c>
      <c r="CL81" s="1832">
        <f t="shared" ref="CL81" si="78">CF81</f>
        <v>3.6553140371350802E-2</v>
      </c>
      <c r="CM81" s="526">
        <f>CM13/IS!CM11</f>
        <v>4.0668084918771566E-2</v>
      </c>
      <c r="CN81" s="94"/>
      <c r="CO81" s="94"/>
      <c r="CP81" s="94"/>
      <c r="CQ81" s="94"/>
    </row>
    <row r="82" spans="1:95" ht="12.75" hidden="1" customHeight="1" outlineLevel="1">
      <c r="A82" s="542" t="s">
        <v>4</v>
      </c>
      <c r="B82" s="484"/>
      <c r="C82" s="484">
        <f>C27/(IS!C12*4)</f>
        <v>0.28408425980105323</v>
      </c>
      <c r="D82" s="484">
        <f>D27/(IS!D12*4)</f>
        <v>0.28793124512299895</v>
      </c>
      <c r="E82" s="484">
        <f>E27/(IS!E12*4)</f>
        <v>0.28427661789510217</v>
      </c>
      <c r="F82" s="484">
        <f>F27/(IS!F12*4)</f>
        <v>0.32633895234015775</v>
      </c>
      <c r="G82" s="553">
        <f>G27/IS!G12</f>
        <v>0.34453288831260309</v>
      </c>
      <c r="H82" s="554"/>
      <c r="I82" s="484">
        <f>I27/(IS!I12*4)</f>
        <v>0.34725818482892212</v>
      </c>
      <c r="J82" s="484">
        <f>J27/(IS!J12*4)</f>
        <v>0.32303712611712998</v>
      </c>
      <c r="K82" s="484">
        <f>K27/(IS!K12*4)</f>
        <v>0.30158051546313402</v>
      </c>
      <c r="L82" s="484">
        <f>L27/(IS!L12*4)</f>
        <v>0.29745566848181543</v>
      </c>
      <c r="M82" s="553">
        <f>M27/IS!M12</f>
        <v>0.30241943015536799</v>
      </c>
      <c r="N82" s="554"/>
      <c r="O82" s="484">
        <f>O27/(IS!O12*4)</f>
        <v>0.31374279227862978</v>
      </c>
      <c r="P82" s="484">
        <f>P27/(IS!P12*4)</f>
        <v>0.32931718985543956</v>
      </c>
      <c r="Q82" s="484">
        <f>Q27/(IS!Q12*4)</f>
        <v>0.40153891862766322</v>
      </c>
      <c r="R82" s="484">
        <f>R27/(IS!R12*4)</f>
        <v>0.5400737845636846</v>
      </c>
      <c r="S82" s="553">
        <f>S27/IS!S12</f>
        <v>0.36342363866070848</v>
      </c>
      <c r="T82" s="554"/>
      <c r="U82" s="484">
        <f>U27/(IS!U12*4)</f>
        <v>0.37257144091306138</v>
      </c>
      <c r="V82" s="484">
        <f>V27/(IS!V12*4)</f>
        <v>0.35376078470262617</v>
      </c>
      <c r="W82" s="484">
        <f>W27/(IS!W12*4)</f>
        <v>0.33995374411677359</v>
      </c>
      <c r="X82" s="484">
        <f>X27/(IS!X12*4)</f>
        <v>0.32550139455398469</v>
      </c>
      <c r="Y82" s="553">
        <f>Y27/IS!Y12</f>
        <v>0.35871349159287819</v>
      </c>
      <c r="Z82" s="554"/>
      <c r="AA82" s="484">
        <f>AA27/(IS!AA12*4)</f>
        <v>0.36221823107069012</v>
      </c>
      <c r="AB82" s="484">
        <f>AB27/(IS!AB12*4)</f>
        <v>0.38170875006831717</v>
      </c>
      <c r="AC82" s="484">
        <f>AC27/(IS!AC12*4)</f>
        <v>0.36782235244033751</v>
      </c>
      <c r="AD82" s="484">
        <f>AD27/(IS!AD12*4)</f>
        <v>0.37040377310939493</v>
      </c>
      <c r="AE82" s="553">
        <f>AE27/IS!AE12</f>
        <v>0.40784236773462096</v>
      </c>
      <c r="AF82" s="554"/>
      <c r="AG82" s="484">
        <f>AG27/(IS!AG12*4)</f>
        <v>0.40702437242917006</v>
      </c>
      <c r="AH82" s="484">
        <f>AH27/(IS!AH12*4)</f>
        <v>0.36819763821554063</v>
      </c>
      <c r="AI82" s="484">
        <f>AI27/(IS!AI12*4)</f>
        <v>0.37834474233930965</v>
      </c>
      <c r="AJ82" s="484">
        <f>AJ27/(IS!AJ12*4)</f>
        <v>0.32856939631959198</v>
      </c>
      <c r="AK82" s="553">
        <f>AK27/IS!AK12</f>
        <v>0.35555364147750129</v>
      </c>
      <c r="AL82" s="554"/>
      <c r="AM82" s="484">
        <f>AM27/(IS!AM12*4)</f>
        <v>0.35064978764132315</v>
      </c>
      <c r="AN82" s="484">
        <f>AN27/(IS!AN12*4)</f>
        <v>0.31231713278167661</v>
      </c>
      <c r="AO82" s="484">
        <f>AO27/(IS!AO12*4)</f>
        <v>0.36059708992397094</v>
      </c>
      <c r="AP82" s="484">
        <f>AP27/(IS!AP12*4)</f>
        <v>0.33360413735708483</v>
      </c>
      <c r="AQ82" s="553">
        <f>AQ27/IS!AQ12</f>
        <v>0.35716280862287808</v>
      </c>
      <c r="AR82" s="554"/>
      <c r="AS82" s="484">
        <f>AS27/(IS!AS12*4)</f>
        <v>0.36583771256861197</v>
      </c>
      <c r="AT82" s="484">
        <f>AT27/(IS!AT12*4)</f>
        <v>0.34158972937900461</v>
      </c>
      <c r="AU82" s="484">
        <f>AU27/(IS!AU12*4)</f>
        <v>0.33295557728574415</v>
      </c>
      <c r="AV82" s="484">
        <f>AV27/(IS!AV12*4)</f>
        <v>0.32764336699022817</v>
      </c>
      <c r="AW82" s="553">
        <f>AW27/IS!AW12</f>
        <v>0.34388337585433076</v>
      </c>
      <c r="AX82" s="554"/>
      <c r="AY82" s="484">
        <f>AY27/(IS!AY12*4)</f>
        <v>0.37792739811811549</v>
      </c>
      <c r="AZ82" s="484">
        <f>AZ27/(IS!AZ12*4)</f>
        <v>0.34866933127135047</v>
      </c>
      <c r="BA82" s="484">
        <f>BA27/(IS!BA12*4)</f>
        <v>0.35404896079280251</v>
      </c>
      <c r="BB82" s="484">
        <f>BB27/(IS!BB12*4)</f>
        <v>0.33466874819072823</v>
      </c>
      <c r="BC82" s="553">
        <f>BC27/IS!BC12</f>
        <v>0.35649676033846661</v>
      </c>
      <c r="BD82" s="554"/>
      <c r="BE82" s="484">
        <f>BE27/(IS!BE12*4)</f>
        <v>0.3740303074342769</v>
      </c>
      <c r="BF82" s="484">
        <f>BF27/(IS!BF12*4)</f>
        <v>0.35542691329041481</v>
      </c>
      <c r="BG82" s="484">
        <f>BG27/(IS!BG12*4)</f>
        <v>0.36028710443496226</v>
      </c>
      <c r="BH82" s="484">
        <f>BH27/(IS!BH12*4)</f>
        <v>0.35289983542524567</v>
      </c>
      <c r="BI82" s="553">
        <f>BI27/IS!BI12</f>
        <v>0.37319285770306659</v>
      </c>
      <c r="BJ82" s="554"/>
      <c r="BK82" s="484">
        <f>BK27/(IS!BK12*4)</f>
        <v>0.37493685297865442</v>
      </c>
      <c r="BL82" s="484">
        <f>BL27/(IS!BL12*4)</f>
        <v>0.37313511354274037</v>
      </c>
      <c r="BM82" s="484">
        <f>BM27/(IS!BM12*4)</f>
        <v>0.3774550660492253</v>
      </c>
      <c r="BN82" s="484">
        <f>BN27/(IS!BN12*4)</f>
        <v>0.38579892053178144</v>
      </c>
      <c r="BO82" s="553">
        <f>BO27/IS!BO12</f>
        <v>0.43594550702931456</v>
      </c>
      <c r="BP82" s="554"/>
      <c r="BQ82" s="2367">
        <f>BK82-3%</f>
        <v>0.3449368529786544</v>
      </c>
      <c r="BR82" s="1816">
        <f t="shared" ref="BR82:BT82" si="79">BL82-3%</f>
        <v>0.3431351135427404</v>
      </c>
      <c r="BS82" s="1816">
        <f t="shared" si="79"/>
        <v>0.34745506604922527</v>
      </c>
      <c r="BT82" s="1816">
        <f t="shared" si="79"/>
        <v>0.35579892053178142</v>
      </c>
      <c r="BU82" s="553">
        <f>BU27/IS!BU12</f>
        <v>0.39082561033479835</v>
      </c>
      <c r="BV82" s="173"/>
      <c r="BW82" s="1888">
        <f>BQ82-3%</f>
        <v>0.31493685297865437</v>
      </c>
      <c r="BX82" s="1816">
        <f t="shared" ref="BX82" si="80">BR82-3%</f>
        <v>0.31313511354274037</v>
      </c>
      <c r="BY82" s="1816">
        <f t="shared" ref="BY82" si="81">BS82-3%</f>
        <v>0.31745506604922524</v>
      </c>
      <c r="BZ82" s="1816">
        <f t="shared" ref="BZ82" si="82">BT82-3%</f>
        <v>0.32579892053178139</v>
      </c>
      <c r="CA82" s="553">
        <f>CA27/IS!CA12</f>
        <v>0.35945833713076181</v>
      </c>
      <c r="CB82" s="173"/>
      <c r="CC82" s="1888">
        <f>BW82-3%</f>
        <v>0.28493685297865434</v>
      </c>
      <c r="CD82" s="1816">
        <f t="shared" ref="CD82" si="83">BX82-3%</f>
        <v>0.28313511354274035</v>
      </c>
      <c r="CE82" s="1816">
        <f t="shared" ref="CE82" si="84">BY82-3%</f>
        <v>0.28745506604922522</v>
      </c>
      <c r="CF82" s="1816">
        <f t="shared" ref="CF82" si="85">BZ82-3%</f>
        <v>0.29579892053178136</v>
      </c>
      <c r="CG82" s="553">
        <f>CG27/IS!CG12</f>
        <v>0.3249916425331057</v>
      </c>
      <c r="CH82" s="173"/>
      <c r="CI82" s="1888">
        <f>CC82-3%</f>
        <v>0.25493685297865432</v>
      </c>
      <c r="CJ82" s="1816">
        <f t="shared" ref="CJ82" si="86">CD82-3%</f>
        <v>0.25313511354274032</v>
      </c>
      <c r="CK82" s="1816">
        <f t="shared" ref="CK82" si="87">CE82-3%</f>
        <v>0.25745506604922519</v>
      </c>
      <c r="CL82" s="1816">
        <f t="shared" ref="CL82" si="88">CF82-3%</f>
        <v>0.26579892053178134</v>
      </c>
      <c r="CM82" s="553">
        <f>CM27/IS!CM12</f>
        <v>0.29235084656143179</v>
      </c>
      <c r="CN82" s="94"/>
      <c r="CO82" s="94"/>
      <c r="CP82" s="94"/>
      <c r="CQ82" s="94"/>
    </row>
    <row r="83" spans="1:95" ht="12.75" hidden="1" customHeight="1" outlineLevel="1">
      <c r="A83" s="555"/>
      <c r="B83" s="98"/>
      <c r="C83" s="98"/>
      <c r="D83" s="98"/>
      <c r="E83" s="98"/>
      <c r="F83" s="98"/>
      <c r="G83" s="98"/>
      <c r="H83" s="555"/>
      <c r="I83" s="98"/>
      <c r="J83" s="98"/>
      <c r="K83" s="98"/>
      <c r="L83" s="98"/>
      <c r="M83" s="98"/>
      <c r="N83" s="555"/>
      <c r="O83" s="98"/>
      <c r="P83" s="98"/>
      <c r="Q83" s="98"/>
      <c r="R83" s="98"/>
      <c r="S83" s="129"/>
      <c r="T83" s="555"/>
      <c r="U83" s="129"/>
      <c r="V83" s="129"/>
      <c r="W83" s="129"/>
      <c r="X83" s="129"/>
      <c r="Y83" s="128"/>
      <c r="Z83" s="555"/>
      <c r="AA83" s="129"/>
      <c r="AB83" s="129"/>
      <c r="AC83" s="129"/>
      <c r="AD83" s="129"/>
      <c r="AE83" s="128"/>
      <c r="AF83" s="555"/>
      <c r="AG83" s="129"/>
      <c r="AH83" s="129"/>
      <c r="AI83" s="129"/>
      <c r="AJ83" s="129"/>
      <c r="AK83" s="162"/>
      <c r="AL83" s="555"/>
      <c r="AM83" s="129"/>
      <c r="AN83" s="129"/>
      <c r="AO83" s="129"/>
      <c r="AP83" s="129"/>
      <c r="AQ83" s="162"/>
      <c r="AR83" s="555"/>
      <c r="AS83" s="129"/>
      <c r="AT83" s="129"/>
      <c r="AU83" s="129"/>
      <c r="AV83" s="129"/>
      <c r="AW83" s="162"/>
      <c r="AX83" s="555"/>
      <c r="AY83" s="129"/>
      <c r="AZ83" s="129"/>
      <c r="BA83" s="129"/>
      <c r="BB83" s="129"/>
      <c r="BC83" s="162"/>
      <c r="BD83" s="555"/>
      <c r="BE83" s="129"/>
      <c r="BF83" s="129"/>
      <c r="BG83" s="129"/>
      <c r="BH83" s="129"/>
      <c r="BI83" s="162"/>
      <c r="BJ83" s="555"/>
      <c r="BK83" s="129"/>
      <c r="BL83" s="129"/>
      <c r="BM83" s="129"/>
      <c r="BN83" s="129"/>
      <c r="BO83" s="162"/>
      <c r="BP83" s="555"/>
      <c r="BQ83" s="129"/>
      <c r="BR83" s="129"/>
      <c r="BS83" s="129"/>
      <c r="BT83" s="129"/>
      <c r="BU83" s="162"/>
      <c r="BV83" s="162"/>
      <c r="BW83" s="129"/>
      <c r="BX83" s="129"/>
      <c r="BY83" s="129"/>
      <c r="BZ83" s="129"/>
      <c r="CA83" s="162"/>
      <c r="CB83" s="162"/>
      <c r="CC83" s="129"/>
      <c r="CD83" s="129"/>
      <c r="CE83" s="129"/>
      <c r="CF83" s="129"/>
      <c r="CG83" s="162"/>
      <c r="CH83" s="162"/>
      <c r="CI83" s="129"/>
      <c r="CJ83" s="129"/>
      <c r="CK83" s="129"/>
      <c r="CL83" s="129"/>
      <c r="CM83" s="162"/>
      <c r="CN83" s="94"/>
      <c r="CO83" s="94"/>
      <c r="CP83" s="94"/>
      <c r="CQ83" s="94"/>
    </row>
    <row r="84" spans="1:95" ht="12.75" hidden="1" customHeight="1" outlineLevel="1">
      <c r="A84" s="555"/>
      <c r="B84" s="98"/>
      <c r="C84" s="98"/>
      <c r="D84" s="98"/>
      <c r="E84" s="98"/>
      <c r="F84" s="98"/>
      <c r="G84" s="98"/>
      <c r="H84" s="555"/>
      <c r="I84" s="98"/>
      <c r="J84" s="98"/>
      <c r="K84" s="98"/>
      <c r="L84" s="98"/>
      <c r="M84" s="98"/>
      <c r="N84" s="555"/>
      <c r="O84" s="98"/>
      <c r="P84" s="98"/>
      <c r="Q84" s="98"/>
      <c r="R84" s="98"/>
      <c r="S84" s="129"/>
      <c r="T84" s="555"/>
      <c r="U84" s="129"/>
      <c r="V84" s="129"/>
      <c r="W84" s="129"/>
      <c r="X84" s="129"/>
      <c r="Y84" s="128"/>
      <c r="Z84" s="555"/>
      <c r="AA84" s="129"/>
      <c r="AB84" s="129"/>
      <c r="AC84" s="129"/>
      <c r="AD84" s="129"/>
      <c r="AE84" s="128"/>
      <c r="AF84" s="555"/>
      <c r="AG84" s="129"/>
      <c r="AH84" s="129"/>
      <c r="AI84" s="129"/>
      <c r="AJ84" s="129"/>
      <c r="AK84" s="162"/>
      <c r="AL84" s="555"/>
      <c r="AM84" s="129"/>
      <c r="AN84" s="129"/>
      <c r="AO84" s="129"/>
      <c r="AP84" s="129"/>
      <c r="AQ84" s="162"/>
      <c r="AR84" s="555"/>
      <c r="AS84" s="129"/>
      <c r="AT84" s="129"/>
      <c r="AU84" s="129"/>
      <c r="AV84" s="129"/>
      <c r="AW84" s="162"/>
      <c r="AX84" s="555"/>
      <c r="AY84" s="129"/>
      <c r="AZ84" s="129"/>
      <c r="BA84" s="129"/>
      <c r="BB84" s="129"/>
      <c r="BC84" s="162"/>
      <c r="BD84" s="555"/>
      <c r="BE84" s="129"/>
      <c r="BF84" s="129"/>
      <c r="BG84" s="129"/>
      <c r="BH84" s="129"/>
      <c r="BI84" s="162"/>
      <c r="BJ84" s="555"/>
      <c r="BK84" s="129"/>
      <c r="BL84" s="129"/>
      <c r="BM84" s="129"/>
      <c r="BN84" s="129"/>
      <c r="BO84" s="162"/>
      <c r="BP84" s="555"/>
      <c r="BQ84" s="129"/>
      <c r="BR84" s="129"/>
      <c r="BS84" s="129"/>
      <c r="BT84" s="129"/>
      <c r="BU84" s="162"/>
      <c r="BV84" s="162"/>
      <c r="BW84" s="129"/>
      <c r="BX84" s="129"/>
      <c r="BY84" s="129"/>
      <c r="BZ84" s="129"/>
      <c r="CA84" s="162"/>
      <c r="CB84" s="162"/>
      <c r="CC84" s="129"/>
      <c r="CD84" s="129"/>
      <c r="CE84" s="129"/>
      <c r="CF84" s="129"/>
      <c r="CG84" s="162"/>
      <c r="CH84" s="162"/>
      <c r="CI84" s="129"/>
      <c r="CJ84" s="129"/>
      <c r="CK84" s="129"/>
      <c r="CL84" s="129"/>
      <c r="CM84" s="162"/>
      <c r="CN84" s="94"/>
      <c r="CO84" s="94"/>
      <c r="CP84" s="94"/>
      <c r="CQ84" s="94"/>
    </row>
    <row r="85" spans="1:95" hidden="1" outlineLevel="1">
      <c r="A85" s="156" t="s">
        <v>277</v>
      </c>
      <c r="B85" s="146"/>
      <c r="C85" s="146"/>
      <c r="D85" s="146"/>
      <c r="E85" s="146"/>
      <c r="F85" s="146"/>
      <c r="G85" s="147"/>
      <c r="H85" s="150"/>
      <c r="I85" s="146"/>
      <c r="J85" s="146"/>
      <c r="K85" s="146"/>
      <c r="L85" s="146"/>
      <c r="M85" s="147"/>
      <c r="N85" s="150"/>
      <c r="O85" s="146"/>
      <c r="P85" s="146"/>
      <c r="Q85" s="146"/>
      <c r="R85" s="146"/>
      <c r="S85" s="155"/>
      <c r="T85" s="150"/>
      <c r="U85" s="151"/>
      <c r="V85" s="151"/>
      <c r="W85" s="151"/>
      <c r="X85" s="151"/>
      <c r="Y85" s="154"/>
      <c r="Z85" s="150"/>
      <c r="AA85" s="151"/>
      <c r="AB85" s="151"/>
      <c r="AC85" s="151"/>
      <c r="AD85" s="151"/>
      <c r="AE85" s="154"/>
      <c r="AF85" s="150"/>
      <c r="AG85" s="151"/>
      <c r="AH85" s="151"/>
      <c r="AI85" s="151"/>
      <c r="AJ85" s="151"/>
      <c r="AK85" s="153"/>
      <c r="AL85" s="150"/>
      <c r="AM85" s="151"/>
      <c r="AN85" s="151"/>
      <c r="AO85" s="151"/>
      <c r="AP85" s="151"/>
      <c r="AQ85" s="153"/>
      <c r="AR85" s="150"/>
      <c r="AS85" s="151"/>
      <c r="AT85" s="151"/>
      <c r="AU85" s="151"/>
      <c r="AV85" s="151"/>
      <c r="AW85" s="152"/>
      <c r="AX85" s="150"/>
      <c r="AY85" s="151"/>
      <c r="AZ85" s="151"/>
      <c r="BA85" s="151"/>
      <c r="BB85" s="151"/>
      <c r="BC85" s="152"/>
      <c r="BD85" s="150"/>
      <c r="BE85" s="151"/>
      <c r="BF85" s="151"/>
      <c r="BG85" s="151"/>
      <c r="BH85" s="151"/>
      <c r="BI85" s="152"/>
      <c r="BJ85" s="150"/>
      <c r="BK85" s="151"/>
      <c r="BL85" s="151"/>
      <c r="BM85" s="151"/>
      <c r="BN85" s="151"/>
      <c r="BO85" s="152"/>
      <c r="BP85" s="150"/>
      <c r="BQ85" s="151"/>
      <c r="BR85" s="151"/>
      <c r="BS85" s="151"/>
      <c r="BT85" s="151"/>
      <c r="BU85" s="152"/>
      <c r="BV85" s="1789"/>
      <c r="BW85" s="151"/>
      <c r="BX85" s="151"/>
      <c r="BY85" s="151"/>
      <c r="BZ85" s="151"/>
      <c r="CA85" s="152"/>
      <c r="CB85" s="1789"/>
      <c r="CC85" s="151"/>
      <c r="CD85" s="151"/>
      <c r="CE85" s="151"/>
      <c r="CF85" s="151"/>
      <c r="CG85" s="152"/>
      <c r="CH85" s="1789"/>
      <c r="CI85" s="151"/>
      <c r="CJ85" s="151"/>
      <c r="CK85" s="151"/>
      <c r="CL85" s="151"/>
      <c r="CM85" s="152"/>
      <c r="CN85" s="94"/>
      <c r="CO85" s="94"/>
      <c r="CP85" s="94"/>
      <c r="CQ85" s="94"/>
    </row>
    <row r="86" spans="1:95" ht="12.75" hidden="1" customHeight="1" outlineLevel="1">
      <c r="A86" s="194" t="s">
        <v>278</v>
      </c>
      <c r="B86" s="139"/>
      <c r="C86" s="5">
        <v>1577.73</v>
      </c>
      <c r="D86" s="2">
        <f>C92</f>
        <v>1541.8239999999998</v>
      </c>
      <c r="E86" s="2">
        <f>D92</f>
        <v>1496.3059999999998</v>
      </c>
      <c r="F86" s="2">
        <f>E92</f>
        <v>1536.2369999999999</v>
      </c>
      <c r="G86" s="686">
        <f>C86</f>
        <v>1577.73</v>
      </c>
      <c r="H86" s="646"/>
      <c r="I86" s="2">
        <f>G92</f>
        <v>1575.277</v>
      </c>
      <c r="J86" s="2">
        <f>I92</f>
        <v>1617.9190000000001</v>
      </c>
      <c r="K86" s="2">
        <f>J92</f>
        <v>1655.5000000000002</v>
      </c>
      <c r="L86" s="2">
        <f>K92</f>
        <v>1635.0840000000001</v>
      </c>
      <c r="M86" s="30">
        <f>G92</f>
        <v>1575.277</v>
      </c>
      <c r="N86" s="646"/>
      <c r="O86" s="2">
        <f>M92</f>
        <v>1567.9430000000004</v>
      </c>
      <c r="P86" s="2">
        <f>O92</f>
        <v>1512.4010000000007</v>
      </c>
      <c r="Q86" s="2">
        <f>P92</f>
        <v>1574.332000000001</v>
      </c>
      <c r="R86" s="2">
        <f>Q92</f>
        <v>1601.7580000000005</v>
      </c>
      <c r="S86" s="30">
        <f>M92</f>
        <v>1567.9430000000004</v>
      </c>
      <c r="T86" s="646"/>
      <c r="U86" s="2">
        <f>S92</f>
        <v>1628.9570000000006</v>
      </c>
      <c r="V86" s="2">
        <f>U92</f>
        <v>1631.4040000000007</v>
      </c>
      <c r="W86" s="2">
        <f>V92</f>
        <v>1643.6920000000009</v>
      </c>
      <c r="X86" s="2">
        <f>W92</f>
        <v>1707.0350000000005</v>
      </c>
      <c r="Y86" s="30">
        <f>S92</f>
        <v>1628.9570000000006</v>
      </c>
      <c r="Z86" s="646"/>
      <c r="AA86" s="2">
        <f>Y92</f>
        <v>1925.8180000000004</v>
      </c>
      <c r="AB86" s="2">
        <f>AA92</f>
        <v>1907.9320000000005</v>
      </c>
      <c r="AC86" s="2">
        <f>AB92</f>
        <v>1956.4610000000002</v>
      </c>
      <c r="AD86" s="2">
        <f>AC92</f>
        <v>1945.1400000000003</v>
      </c>
      <c r="AE86" s="30">
        <f>Y92</f>
        <v>1925.8180000000004</v>
      </c>
      <c r="AF86" s="646"/>
      <c r="AG86" s="2">
        <f>AE92</f>
        <v>1842.2160000000008</v>
      </c>
      <c r="AH86" s="2">
        <f>AG92</f>
        <v>1882.5830000000005</v>
      </c>
      <c r="AI86" s="2">
        <f>AH92</f>
        <v>1885.3300000000004</v>
      </c>
      <c r="AJ86" s="2">
        <f>AI92</f>
        <v>1942.4400000000005</v>
      </c>
      <c r="AK86" s="30">
        <f>AE92</f>
        <v>1842.2160000000008</v>
      </c>
      <c r="AL86" s="646"/>
      <c r="AM86" s="2">
        <f>AK92</f>
        <v>1939.8120000000004</v>
      </c>
      <c r="AN86" s="2">
        <f>AM92</f>
        <v>1834.423</v>
      </c>
      <c r="AO86" s="2">
        <f>AN92</f>
        <v>1859.8520000000001</v>
      </c>
      <c r="AP86" s="2">
        <f>AO92</f>
        <v>1919.5710000000004</v>
      </c>
      <c r="AQ86" s="30">
        <f>AK92</f>
        <v>1939.8120000000004</v>
      </c>
      <c r="AR86" s="646"/>
      <c r="AS86" s="2">
        <f>AQ92</f>
        <v>1994.4869999999999</v>
      </c>
      <c r="AT86" s="2">
        <f>AS92</f>
        <v>2029.4359999999999</v>
      </c>
      <c r="AU86" s="2">
        <f>AT92</f>
        <v>2055.991</v>
      </c>
      <c r="AV86" s="2">
        <f>AU92</f>
        <v>2062.7539999999999</v>
      </c>
      <c r="AW86" s="30">
        <f>AQ92</f>
        <v>1994.4869999999999</v>
      </c>
      <c r="AX86" s="646"/>
      <c r="AY86" s="2">
        <f>AW92</f>
        <v>2042.1019999999999</v>
      </c>
      <c r="AZ86" s="2">
        <f>AY92</f>
        <v>2059.8849999999998</v>
      </c>
      <c r="BA86" s="2">
        <f>AZ92</f>
        <v>2120.904</v>
      </c>
      <c r="BB86" s="2">
        <f>BA92</f>
        <v>2054.3240000000001</v>
      </c>
      <c r="BC86" s="30">
        <f>AW92</f>
        <v>2042.1019999999999</v>
      </c>
      <c r="BD86" s="646"/>
      <c r="BE86" s="2">
        <f>BC92</f>
        <v>2110.4409999999998</v>
      </c>
      <c r="BF86" s="2">
        <f>BE92</f>
        <v>2049.4799999999996</v>
      </c>
      <c r="BG86" s="2">
        <f>BF92</f>
        <v>2088.2029999999995</v>
      </c>
      <c r="BH86" s="2">
        <f>BG92</f>
        <v>2135.422</v>
      </c>
      <c r="BI86" s="30">
        <f>BC92</f>
        <v>2110.4409999999998</v>
      </c>
      <c r="BJ86" s="646"/>
      <c r="BK86" s="2">
        <f>BI92</f>
        <v>2153.5699999999993</v>
      </c>
      <c r="BL86" s="2">
        <f>BK92</f>
        <v>2208.9869999999992</v>
      </c>
      <c r="BM86" s="2">
        <f>BL92</f>
        <v>2438.6359999999995</v>
      </c>
      <c r="BN86" s="2">
        <f>BM92</f>
        <v>2536.0289999999995</v>
      </c>
      <c r="BO86" s="30">
        <f>BI92</f>
        <v>2153.5699999999993</v>
      </c>
      <c r="BP86" s="646"/>
      <c r="BQ86" s="2">
        <f>BO92</f>
        <v>2503.1879999999987</v>
      </c>
      <c r="BR86" s="2">
        <f>BQ92</f>
        <v>2553.0572104700509</v>
      </c>
      <c r="BS86" s="2">
        <f>BR92</f>
        <v>2633.0117995033938</v>
      </c>
      <c r="BT86" s="2">
        <f>BS92</f>
        <v>2715.8232300489399</v>
      </c>
      <c r="BU86" s="30">
        <f>BO92</f>
        <v>2503.1879999999987</v>
      </c>
      <c r="BV86" s="2"/>
      <c r="BW86" s="2">
        <f>BU92</f>
        <v>2823.8974180044679</v>
      </c>
      <c r="BX86" s="2">
        <f>BW92</f>
        <v>2867.3303623835777</v>
      </c>
      <c r="BY86" s="2">
        <f>BX92</f>
        <v>2950.048945112826</v>
      </c>
      <c r="BZ86" s="2">
        <f>BY92</f>
        <v>3036.1348741538168</v>
      </c>
      <c r="CA86" s="30">
        <f>BU92</f>
        <v>2823.8974180044679</v>
      </c>
      <c r="CB86" s="2"/>
      <c r="CC86" s="2">
        <f>CA92</f>
        <v>3149.5909187740758</v>
      </c>
      <c r="CD86" s="2">
        <f>CC92</f>
        <v>3207.6139833569928</v>
      </c>
      <c r="CE86" s="2">
        <f>CD92</f>
        <v>3327.1625430206141</v>
      </c>
      <c r="CF86" s="2">
        <f>CE92</f>
        <v>3449.1156457799293</v>
      </c>
      <c r="CG86" s="30">
        <f>CA92</f>
        <v>3149.5909187740758</v>
      </c>
      <c r="CH86" s="2"/>
      <c r="CI86" s="2">
        <f>CG92</f>
        <v>3601.7807931285006</v>
      </c>
      <c r="CJ86" s="2">
        <f>CI92</f>
        <v>3693.2393737885691</v>
      </c>
      <c r="CK86" s="2">
        <f>CJ92</f>
        <v>3845.7451191540313</v>
      </c>
      <c r="CL86" s="2">
        <f>CK92</f>
        <v>3995.2938321511892</v>
      </c>
      <c r="CM86" s="30">
        <f>CG92</f>
        <v>3601.7807931285006</v>
      </c>
      <c r="CN86" s="94"/>
      <c r="CO86" s="94"/>
      <c r="CP86" s="94"/>
      <c r="CQ86" s="94"/>
    </row>
    <row r="87" spans="1:95" ht="12.75" hidden="1" customHeight="1" outlineLevel="1">
      <c r="A87" s="558" t="s">
        <v>279</v>
      </c>
      <c r="B87" s="139"/>
      <c r="C87" s="5">
        <f>(C36+C37)-(123.255+407.345)</f>
        <v>-50.24799999999999</v>
      </c>
      <c r="D87" s="2">
        <f>(D36+D37)-(C36+C37)</f>
        <v>-75.396000000000015</v>
      </c>
      <c r="E87" s="2">
        <f>(E36+E37)-(D36+D37)</f>
        <v>-3.9710000000000036</v>
      </c>
      <c r="F87" s="2">
        <f>(F36+F37)-(E36+E37)</f>
        <v>-25.550000000000011</v>
      </c>
      <c r="G87" s="686">
        <f>(G36+G37)-(123.255+407.345)</f>
        <v>-155.16500000000002</v>
      </c>
      <c r="H87" s="687"/>
      <c r="I87" s="2">
        <f>(I36+I37)-(G36+G37)</f>
        <v>5.3249999999999886</v>
      </c>
      <c r="J87" s="2">
        <f>(J36+J37)-(I36+I37)</f>
        <v>20.878000000000043</v>
      </c>
      <c r="K87" s="2">
        <f>(K36+K37)-(J36+J37)</f>
        <v>-26.735000000000014</v>
      </c>
      <c r="L87" s="2">
        <f>(L36+L37)-(K36+K37)</f>
        <v>-11.242000000000019</v>
      </c>
      <c r="M87" s="30">
        <f>(M36+M37)-(G36+G37)</f>
        <v>-11.774000000000001</v>
      </c>
      <c r="N87" s="687"/>
      <c r="O87" s="2">
        <f>(O36+O37)-(M36+M37)</f>
        <v>-10.067000000000007</v>
      </c>
      <c r="P87" s="2">
        <f>(P36+P37)-(O36+O37)</f>
        <v>6.0930000000000177</v>
      </c>
      <c r="Q87" s="2">
        <f>(Q36+Q37)-(P36+P37)</f>
        <v>1.7039999999999509</v>
      </c>
      <c r="R87" s="2">
        <f>(R36+R37)-(Q36+Q37)</f>
        <v>6.2309999999999945</v>
      </c>
      <c r="S87" s="30">
        <f>(S36+S37)-(M36+M37)</f>
        <v>3.9609999999999559</v>
      </c>
      <c r="T87" s="687"/>
      <c r="U87" s="2">
        <f>(U36+U37)-(S36+S37)</f>
        <v>15.130000000000052</v>
      </c>
      <c r="V87" s="2">
        <f>(V36+V37)-(U36+U37)</f>
        <v>5.0160000000000196</v>
      </c>
      <c r="W87" s="2">
        <f>(W36+W37)-(V36+V37)</f>
        <v>4.9819999999999709</v>
      </c>
      <c r="X87" s="2">
        <f>(X36+X37)-(W36+W37)</f>
        <v>-53.021999999999991</v>
      </c>
      <c r="Y87" s="30">
        <f>(Y36+Y37)-(S36+S37)</f>
        <v>-27.893999999999949</v>
      </c>
      <c r="Z87" s="687"/>
      <c r="AA87" s="2">
        <f>(AA36+AA37)-(Y36+Y37)</f>
        <v>-80.935999999999979</v>
      </c>
      <c r="AB87" s="2">
        <f>(AB36+AB37)-(AA36+AA37)</f>
        <v>11.394999999999982</v>
      </c>
      <c r="AC87" s="2">
        <f>(AC36+AC37)-(AB36+AB37)</f>
        <v>2.9009999999999536</v>
      </c>
      <c r="AD87" s="2">
        <f>(AD36+AD37)-(AC36+AC37)</f>
        <v>4.3590000000000373</v>
      </c>
      <c r="AE87" s="30">
        <f>(AE36+AE37)-(Y36+Y37)</f>
        <v>-62.281000000000006</v>
      </c>
      <c r="AF87" s="687"/>
      <c r="AG87" s="2">
        <f>(AG36+AG37)-(AE36+AE37)</f>
        <v>11.802999999999997</v>
      </c>
      <c r="AH87" s="2">
        <f>(AH36+AH37)-(AG36+AG37)</f>
        <v>7.1309999999999718</v>
      </c>
      <c r="AI87" s="2">
        <f>(AI36+AI37)-(AH36+AH37)</f>
        <v>14.782000000000039</v>
      </c>
      <c r="AJ87" s="2">
        <f>(AJ36+AJ37)-(AI36+AI37)</f>
        <v>13.483000000000004</v>
      </c>
      <c r="AK87" s="30">
        <f>(AK36+AK37)-(AE36+AE37)</f>
        <v>47.199000000000012</v>
      </c>
      <c r="AL87" s="687"/>
      <c r="AM87" s="2">
        <f>(AM36+AM37)-(AK36+AK37)</f>
        <v>-116.59800000000001</v>
      </c>
      <c r="AN87" s="2">
        <f>(AN36+AN37)-(AM36+AM37)</f>
        <v>6.289999999999992</v>
      </c>
      <c r="AO87" s="2">
        <f>(AO36+AO37)-(AN36+AN37)</f>
        <v>10.649000000000029</v>
      </c>
      <c r="AP87" s="2">
        <f>(AP36+AP37)-(AO36+AO37)</f>
        <v>7.5449999999999875</v>
      </c>
      <c r="AQ87" s="30">
        <f>(AQ36+AQ37)-(AK36+AK37)</f>
        <v>-92.114000000000004</v>
      </c>
      <c r="AR87" s="687"/>
      <c r="AS87" s="2">
        <f>(AS36+AS37)-(AQ36+AQ37)</f>
        <v>8.0439999999999827</v>
      </c>
      <c r="AT87" s="2">
        <f>(AT36+AT37)-(AS36+AS37)</f>
        <v>-18.739000000000004</v>
      </c>
      <c r="AU87" s="2">
        <f>(AU36+AU37)-(AT36+AT37)</f>
        <v>5.3500000000000227</v>
      </c>
      <c r="AV87" s="2">
        <f>(AV36+AV37)-(AU36+AU37)</f>
        <v>-20.430000000000007</v>
      </c>
      <c r="AW87" s="30">
        <f>(AW36+AW37)-(AQ36+AQ37)</f>
        <v>-25.775000000000006</v>
      </c>
      <c r="AX87" s="687"/>
      <c r="AY87" s="2">
        <f>(AY36+AY37)-(AW36+AW37)</f>
        <v>9.1059999999999945</v>
      </c>
      <c r="AZ87" s="2">
        <f>(AZ36+AZ37)-(AY36+AY37)</f>
        <v>7.7309999999999945</v>
      </c>
      <c r="BA87" s="2">
        <f>(BA36+BA37)-(AZ36+AZ37)</f>
        <v>-66.897999999999996</v>
      </c>
      <c r="BB87" s="2">
        <f>(BB36+BB37)-(BA36+BA37)</f>
        <v>8.2700000000000102</v>
      </c>
      <c r="BC87" s="30">
        <f>(BC36+BC37)-(AW36+AW37)</f>
        <v>-41.790999999999997</v>
      </c>
      <c r="BD87" s="687"/>
      <c r="BE87" s="2">
        <f>(BE36+BE37)-(BC36+BC37)</f>
        <v>-55.951000000000008</v>
      </c>
      <c r="BF87" s="2">
        <f>(BF36+BF37)-(BE36+BE37)</f>
        <v>13.506</v>
      </c>
      <c r="BG87" s="2">
        <f>(BG36+BG37)-(BF36+BF37)</f>
        <v>6.1989999999999981</v>
      </c>
      <c r="BH87" s="2">
        <f>(BH36+BH37)-(BG36+BG37)</f>
        <v>7.0270000000000152</v>
      </c>
      <c r="BI87" s="30">
        <f>(BI36+BI37)-(BC36+BC37)</f>
        <v>-29.218999999999994</v>
      </c>
      <c r="BJ87" s="687"/>
      <c r="BK87" s="2">
        <f>(BK36+BK37)-(BI36+BI37)</f>
        <v>5.2599999999999909</v>
      </c>
      <c r="BL87" s="2">
        <f>(BL36+BL37)-(BK36+BK37)</f>
        <v>15.069999999999993</v>
      </c>
      <c r="BM87" s="2">
        <f>(BM36+BM37)-(BL36+BL37)</f>
        <v>4.1659999999999968</v>
      </c>
      <c r="BN87" s="2">
        <f>(BN36+BN37)-(BM36+BM37)</f>
        <v>8.9460000000000264</v>
      </c>
      <c r="BO87" s="30">
        <f>(BO36+BO37)-(BI36+BI37)</f>
        <v>33.442000000000007</v>
      </c>
      <c r="BP87" s="687"/>
      <c r="BQ87" s="2">
        <f>(BQ36+BQ37)-(BO36+BO37)</f>
        <v>7.188703639248871</v>
      </c>
      <c r="BR87" s="2">
        <f>(BR36+BR37)-(BQ36+BQ37)</f>
        <v>8.4353214986152807</v>
      </c>
      <c r="BS87" s="2">
        <f>(BS36+BS37)-(BR36+BR37)</f>
        <v>4.8742684239294647</v>
      </c>
      <c r="BT87" s="2">
        <f>(BT36+BT37)-(BS36+BS37)</f>
        <v>2.4034913147096688</v>
      </c>
      <c r="BU87" s="30">
        <f>(BU36+BU37)-(BO36+BO37)</f>
        <v>22.901784876503285</v>
      </c>
      <c r="BV87" s="2"/>
      <c r="BW87" s="2">
        <f>(BW36+BW37)-(BU36+BU37)</f>
        <v>-13.533437098660357</v>
      </c>
      <c r="BX87" s="2">
        <f>(BX36+BX37)-(BW36+BW37)</f>
        <v>-5.259496108362157</v>
      </c>
      <c r="BY87" s="2">
        <f>(BY36+BY37)-(BX36+BX37)</f>
        <v>-8.9280225593411728</v>
      </c>
      <c r="BZ87" s="2">
        <f>(BZ36+BZ37)-(BY36+BY37)</f>
        <v>-11.448075911676881</v>
      </c>
      <c r="CA87" s="30">
        <f>(CA36+CA37)-(BU36+BU37)</f>
        <v>-39.169031678040568</v>
      </c>
      <c r="CB87" s="2"/>
      <c r="CC87" s="2">
        <f>(CC36+CC37)-(CA36+CA37)</f>
        <v>-12.414085011348618</v>
      </c>
      <c r="CD87" s="2">
        <f>(CD36+CD37)-(CC36+CC37)</f>
        <v>6.1786806930410876</v>
      </c>
      <c r="CE87" s="2">
        <f>(CE36+CE37)-(CD36+CD37)</f>
        <v>0.25291166821861566</v>
      </c>
      <c r="CF87" s="2">
        <f>(CF36+CF37)-(CE36+CE37)</f>
        <v>-3.955224479970127</v>
      </c>
      <c r="CG87" s="30">
        <f>(CG36+CG37)-(CA36+CA37)</f>
        <v>-9.9377171300590419</v>
      </c>
      <c r="CH87" s="2"/>
      <c r="CI87" s="2">
        <f>(CI36+CI37)-(CG36+CG37)</f>
        <v>-5.5235977203214475</v>
      </c>
      <c r="CJ87" s="2">
        <f>(CJ36+CJ37)-(CI36+CI37)</f>
        <v>32.027388551206343</v>
      </c>
      <c r="CK87" s="2">
        <f>(CK36+CK37)-(CJ36+CJ37)</f>
        <v>20.895496246090005</v>
      </c>
      <c r="CL87" s="2">
        <f>(CL36+CL37)-(CK36+CK37)</f>
        <v>12.777069214926115</v>
      </c>
      <c r="CM87" s="30">
        <f>(CM36+CM37)-(CG36+CG37)</f>
        <v>60.176356291901016</v>
      </c>
      <c r="CN87" s="94"/>
      <c r="CO87" s="94"/>
      <c r="CP87" s="94"/>
      <c r="CQ87" s="94"/>
    </row>
    <row r="88" spans="1:95" ht="12.75" hidden="1" customHeight="1" outlineLevel="1">
      <c r="A88" s="558" t="s">
        <v>205</v>
      </c>
      <c r="B88" s="139"/>
      <c r="C88" s="760">
        <f>IS!C38</f>
        <v>16.41399999999998</v>
      </c>
      <c r="D88" s="760">
        <f>IS!D38</f>
        <v>34.700999999999979</v>
      </c>
      <c r="E88" s="760">
        <f>IS!E38</f>
        <v>32.980000000000025</v>
      </c>
      <c r="F88" s="760">
        <f>IS!F38</f>
        <v>53.831000000000039</v>
      </c>
      <c r="G88" s="761">
        <f>IS!G38</f>
        <v>137.92599999999996</v>
      </c>
      <c r="H88" s="762"/>
      <c r="I88" s="760">
        <f>IS!I38</f>
        <v>20.487999999999985</v>
      </c>
      <c r="J88" s="760">
        <f>IS!J38</f>
        <v>23.736000000000061</v>
      </c>
      <c r="K88" s="760">
        <f>IS!K38</f>
        <v>52.643999999999998</v>
      </c>
      <c r="L88" s="760">
        <f>IS!L38</f>
        <v>36.47300000000002</v>
      </c>
      <c r="M88" s="761">
        <f>IS!M38</f>
        <v>133.34100000000007</v>
      </c>
      <c r="N88" s="762"/>
      <c r="O88" s="760">
        <f>IS!O38</f>
        <v>11.28500000000002</v>
      </c>
      <c r="P88" s="760">
        <f>IS!P38</f>
        <v>21.632999999999953</v>
      </c>
      <c r="Q88" s="760">
        <f>IS!Q38</f>
        <v>14.386999999999997</v>
      </c>
      <c r="R88" s="760">
        <f>IS!R38</f>
        <v>39.107999999999876</v>
      </c>
      <c r="S88" s="761">
        <f>IS!S38</f>
        <v>86.41299999999984</v>
      </c>
      <c r="T88" s="762"/>
      <c r="U88" s="760">
        <f>IS!U38</f>
        <v>23.890999999999998</v>
      </c>
      <c r="V88" s="760">
        <f>IS!V38</f>
        <v>32.209999999999994</v>
      </c>
      <c r="W88" s="760">
        <f>IS!W38</f>
        <v>16.078000000000003</v>
      </c>
      <c r="X88" s="760">
        <f>IS!X38</f>
        <v>295.36200000000014</v>
      </c>
      <c r="Y88" s="761">
        <f>IS!Y38</f>
        <v>367.54100000000017</v>
      </c>
      <c r="Z88" s="762"/>
      <c r="AA88" s="760">
        <f>IS!AA38</f>
        <v>62.89500000000006</v>
      </c>
      <c r="AB88" s="760">
        <f>IS!AB38</f>
        <v>68.643000000000086</v>
      </c>
      <c r="AC88" s="760">
        <f>IS!AC38</f>
        <v>73.58599999999997</v>
      </c>
      <c r="AD88" s="760">
        <f>IS!AD38</f>
        <v>-85.264000000000223</v>
      </c>
      <c r="AE88" s="761">
        <f>IS!AE38</f>
        <v>119.85999999999967</v>
      </c>
      <c r="AF88" s="762"/>
      <c r="AG88" s="760">
        <f>IS!AG38</f>
        <v>22.672000000000072</v>
      </c>
      <c r="AH88" s="760">
        <f>IS!AH38</f>
        <v>33.102000000000032</v>
      </c>
      <c r="AI88" s="760">
        <f>IS!AI38</f>
        <v>29.680000000000014</v>
      </c>
      <c r="AJ88" s="760">
        <f>IS!AJ38</f>
        <v>-15.597999999999914</v>
      </c>
      <c r="AK88" s="761">
        <f>IS!AK38</f>
        <v>69.855999999999625</v>
      </c>
      <c r="AL88" s="762"/>
      <c r="AM88" s="760">
        <f>IS!AM38</f>
        <v>31.994</v>
      </c>
      <c r="AN88" s="760">
        <f>IS!AN38</f>
        <v>27.762000000000068</v>
      </c>
      <c r="AO88" s="760">
        <f>IS!AO38</f>
        <v>40.462870660000064</v>
      </c>
      <c r="AP88" s="760">
        <f>IS!AP38</f>
        <v>64.519000000000091</v>
      </c>
      <c r="AQ88" s="761">
        <f>IS!AQ38</f>
        <v>164.73787065999986</v>
      </c>
      <c r="AR88" s="762"/>
      <c r="AS88" s="760">
        <f>IS!AS38</f>
        <v>33.88804800000031</v>
      </c>
      <c r="AT88" s="760">
        <f>IS!AT38</f>
        <v>49.645607000000012</v>
      </c>
      <c r="AU88" s="760">
        <f>IS!AU38</f>
        <v>42.556346200000078</v>
      </c>
      <c r="AV88" s="760">
        <f>IS!AV38</f>
        <v>29.898246116800209</v>
      </c>
      <c r="AW88" s="761">
        <f>IS!AW38</f>
        <v>155.98824731680077</v>
      </c>
      <c r="AX88" s="762"/>
      <c r="AY88" s="760">
        <f>IS!AY38</f>
        <v>40.589000000000041</v>
      </c>
      <c r="AZ88" s="760">
        <f>IS!AZ38</f>
        <v>43.082000000000008</v>
      </c>
      <c r="BA88" s="760">
        <f>IS!BA38</f>
        <v>48.298560000000023</v>
      </c>
      <c r="BB88" s="760">
        <f>IS!BB38</f>
        <v>64.561060000000069</v>
      </c>
      <c r="BC88" s="761">
        <f>IS!BC38</f>
        <v>196.53061999999986</v>
      </c>
      <c r="BD88" s="762"/>
      <c r="BE88" s="760">
        <f>IS!BE38</f>
        <v>42.773999999999987</v>
      </c>
      <c r="BF88" s="760">
        <f>IS!BF38</f>
        <v>60.659000000000027</v>
      </c>
      <c r="BG88" s="760">
        <f>IS!BG38</f>
        <v>54.617999999999981</v>
      </c>
      <c r="BH88" s="760">
        <f>IS!BH38</f>
        <v>66.616999999999976</v>
      </c>
      <c r="BI88" s="761">
        <f>IS!BI38</f>
        <v>224.66799999999986</v>
      </c>
      <c r="BJ88" s="762"/>
      <c r="BK88" s="760">
        <f>IS!BK38</f>
        <v>38.588999999999935</v>
      </c>
      <c r="BL88" s="760">
        <f>IS!BL38</f>
        <v>204.06800000000007</v>
      </c>
      <c r="BM88" s="760">
        <f>IS!BM38</f>
        <v>91.095909999999975</v>
      </c>
      <c r="BN88" s="760">
        <f>IS!BN38</f>
        <v>-41.209000000000003</v>
      </c>
      <c r="BO88" s="761">
        <f>IS!BO38</f>
        <v>292.54390999999981</v>
      </c>
      <c r="BP88" s="762"/>
      <c r="BQ88" s="760">
        <f>IS!BQ38</f>
        <v>50.385582433852939</v>
      </c>
      <c r="BR88" s="760">
        <f>IS!BR38</f>
        <v>79.225832987974755</v>
      </c>
      <c r="BS88" s="760">
        <f>IS!BS38</f>
        <v>85.642229223056916</v>
      </c>
      <c r="BT88" s="760">
        <f>IS!BT38</f>
        <v>113.37206628402761</v>
      </c>
      <c r="BU88" s="761">
        <f>IS!BU38</f>
        <v>328.62571092891221</v>
      </c>
      <c r="BV88" s="760"/>
      <c r="BW88" s="760">
        <f>IS!BW38</f>
        <v>64.651296073347197</v>
      </c>
      <c r="BX88" s="760">
        <f>IS!BX38</f>
        <v>95.653229963620532</v>
      </c>
      <c r="BY88" s="760">
        <f>IS!BY38</f>
        <v>102.67668920684002</v>
      </c>
      <c r="BZ88" s="760">
        <f>IS!BZ38</f>
        <v>132.55258412493649</v>
      </c>
      <c r="CA88" s="761">
        <f>IS!CA38</f>
        <v>395.5337993687441</v>
      </c>
      <c r="CB88" s="760"/>
      <c r="CC88" s="760">
        <f>IS!CC38</f>
        <v>78.070959079618447</v>
      </c>
      <c r="CD88" s="760">
        <f>IS!CD38</f>
        <v>121.00273885772781</v>
      </c>
      <c r="CE88" s="760">
        <f>IS!CE38</f>
        <v>129.32788854843545</v>
      </c>
      <c r="CF88" s="760">
        <f>IS!CF38</f>
        <v>164.23990050658233</v>
      </c>
      <c r="CG88" s="761">
        <f>IS!CG38</f>
        <v>492.64148699236392</v>
      </c>
      <c r="CH88" s="760"/>
      <c r="CI88" s="760">
        <f>IS!CI38</f>
        <v>104.59272888225127</v>
      </c>
      <c r="CJ88" s="760">
        <f>IS!CJ38</f>
        <v>128.1053057719958</v>
      </c>
      <c r="CK88" s="760">
        <f>IS!CK38</f>
        <v>136.28886660110641</v>
      </c>
      <c r="CL88" s="760">
        <f>IS!CL38</f>
        <v>171.4281143567901</v>
      </c>
      <c r="CM88" s="761">
        <f>IS!CM38</f>
        <v>540.41501561214341</v>
      </c>
      <c r="CN88" s="94"/>
      <c r="CO88" s="94"/>
      <c r="CP88" s="94"/>
      <c r="CQ88" s="94"/>
    </row>
    <row r="89" spans="1:95" ht="12.75" hidden="1" customHeight="1" outlineLevel="1">
      <c r="A89" s="559" t="s">
        <v>280</v>
      </c>
      <c r="B89" s="139"/>
      <c r="C89" s="760">
        <f>-IS!C51</f>
        <v>-8.6300000000000008</v>
      </c>
      <c r="D89" s="760">
        <f>-IS!D51</f>
        <v>-8.4930000000000003</v>
      </c>
      <c r="E89" s="760">
        <f>-IS!E51</f>
        <v>-8.286999999999999</v>
      </c>
      <c r="F89" s="760">
        <f>-IS!F51</f>
        <v>-8.2940000000000005</v>
      </c>
      <c r="G89" s="761">
        <f>-IS!G51</f>
        <v>-33.704000000000001</v>
      </c>
      <c r="H89" s="762"/>
      <c r="I89" s="760">
        <f>-IS!I51</f>
        <v>-8.2360000000000007</v>
      </c>
      <c r="J89" s="760">
        <f>-IS!J51</f>
        <v>-8.2509999999999977</v>
      </c>
      <c r="K89" s="760">
        <f>-IS!K51</f>
        <v>-8.3180000000000014</v>
      </c>
      <c r="L89" s="760">
        <f>-IS!L51</f>
        <v>-8.267000000000003</v>
      </c>
      <c r="M89" s="761">
        <f>-IS!M51</f>
        <v>-33.072000000000003</v>
      </c>
      <c r="N89" s="762"/>
      <c r="O89" s="760">
        <f>-IS!O51</f>
        <v>-8.2050000000000001</v>
      </c>
      <c r="P89" s="760">
        <f>-IS!P51</f>
        <v>-8.1530000000000005</v>
      </c>
      <c r="Q89" s="760">
        <f>-IS!Q51</f>
        <v>-8.17</v>
      </c>
      <c r="R89" s="760">
        <f>-IS!R51</f>
        <v>-8.1730000000000018</v>
      </c>
      <c r="S89" s="761">
        <f>-IS!S51</f>
        <v>-32.701000000000001</v>
      </c>
      <c r="T89" s="762"/>
      <c r="U89" s="760">
        <f>-IS!U51</f>
        <v>-8.2270000000000003</v>
      </c>
      <c r="V89" s="760">
        <f>-IS!V51</f>
        <v>-8.2469999999999999</v>
      </c>
      <c r="W89" s="760">
        <f>-IS!W51</f>
        <v>-8.254999999999999</v>
      </c>
      <c r="X89" s="760">
        <f>-IS!X51</f>
        <v>-8.2629999999999981</v>
      </c>
      <c r="Y89" s="761">
        <f>-IS!Y51</f>
        <v>-32.991999999999997</v>
      </c>
      <c r="Z89" s="762"/>
      <c r="AA89" s="760">
        <f>-IS!AA51</f>
        <v>-8.1059999999999999</v>
      </c>
      <c r="AB89" s="760">
        <f>-IS!AB51</f>
        <v>-7.891</v>
      </c>
      <c r="AC89" s="760">
        <f>-IS!AC51</f>
        <v>-7.9160000000000004</v>
      </c>
      <c r="AD89" s="760">
        <f>-IS!AD51</f>
        <v>-7.9160000000000004</v>
      </c>
      <c r="AE89" s="761">
        <f>-IS!AE51</f>
        <v>-31.829000000000001</v>
      </c>
      <c r="AF89" s="762"/>
      <c r="AG89" s="760">
        <f>-IS!AG51</f>
        <v>-7.9219999999999997</v>
      </c>
      <c r="AH89" s="760">
        <f>-IS!AH51</f>
        <v>-7.9460500000000005</v>
      </c>
      <c r="AI89" s="760">
        <f>-IS!AI51</f>
        <v>-7.9702000000000011</v>
      </c>
      <c r="AJ89" s="760">
        <f>-IS!AJ51</f>
        <v>-7.9701726057603679</v>
      </c>
      <c r="AK89" s="761">
        <f>-IS!AK51</f>
        <v>-31.80842260576037</v>
      </c>
      <c r="AL89" s="762"/>
      <c r="AM89" s="760">
        <f>-IS!AM51</f>
        <v>-7.9417800000000005</v>
      </c>
      <c r="AN89" s="760">
        <f>-IS!AN51</f>
        <v>-7.8102500000000008</v>
      </c>
      <c r="AO89" s="760">
        <f>-IS!AO51</f>
        <v>-7.8278900000000009</v>
      </c>
      <c r="AP89" s="760">
        <f>-IS!AP51</f>
        <v>-7.8275019975498497</v>
      </c>
      <c r="AQ89" s="761">
        <f>-IS!AQ51</f>
        <v>-31.40742199754985</v>
      </c>
      <c r="AR89" s="762"/>
      <c r="AS89" s="760">
        <f>-IS!AS51</f>
        <v>-7.8787100000000008</v>
      </c>
      <c r="AT89" s="760">
        <f>-IS!AT51</f>
        <v>-7.8951600000000006</v>
      </c>
      <c r="AU89" s="760">
        <f>-IS!AU51</f>
        <v>-7.8852200000000012</v>
      </c>
      <c r="AV89" s="760">
        <f>-IS!AV51</f>
        <v>-7.8473210746592104</v>
      </c>
      <c r="AW89" s="761">
        <f>-IS!AW51</f>
        <v>-31.506411074659212</v>
      </c>
      <c r="AX89" s="762"/>
      <c r="AY89" s="760">
        <f>-IS!AY51</f>
        <v>-7.8848700000000012</v>
      </c>
      <c r="AZ89" s="760">
        <f>-IS!AZ51</f>
        <v>-7.9112600000000004</v>
      </c>
      <c r="BA89" s="760">
        <f>-IS!BA51</f>
        <v>-7.884240000000001</v>
      </c>
      <c r="BB89" s="760">
        <f>-IS!BB51</f>
        <v>-7.8215900000000014</v>
      </c>
      <c r="BC89" s="761">
        <f>-IS!BC51</f>
        <v>-31.501960000000004</v>
      </c>
      <c r="BD89" s="762"/>
      <c r="BE89" s="760">
        <f>-IS!BE51</f>
        <v>-7.7286300000000008</v>
      </c>
      <c r="BF89" s="760">
        <f>-IS!BF51</f>
        <v>-7.6279000000000003</v>
      </c>
      <c r="BG89" s="760">
        <f>-IS!BG51</f>
        <v>-7.64344</v>
      </c>
      <c r="BH89" s="760">
        <f>-IS!BH51</f>
        <v>-7.6538699999999942</v>
      </c>
      <c r="BI89" s="761">
        <f>-IS!BI51</f>
        <v>-30.653839999999995</v>
      </c>
      <c r="BJ89" s="762"/>
      <c r="BK89" s="760">
        <f>-IS!BK51</f>
        <v>-7.6627600000000013</v>
      </c>
      <c r="BL89" s="760">
        <f>-IS!BL51</f>
        <v>-7.6925800000000013</v>
      </c>
      <c r="BM89" s="760">
        <f>-IS!BM51</f>
        <v>-7.7002100000000011</v>
      </c>
      <c r="BN89" s="760">
        <f>-IS!BN51</f>
        <v>-7.7044800000000002</v>
      </c>
      <c r="BO89" s="761">
        <f>-IS!BO51</f>
        <v>-30.760030000000004</v>
      </c>
      <c r="BP89" s="762"/>
      <c r="BQ89" s="760">
        <f>-IS!BQ51</f>
        <v>-7.7050756030500001</v>
      </c>
      <c r="BR89" s="760">
        <f>-IS!BR51</f>
        <v>-7.7065654532469301</v>
      </c>
      <c r="BS89" s="760">
        <f>-IS!BS51</f>
        <v>-7.7050671014402177</v>
      </c>
      <c r="BT89" s="760">
        <f>-IS!BT51</f>
        <v>-7.7013696432091532</v>
      </c>
      <c r="BU89" s="761">
        <f>-IS!BU51</f>
        <v>-30.818077800946298</v>
      </c>
      <c r="BV89" s="760"/>
      <c r="BW89" s="760">
        <f>-IS!BW51</f>
        <v>-7.6849145955770028</v>
      </c>
      <c r="BX89" s="760">
        <f>-IS!BX51</f>
        <v>-7.6751511260100136</v>
      </c>
      <c r="BY89" s="760">
        <f>-IS!BY51</f>
        <v>-7.6627376065081627</v>
      </c>
      <c r="BZ89" s="760">
        <f>-IS!BZ51</f>
        <v>-7.6484635930005442</v>
      </c>
      <c r="CA89" s="761">
        <f>-IS!CA51</f>
        <v>-30.671266921095722</v>
      </c>
      <c r="CB89" s="760"/>
      <c r="CC89" s="760">
        <f>-IS!CC51</f>
        <v>-7.6338094853532761</v>
      </c>
      <c r="CD89" s="760">
        <f>-IS!CD51</f>
        <v>-7.6328598871471334</v>
      </c>
      <c r="CE89" s="760">
        <f>-IS!CE51</f>
        <v>-7.6276974573387868</v>
      </c>
      <c r="CF89" s="760">
        <f>-IS!CF51</f>
        <v>-7.6195286780406715</v>
      </c>
      <c r="CG89" s="761">
        <f>-IS!CG51</f>
        <v>-30.513895507879866</v>
      </c>
      <c r="CH89" s="760"/>
      <c r="CI89" s="760">
        <f>-IS!CI51</f>
        <v>-7.6105505018615336</v>
      </c>
      <c r="CJ89" s="760">
        <f>-IS!CJ51</f>
        <v>-7.6269489577403471</v>
      </c>
      <c r="CK89" s="760">
        <f>-IS!CK51</f>
        <v>-7.6356498500381447</v>
      </c>
      <c r="CL89" s="760">
        <f>-IS!CL51</f>
        <v>-7.6387747474657637</v>
      </c>
      <c r="CM89" s="761">
        <f>-IS!CM51</f>
        <v>-30.511924057105791</v>
      </c>
      <c r="CN89" s="94"/>
      <c r="CO89" s="94"/>
      <c r="CP89" s="94"/>
      <c r="CQ89" s="94"/>
    </row>
    <row r="90" spans="1:95" ht="12.75" hidden="1" customHeight="1" outlineLevel="1">
      <c r="A90" s="558" t="s">
        <v>281</v>
      </c>
      <c r="B90" s="139"/>
      <c r="C90" s="5">
        <f>C39-6.94</f>
        <v>4.5679999999999987</v>
      </c>
      <c r="D90" s="2">
        <f>D39-C39</f>
        <v>4.4840000000000018</v>
      </c>
      <c r="E90" s="2">
        <f>E39-D39</f>
        <v>21.443000000000001</v>
      </c>
      <c r="F90" s="2">
        <f>F39-E39</f>
        <v>20.271999999999998</v>
      </c>
      <c r="G90" s="686">
        <f>G39-6.94</f>
        <v>50.767000000000003</v>
      </c>
      <c r="H90" s="687"/>
      <c r="I90" s="2">
        <f>I39-G39</f>
        <v>25.428999999999995</v>
      </c>
      <c r="J90" s="2">
        <f>J39-I39</f>
        <v>1.335000000000008</v>
      </c>
      <c r="K90" s="2">
        <f>K39-J39</f>
        <v>-37.342000000000006</v>
      </c>
      <c r="L90" s="2">
        <f>L39-K39</f>
        <v>-78.367999999999995</v>
      </c>
      <c r="M90" s="30">
        <f>M39-G39</f>
        <v>-88.945999999999998</v>
      </c>
      <c r="N90" s="687"/>
      <c r="O90" s="2">
        <f>O39-M39</f>
        <v>-47.869</v>
      </c>
      <c r="P90" s="2">
        <f>P39-O39</f>
        <v>42.477000000000004</v>
      </c>
      <c r="Q90" s="2">
        <f>Q39-P39</f>
        <v>20.148</v>
      </c>
      <c r="R90" s="2">
        <f>R39-Q39</f>
        <v>-10.768000000000001</v>
      </c>
      <c r="S90" s="30">
        <f>S39-M39</f>
        <v>3.9879999999999995</v>
      </c>
      <c r="T90" s="687"/>
      <c r="U90" s="2">
        <f>U39-S39</f>
        <v>-28.779</v>
      </c>
      <c r="V90" s="2">
        <f>V39-U39</f>
        <v>-42.119</v>
      </c>
      <c r="W90" s="2">
        <f>W39-V39</f>
        <v>53.233000000000004</v>
      </c>
      <c r="X90" s="2">
        <f>X39-W39</f>
        <v>-8.5750000000000028</v>
      </c>
      <c r="Y90" s="30">
        <f>Y39-S39</f>
        <v>-26.24</v>
      </c>
      <c r="Z90" s="687"/>
      <c r="AA90" s="2">
        <f>AA39-Y39</f>
        <v>47.408000000000001</v>
      </c>
      <c r="AB90" s="2">
        <f>AB39-AA39</f>
        <v>16.478000000000002</v>
      </c>
      <c r="AC90" s="2">
        <f>AC39-AB39</f>
        <v>-41.620000000000005</v>
      </c>
      <c r="AD90" s="2">
        <f>AD39-AC39</f>
        <v>85.311000000000007</v>
      </c>
      <c r="AE90" s="30">
        <f>AE39-Y39</f>
        <v>107.577</v>
      </c>
      <c r="AF90" s="687"/>
      <c r="AG90" s="2">
        <f>AG39-AE39</f>
        <v>14.100000000000009</v>
      </c>
      <c r="AH90" s="2">
        <f>AH39-AG39</f>
        <v>-30.058000000000007</v>
      </c>
      <c r="AI90" s="2">
        <f>AI39-AH39</f>
        <v>20.764000000000003</v>
      </c>
      <c r="AJ90" s="2">
        <f>AJ39-AI39</f>
        <v>7.7010000000000005</v>
      </c>
      <c r="AK90" s="30">
        <f>AK39-AE39</f>
        <v>12.507000000000005</v>
      </c>
      <c r="AL90" s="687"/>
      <c r="AM90" s="2">
        <f>AM39-AK39</f>
        <v>-13.193000000000005</v>
      </c>
      <c r="AN90" s="2">
        <f>AN39-AM39</f>
        <v>-0.94299999999999784</v>
      </c>
      <c r="AO90" s="2">
        <f>AO39-AN39</f>
        <v>16.746000000000002</v>
      </c>
      <c r="AP90" s="2">
        <f>AP39-AO39</f>
        <v>8.387999999999991</v>
      </c>
      <c r="AQ90" s="30">
        <f>AQ39-AK39</f>
        <v>10.99799999999999</v>
      </c>
      <c r="AR90" s="687"/>
      <c r="AS90" s="2">
        <f>AS39-AQ39</f>
        <v>0.60200000000000387</v>
      </c>
      <c r="AT90" s="2">
        <f>AT39-AS39</f>
        <v>2.7079999999999984</v>
      </c>
      <c r="AU90" s="2">
        <f>AU39-AT39</f>
        <v>-32.947999999999993</v>
      </c>
      <c r="AV90" s="2">
        <f>AV39-AU39</f>
        <v>-23.153000000000002</v>
      </c>
      <c r="AW90" s="30">
        <f>AW39-AQ39</f>
        <v>-52.790999999999997</v>
      </c>
      <c r="AX90" s="687"/>
      <c r="AY90" s="2">
        <f>AY39-AW39</f>
        <v>-23.725999999999999</v>
      </c>
      <c r="AZ90" s="2">
        <f>AZ39-AY39</f>
        <v>12.237</v>
      </c>
      <c r="BA90" s="2">
        <f>BA39-AZ39</f>
        <v>-46.709000000000003</v>
      </c>
      <c r="BB90" s="2">
        <f>BB39-BA39</f>
        <v>-12.558</v>
      </c>
      <c r="BC90" s="30">
        <f>BC39-AW39</f>
        <v>-70.756</v>
      </c>
      <c r="BD90" s="687"/>
      <c r="BE90" s="2">
        <f>BE39-BC39</f>
        <v>31.599000000000004</v>
      </c>
      <c r="BF90" s="2">
        <f>BF39-BE39</f>
        <v>-30.996000000000002</v>
      </c>
      <c r="BG90" s="2">
        <f>BG39-BF39</f>
        <v>-9.4319999999999951</v>
      </c>
      <c r="BH90" s="2">
        <f>BH39-BG39</f>
        <v>-46.076000000000008</v>
      </c>
      <c r="BI90" s="30">
        <f>BI39-BC39</f>
        <v>-54.905000000000001</v>
      </c>
      <c r="BJ90" s="687"/>
      <c r="BK90" s="2">
        <f>BK39-BI39</f>
        <v>19.231000000000009</v>
      </c>
      <c r="BL90" s="2">
        <f>BL39-BK39</f>
        <v>18.202999999999996</v>
      </c>
      <c r="BM90" s="2">
        <f>BM39-BL39</f>
        <v>9.8519999999999968</v>
      </c>
      <c r="BN90" s="2">
        <f>BN39-BM39</f>
        <v>7.0570000000000022</v>
      </c>
      <c r="BO90" s="30">
        <f>BO39-BI39</f>
        <v>54.343000000000004</v>
      </c>
      <c r="BP90" s="687"/>
      <c r="BQ90" s="2">
        <f>BQ39-BO39</f>
        <v>0</v>
      </c>
      <c r="BR90" s="2">
        <f>BR39-BQ39</f>
        <v>0</v>
      </c>
      <c r="BS90" s="2">
        <f>BS39-BR39</f>
        <v>0</v>
      </c>
      <c r="BT90" s="2">
        <f>BT39-BS39</f>
        <v>0</v>
      </c>
      <c r="BU90" s="30">
        <f>BU39-BO39</f>
        <v>0</v>
      </c>
      <c r="BV90" s="2"/>
      <c r="BW90" s="2">
        <f>BW39-BU39</f>
        <v>0</v>
      </c>
      <c r="BX90" s="2">
        <f>BX39-BW39</f>
        <v>0</v>
      </c>
      <c r="BY90" s="2">
        <f>BY39-BX39</f>
        <v>0</v>
      </c>
      <c r="BZ90" s="2">
        <f>BZ39-BY39</f>
        <v>0</v>
      </c>
      <c r="CA90" s="30">
        <f>CA39-BU39</f>
        <v>0</v>
      </c>
      <c r="CB90" s="2"/>
      <c r="CC90" s="2">
        <f>CC39-CA39</f>
        <v>0</v>
      </c>
      <c r="CD90" s="2">
        <f>CD39-CC39</f>
        <v>0</v>
      </c>
      <c r="CE90" s="2">
        <f>CE39-CD39</f>
        <v>0</v>
      </c>
      <c r="CF90" s="2">
        <f>CF39-CE39</f>
        <v>0</v>
      </c>
      <c r="CG90" s="30">
        <f>CG39-CA39</f>
        <v>0</v>
      </c>
      <c r="CH90" s="2"/>
      <c r="CI90" s="2">
        <f>CI39-CG39</f>
        <v>0</v>
      </c>
      <c r="CJ90" s="2">
        <f>CJ39-CI39</f>
        <v>0</v>
      </c>
      <c r="CK90" s="2">
        <f>CK39-CJ39</f>
        <v>0</v>
      </c>
      <c r="CL90" s="2">
        <f>CL39-CK39</f>
        <v>0</v>
      </c>
      <c r="CM90" s="30">
        <f>CM39-CG39</f>
        <v>0</v>
      </c>
      <c r="CN90" s="94"/>
      <c r="CO90" s="94"/>
      <c r="CP90" s="94"/>
      <c r="CQ90" s="94"/>
    </row>
    <row r="91" spans="1:95" ht="12.75" hidden="1" customHeight="1" outlineLevel="1">
      <c r="A91" s="560" t="s">
        <v>282</v>
      </c>
      <c r="B91" s="139"/>
      <c r="C91" s="5">
        <f>(C38-1040.19-C88-C89)</f>
        <v>1.9899999999999078</v>
      </c>
      <c r="D91" s="2">
        <f>(D38-C38-D88-D89)</f>
        <v>-0.81399999999997341</v>
      </c>
      <c r="E91" s="2">
        <f>(E38-D38-E88-E89)</f>
        <v>-2.2339999999999662</v>
      </c>
      <c r="F91" s="2">
        <f>(F38-E38-F88-F89)</f>
        <v>-1.2190000000000545</v>
      </c>
      <c r="G91" s="686">
        <f>(G38-1040.19-G88-G89)</f>
        <v>-2.2770000000000223</v>
      </c>
      <c r="H91" s="687"/>
      <c r="I91" s="2">
        <f>(I38-G38-I88-I89)</f>
        <v>-0.36400000000006472</v>
      </c>
      <c r="J91" s="2">
        <f>(J38-I38-J88-J89)</f>
        <v>-0.11699999999989785</v>
      </c>
      <c r="K91" s="2">
        <f>(K38-J38-K88-K89)</f>
        <v>-0.66500000000016612</v>
      </c>
      <c r="L91" s="2">
        <f>(L38-K38-L88-L89)</f>
        <v>-5.7369999999999663</v>
      </c>
      <c r="M91" s="30">
        <f>(M38-G38-M88-M89)</f>
        <v>-6.883000000000095</v>
      </c>
      <c r="N91" s="687"/>
      <c r="O91" s="2">
        <f>(O38-M38-O88-O89)</f>
        <v>-0.68600000000001415</v>
      </c>
      <c r="P91" s="2">
        <f>(P38-O38-P88-P89)</f>
        <v>-0.11899999999984878</v>
      </c>
      <c r="Q91" s="2">
        <f>(Q38-P38-Q88-Q89)</f>
        <v>-0.64300000000015523</v>
      </c>
      <c r="R91" s="2">
        <f>(R38-Q38-R88-R89)</f>
        <v>0.80100000000022931</v>
      </c>
      <c r="S91" s="30">
        <f>(S38-M38-S88-S89)</f>
        <v>-0.6469999999997853</v>
      </c>
      <c r="T91" s="687"/>
      <c r="U91" s="2">
        <f>(U38-S38-U88-U89)</f>
        <v>0.43200000000000571</v>
      </c>
      <c r="V91" s="2">
        <f>(V38-U38-V88-V89)</f>
        <v>25.428000000000083</v>
      </c>
      <c r="W91" s="2">
        <f>(W38-V38-W88-W89)</f>
        <v>-2.6950000000000749</v>
      </c>
      <c r="X91" s="2">
        <f>(X38-W38-X88-X89)</f>
        <v>-6.719000000000257</v>
      </c>
      <c r="Y91" s="30">
        <f>(Y38-S38-Y88-Y89)</f>
        <v>16.445999999999721</v>
      </c>
      <c r="Z91" s="687"/>
      <c r="AA91" s="2">
        <f>(AA38-Y38-AA88-AA89)</f>
        <v>-39.147000000000006</v>
      </c>
      <c r="AB91" s="2">
        <f>(AB38-AA38-AB88-AB89)</f>
        <v>-40.096000000000139</v>
      </c>
      <c r="AC91" s="2">
        <f>(AC38-AB38-AC88-AC89)</f>
        <v>-38.271999999999835</v>
      </c>
      <c r="AD91" s="2">
        <f>(AD38-AC38-AD88-AD89)</f>
        <v>-99.413999999999831</v>
      </c>
      <c r="AE91" s="30">
        <f>(AE38-Y38-AE88-AE89)</f>
        <v>-216.92899999999958</v>
      </c>
      <c r="AF91" s="687"/>
      <c r="AG91" s="2">
        <f>(AG38-AE38-AG88-AG89)</f>
        <v>-0.28600000000013015</v>
      </c>
      <c r="AH91" s="2">
        <f>(AH38-AG38-AH88-AH89)</f>
        <v>0.51804999999994639</v>
      </c>
      <c r="AI91" s="2">
        <f>(AI38-AH38-AI88-AI89)</f>
        <v>-0.14579999999993465</v>
      </c>
      <c r="AJ91" s="2">
        <f>(AJ38-AI38-AJ88-AJ89)</f>
        <v>-0.24382739423961652</v>
      </c>
      <c r="AK91" s="30">
        <f>SUM(AG91:AJ91)</f>
        <v>-0.15757739423973494</v>
      </c>
      <c r="AL91" s="687"/>
      <c r="AM91" s="2">
        <f>(AM38-AK38-AM88-AM89)</f>
        <v>0.34977999999981702</v>
      </c>
      <c r="AN91" s="2">
        <f>(AN38-AM38-AN88-AN89)</f>
        <v>0.13025000000004017</v>
      </c>
      <c r="AO91" s="2">
        <f>(AO38-AN38-AO88-AO89)</f>
        <v>-0.31098065999999402</v>
      </c>
      <c r="AP91" s="2">
        <f>(AP38-AO38-AP88-AP89)</f>
        <v>2.2915019975497062</v>
      </c>
      <c r="AQ91" s="30">
        <f>SUM(AM91:AP91)</f>
        <v>2.4605513375495693</v>
      </c>
      <c r="AR91" s="687"/>
      <c r="AS91" s="2">
        <f>(AS38-AQ38-AS88-AS89)</f>
        <v>0.29366199999957399</v>
      </c>
      <c r="AT91" s="2">
        <f>(AT38-AS38-AT88-AT89)</f>
        <v>0.83555300000000088</v>
      </c>
      <c r="AU91" s="2">
        <f>(AU38-AT38-AU88-AU89)</f>
        <v>-0.31012619999997337</v>
      </c>
      <c r="AV91" s="2">
        <f>(AV38-AU38-AV88-AV89)</f>
        <v>0.88007495785904144</v>
      </c>
      <c r="AW91" s="30">
        <f>SUM(AS91:AV91)</f>
        <v>1.6991637578586429</v>
      </c>
      <c r="AX91" s="687"/>
      <c r="AY91" s="2">
        <f>(AY38-AW38-AY88-AY89)</f>
        <v>-0.3011300000000201</v>
      </c>
      <c r="AZ91" s="2">
        <f>(AZ38-AY38-AZ88-AZ89)</f>
        <v>5.8802599999999234</v>
      </c>
      <c r="BA91" s="2">
        <f>(BA38-AZ38-BA88-BA89)</f>
        <v>6.6126800000000214</v>
      </c>
      <c r="BB91" s="2">
        <f>(BB38-BA38-BB88-BB89)</f>
        <v>3.6655299999999054</v>
      </c>
      <c r="BC91" s="30">
        <f>SUM(AY91:BB91)</f>
        <v>15.85733999999983</v>
      </c>
      <c r="BD91" s="687"/>
      <c r="BE91" s="2">
        <f>(BE38-BC38-BE88-BE89)</f>
        <v>-71.654370000000142</v>
      </c>
      <c r="BF91" s="2">
        <f>(BF38-BE38-BF88-BF89)</f>
        <v>3.1819000000001658</v>
      </c>
      <c r="BG91" s="2">
        <f>(BG38-BF38-BG88-BG89)</f>
        <v>3.4774400000000174</v>
      </c>
      <c r="BH91" s="2">
        <f>(BH38-BG38-BH88-BH89)</f>
        <v>-1.7661299999998654</v>
      </c>
      <c r="BI91" s="30">
        <f>SUM(BE91:BH91)</f>
        <v>-66.761159999999819</v>
      </c>
      <c r="BJ91" s="687"/>
      <c r="BK91" s="2">
        <f>(BK38-BI38-BK88-BK89)</f>
        <v>-2.4000000000246047E-4</v>
      </c>
      <c r="BL91" s="2">
        <f>(BL38-BK38-BL88-BL89)</f>
        <v>5.7999999968139093E-4</v>
      </c>
      <c r="BM91" s="2">
        <f>(BM38-BL38-BM88-BM89)</f>
        <v>-2.0699999999973961E-2</v>
      </c>
      <c r="BN91" s="2">
        <f>(BN38-BM38-BN88-BN89)</f>
        <v>6.9479999999952469E-2</v>
      </c>
      <c r="BO91" s="30">
        <f>SUM(BK91:BN91)</f>
        <v>4.9119999999657438E-2</v>
      </c>
      <c r="BP91" s="687"/>
      <c r="BQ91" s="5">
        <v>0</v>
      </c>
      <c r="BR91" s="5">
        <v>0</v>
      </c>
      <c r="BS91" s="5">
        <v>0</v>
      </c>
      <c r="BT91" s="5">
        <v>0</v>
      </c>
      <c r="BU91" s="30">
        <f>SUM(BQ91:BT91)</f>
        <v>0</v>
      </c>
      <c r="BV91" s="2"/>
      <c r="BW91" s="5">
        <v>0</v>
      </c>
      <c r="BX91" s="5">
        <v>0</v>
      </c>
      <c r="BY91" s="5">
        <v>0</v>
      </c>
      <c r="BZ91" s="5">
        <v>0</v>
      </c>
      <c r="CA91" s="30">
        <f>SUM(BW91:BZ91)</f>
        <v>0</v>
      </c>
      <c r="CB91" s="2"/>
      <c r="CC91" s="5">
        <v>0</v>
      </c>
      <c r="CD91" s="5">
        <v>0</v>
      </c>
      <c r="CE91" s="5">
        <v>0</v>
      </c>
      <c r="CF91" s="5">
        <v>0</v>
      </c>
      <c r="CG91" s="30">
        <f>SUM(CC91:CF91)</f>
        <v>0</v>
      </c>
      <c r="CH91" s="2"/>
      <c r="CI91" s="5">
        <v>0</v>
      </c>
      <c r="CJ91" s="5">
        <v>0</v>
      </c>
      <c r="CK91" s="5">
        <v>0</v>
      </c>
      <c r="CL91" s="5">
        <v>0</v>
      </c>
      <c r="CM91" s="30">
        <f>SUM(CI91:CL91)</f>
        <v>0</v>
      </c>
      <c r="CN91" s="94"/>
      <c r="CO91" s="94"/>
      <c r="CP91" s="94"/>
      <c r="CQ91" s="94"/>
    </row>
    <row r="92" spans="1:95" ht="12.75" hidden="1" customHeight="1" outlineLevel="1">
      <c r="A92" s="561" t="s">
        <v>283</v>
      </c>
      <c r="B92" s="139"/>
      <c r="C92" s="2">
        <f>SUM(C86:C91)</f>
        <v>1541.8239999999998</v>
      </c>
      <c r="D92" s="2">
        <f>SUM(D86:D91)</f>
        <v>1496.3059999999998</v>
      </c>
      <c r="E92" s="2">
        <f>SUM(E86:E91)</f>
        <v>1536.2369999999999</v>
      </c>
      <c r="F92" s="2">
        <f>SUM(F86:F91)</f>
        <v>1575.2769999999998</v>
      </c>
      <c r="G92" s="30">
        <f>SUM(G86:G91)</f>
        <v>1575.277</v>
      </c>
      <c r="H92" s="646"/>
      <c r="I92" s="2">
        <f>SUM(I86:I91)</f>
        <v>1617.9190000000001</v>
      </c>
      <c r="J92" s="2">
        <f>SUM(J86:J91)</f>
        <v>1655.5000000000002</v>
      </c>
      <c r="K92" s="2">
        <f>SUM(K86:K91)</f>
        <v>1635.0840000000001</v>
      </c>
      <c r="L92" s="2">
        <f>SUM(L86:L91)</f>
        <v>1567.9430000000002</v>
      </c>
      <c r="M92" s="30">
        <f>SUM(M86:M91)</f>
        <v>1567.9430000000004</v>
      </c>
      <c r="N92" s="646"/>
      <c r="O92" s="2">
        <f>SUM(O86:O91)</f>
        <v>1512.4010000000007</v>
      </c>
      <c r="P92" s="2">
        <f>SUM(P86:P91)</f>
        <v>1574.332000000001</v>
      </c>
      <c r="Q92" s="2">
        <f>SUM(Q86:Q91)</f>
        <v>1601.7580000000005</v>
      </c>
      <c r="R92" s="2">
        <f>SUM(R86:R91)</f>
        <v>1628.9570000000006</v>
      </c>
      <c r="S92" s="30">
        <f>SUM(S86:S91)</f>
        <v>1628.9570000000006</v>
      </c>
      <c r="T92" s="646"/>
      <c r="U92" s="2">
        <f>SUM(U86:U91)</f>
        <v>1631.4040000000007</v>
      </c>
      <c r="V92" s="2">
        <f>SUM(V86:V91)</f>
        <v>1643.6920000000009</v>
      </c>
      <c r="W92" s="2">
        <f>SUM(W86:W91)</f>
        <v>1707.0350000000005</v>
      </c>
      <c r="X92" s="2">
        <f>SUM(X86:X91)</f>
        <v>1925.8180000000004</v>
      </c>
      <c r="Y92" s="30">
        <f>SUM(Y86:Y91)</f>
        <v>1925.8180000000004</v>
      </c>
      <c r="Z92" s="646"/>
      <c r="AA92" s="2">
        <f>SUM(AA86:AA91)</f>
        <v>1907.9320000000005</v>
      </c>
      <c r="AB92" s="2">
        <f>SUM(AB86:AB91)</f>
        <v>1956.4610000000002</v>
      </c>
      <c r="AC92" s="2">
        <f>SUM(AC86:AC91)</f>
        <v>1945.1400000000003</v>
      </c>
      <c r="AD92" s="2">
        <f>SUM(AD86:AD91)</f>
        <v>1842.2160000000003</v>
      </c>
      <c r="AE92" s="30">
        <f>SUM(AE86:AE91)</f>
        <v>1842.2160000000008</v>
      </c>
      <c r="AF92" s="646"/>
      <c r="AG92" s="2">
        <f>SUM(AG86:AG91)</f>
        <v>1882.5830000000005</v>
      </c>
      <c r="AH92" s="2">
        <f>SUM(AH86:AH91)</f>
        <v>1885.3300000000004</v>
      </c>
      <c r="AI92" s="2">
        <f>SUM(AI86:AI91)</f>
        <v>1942.4400000000005</v>
      </c>
      <c r="AJ92" s="2">
        <f>SUM(AJ86:AJ91)</f>
        <v>1939.8120000000006</v>
      </c>
      <c r="AK92" s="30">
        <f>SUM(AK86:AK91)</f>
        <v>1939.8120000000004</v>
      </c>
      <c r="AL92" s="646"/>
      <c r="AM92" s="2">
        <f>SUM(AM86:AM91)</f>
        <v>1834.423</v>
      </c>
      <c r="AN92" s="2">
        <f>SUM(AN86:AN91)</f>
        <v>1859.8520000000001</v>
      </c>
      <c r="AO92" s="2">
        <f>SUM(AO86:AO91)</f>
        <v>1919.5710000000004</v>
      </c>
      <c r="AP92" s="2">
        <f>SUM(AP86:AP91)</f>
        <v>1994.4870000000001</v>
      </c>
      <c r="AQ92" s="30">
        <f>SUM(AQ86:AQ91)</f>
        <v>1994.4869999999999</v>
      </c>
      <c r="AR92" s="646"/>
      <c r="AS92" s="2">
        <f>SUM(AS86:AS91)</f>
        <v>2029.4359999999999</v>
      </c>
      <c r="AT92" s="2">
        <f>SUM(AT86:AT91)</f>
        <v>2055.991</v>
      </c>
      <c r="AU92" s="2">
        <f>SUM(AU86:AU91)</f>
        <v>2062.7539999999999</v>
      </c>
      <c r="AV92" s="2">
        <f>SUM(AV86:AV91)</f>
        <v>2042.1019999999996</v>
      </c>
      <c r="AW92" s="30">
        <f>SUM(AW86:AW91)</f>
        <v>2042.1019999999999</v>
      </c>
      <c r="AX92" s="646"/>
      <c r="AY92" s="2">
        <f>SUM(AY86:AY91)</f>
        <v>2059.8849999999998</v>
      </c>
      <c r="AZ92" s="2">
        <f>SUM(AZ86:AZ91)</f>
        <v>2120.904</v>
      </c>
      <c r="BA92" s="2">
        <f>SUM(BA86:BA91)</f>
        <v>2054.3240000000001</v>
      </c>
      <c r="BB92" s="2">
        <f>SUM(BB86:BB91)</f>
        <v>2110.4409999999998</v>
      </c>
      <c r="BC92" s="30">
        <f>SUM(BC86:BC91)</f>
        <v>2110.4409999999998</v>
      </c>
      <c r="BD92" s="646"/>
      <c r="BE92" s="2">
        <f>SUM(BE86:BE91)</f>
        <v>2049.4799999999996</v>
      </c>
      <c r="BF92" s="2">
        <f>SUM(BF86:BF91)</f>
        <v>2088.2029999999995</v>
      </c>
      <c r="BG92" s="2">
        <f>SUM(BG86:BG91)</f>
        <v>2135.422</v>
      </c>
      <c r="BH92" s="2">
        <f>SUM(BH86:BH91)</f>
        <v>2153.5700000000002</v>
      </c>
      <c r="BI92" s="30">
        <f>SUM(BI86:BI91)</f>
        <v>2153.5699999999993</v>
      </c>
      <c r="BJ92" s="646"/>
      <c r="BK92" s="2">
        <f>SUM(BK86:BK91)</f>
        <v>2208.9869999999992</v>
      </c>
      <c r="BL92" s="2">
        <f>SUM(BL86:BL91)</f>
        <v>2438.6359999999995</v>
      </c>
      <c r="BM92" s="2">
        <f>SUM(BM86:BM91)</f>
        <v>2536.0289999999995</v>
      </c>
      <c r="BN92" s="2">
        <f>SUM(BN86:BN91)</f>
        <v>2503.1879999999996</v>
      </c>
      <c r="BO92" s="30">
        <f>SUM(BO86:BO91)</f>
        <v>2503.1879999999987</v>
      </c>
      <c r="BP92" s="646"/>
      <c r="BQ92" s="2">
        <f>SUM(BQ86:BQ91)</f>
        <v>2553.0572104700509</v>
      </c>
      <c r="BR92" s="2">
        <f>SUM(BR86:BR91)</f>
        <v>2633.0117995033938</v>
      </c>
      <c r="BS92" s="2">
        <f>SUM(BS86:BS91)</f>
        <v>2715.8232300489399</v>
      </c>
      <c r="BT92" s="2">
        <f>SUM(BT86:BT91)</f>
        <v>2823.8974180044684</v>
      </c>
      <c r="BU92" s="30">
        <f>SUM(BU86:BU91)</f>
        <v>2823.8974180044679</v>
      </c>
      <c r="BV92" s="2"/>
      <c r="BW92" s="2">
        <f>SUM(BW86:BW91)</f>
        <v>2867.3303623835777</v>
      </c>
      <c r="BX92" s="2">
        <f>SUM(BX86:BX91)</f>
        <v>2950.048945112826</v>
      </c>
      <c r="BY92" s="2">
        <f>SUM(BY86:BY91)</f>
        <v>3036.1348741538168</v>
      </c>
      <c r="BZ92" s="2">
        <f>SUM(BZ86:BZ91)</f>
        <v>3149.5909187740758</v>
      </c>
      <c r="CA92" s="30">
        <f>SUM(CA86:CA91)</f>
        <v>3149.5909187740758</v>
      </c>
      <c r="CB92" s="2"/>
      <c r="CC92" s="2">
        <f>SUM(CC86:CC91)</f>
        <v>3207.6139833569928</v>
      </c>
      <c r="CD92" s="2">
        <f>SUM(CD86:CD91)</f>
        <v>3327.1625430206141</v>
      </c>
      <c r="CE92" s="2">
        <f>SUM(CE86:CE91)</f>
        <v>3449.1156457799293</v>
      </c>
      <c r="CF92" s="2">
        <f>SUM(CF86:CF91)</f>
        <v>3601.7807931285006</v>
      </c>
      <c r="CG92" s="30">
        <f>SUM(CG86:CG91)</f>
        <v>3601.7807931285006</v>
      </c>
      <c r="CH92" s="2"/>
      <c r="CI92" s="2">
        <f>SUM(CI86:CI91)</f>
        <v>3693.2393737885691</v>
      </c>
      <c r="CJ92" s="2">
        <f>SUM(CJ86:CJ91)</f>
        <v>3845.7451191540313</v>
      </c>
      <c r="CK92" s="2">
        <f>SUM(CK86:CK91)</f>
        <v>3995.2938321511892</v>
      </c>
      <c r="CL92" s="2">
        <f>SUM(CL86:CL91)</f>
        <v>4171.8602409754403</v>
      </c>
      <c r="CM92" s="30">
        <f>SUM(CM86:CM91)</f>
        <v>4171.8602409754394</v>
      </c>
      <c r="CN92" s="94"/>
      <c r="CO92" s="94"/>
      <c r="CP92" s="94"/>
      <c r="CQ92" s="94"/>
    </row>
    <row r="93" spans="1:95" ht="12.75" hidden="1" customHeight="1" outlineLevel="1">
      <c r="A93" s="542"/>
      <c r="B93" s="541"/>
      <c r="C93" s="482">
        <f>C92-C40</f>
        <v>0</v>
      </c>
      <c r="D93" s="482">
        <f>D92-D40</f>
        <v>0</v>
      </c>
      <c r="E93" s="482">
        <f>E92-E40</f>
        <v>0</v>
      </c>
      <c r="F93" s="482">
        <f>F92-F40</f>
        <v>0</v>
      </c>
      <c r="G93" s="647">
        <f>G92-G40</f>
        <v>0</v>
      </c>
      <c r="H93" s="685"/>
      <c r="I93" s="482">
        <f>I92-I40</f>
        <v>0</v>
      </c>
      <c r="J93" s="482">
        <f>J92-J40</f>
        <v>0</v>
      </c>
      <c r="K93" s="482">
        <f>K92-K40</f>
        <v>0</v>
      </c>
      <c r="L93" s="482">
        <f>L92-L40</f>
        <v>0</v>
      </c>
      <c r="M93" s="647">
        <f>M92-M40</f>
        <v>0</v>
      </c>
      <c r="N93" s="685"/>
      <c r="O93" s="482">
        <f>O92-O40</f>
        <v>0</v>
      </c>
      <c r="P93" s="482">
        <f>P92-P40</f>
        <v>0</v>
      </c>
      <c r="Q93" s="482">
        <f>Q92-Q40</f>
        <v>0</v>
      </c>
      <c r="R93" s="482">
        <f>R92-R40</f>
        <v>0</v>
      </c>
      <c r="S93" s="647">
        <f>S92-S40</f>
        <v>0</v>
      </c>
      <c r="T93" s="685"/>
      <c r="U93" s="482">
        <f>U92-U40</f>
        <v>0</v>
      </c>
      <c r="V93" s="482">
        <f>V92-V40</f>
        <v>0</v>
      </c>
      <c r="W93" s="482">
        <f>W92-W40</f>
        <v>0</v>
      </c>
      <c r="X93" s="482">
        <f>X92-X40</f>
        <v>0</v>
      </c>
      <c r="Y93" s="647">
        <f>Y92-Y40</f>
        <v>0</v>
      </c>
      <c r="Z93" s="685"/>
      <c r="AA93" s="482">
        <f>AA92-AA40</f>
        <v>0</v>
      </c>
      <c r="AB93" s="482">
        <f>AB92-AB40</f>
        <v>0</v>
      </c>
      <c r="AC93" s="482">
        <f>AC92-AC40</f>
        <v>0</v>
      </c>
      <c r="AD93" s="482">
        <f>AD92-AD40</f>
        <v>0</v>
      </c>
      <c r="AE93" s="647">
        <f>AE92-AE40</f>
        <v>0</v>
      </c>
      <c r="AF93" s="685"/>
      <c r="AG93" s="482">
        <f>AG92-AG40</f>
        <v>0</v>
      </c>
      <c r="AH93" s="482">
        <f>AH92-AH40</f>
        <v>0</v>
      </c>
      <c r="AI93" s="482">
        <f>AI92-AI40</f>
        <v>0</v>
      </c>
      <c r="AJ93" s="482">
        <f>AJ92-AJ40</f>
        <v>0</v>
      </c>
      <c r="AK93" s="647">
        <f>AK92-AK40</f>
        <v>0</v>
      </c>
      <c r="AL93" s="685"/>
      <c r="AM93" s="482">
        <f>AM92-AM40</f>
        <v>0</v>
      </c>
      <c r="AN93" s="482">
        <f>AN92-AN40</f>
        <v>0</v>
      </c>
      <c r="AO93" s="482">
        <f>AO92-AO40</f>
        <v>0</v>
      </c>
      <c r="AP93" s="482">
        <f>AP92-AP40</f>
        <v>0</v>
      </c>
      <c r="AQ93" s="647">
        <f>AQ92-AQ40</f>
        <v>0</v>
      </c>
      <c r="AR93" s="685"/>
      <c r="AS93" s="482">
        <f>AS92-AS40</f>
        <v>0</v>
      </c>
      <c r="AT93" s="482">
        <f>AT92-AT40</f>
        <v>0</v>
      </c>
      <c r="AU93" s="482">
        <f>AU92-AU40</f>
        <v>0</v>
      </c>
      <c r="AV93" s="482">
        <f>AV92-AV40</f>
        <v>0</v>
      </c>
      <c r="AW93" s="647">
        <f>AW92-AW40</f>
        <v>0</v>
      </c>
      <c r="AX93" s="685"/>
      <c r="AY93" s="482">
        <f>AY92-AY40</f>
        <v>0</v>
      </c>
      <c r="AZ93" s="482">
        <f>AZ92-AZ40</f>
        <v>0</v>
      </c>
      <c r="BA93" s="482">
        <f>BA92-BA40</f>
        <v>0</v>
      </c>
      <c r="BB93" s="482">
        <f>BB92-BB40</f>
        <v>0</v>
      </c>
      <c r="BC93" s="647">
        <f>BC92-BC40</f>
        <v>0</v>
      </c>
      <c r="BD93" s="685"/>
      <c r="BE93" s="482">
        <f>BE92-BE40</f>
        <v>0</v>
      </c>
      <c r="BF93" s="482">
        <f>BF92-BF40</f>
        <v>0</v>
      </c>
      <c r="BG93" s="482">
        <f>BG92-BG40</f>
        <v>0</v>
      </c>
      <c r="BH93" s="482">
        <f>BH92-BH40</f>
        <v>0</v>
      </c>
      <c r="BI93" s="647">
        <f>BI92-BI40</f>
        <v>0</v>
      </c>
      <c r="BJ93" s="685"/>
      <c r="BK93" s="482">
        <f>BK92-BK40</f>
        <v>0</v>
      </c>
      <c r="BL93" s="482">
        <f>BL92-BL40</f>
        <v>0</v>
      </c>
      <c r="BM93" s="482">
        <f>BM92-BM40</f>
        <v>0</v>
      </c>
      <c r="BN93" s="482">
        <f>BN92-BN40</f>
        <v>0</v>
      </c>
      <c r="BO93" s="647">
        <f>BO92-BO40</f>
        <v>0</v>
      </c>
      <c r="BP93" s="685"/>
      <c r="BQ93" s="482">
        <f>BQ92-BQ40</f>
        <v>-2.6730000000006839</v>
      </c>
      <c r="BR93" s="482">
        <f>BR92-BR40</f>
        <v>-5.3460000000009131</v>
      </c>
      <c r="BS93" s="482">
        <f>BS92-BS40</f>
        <v>-8.0190000000006876</v>
      </c>
      <c r="BT93" s="482">
        <f>BT92-BT40</f>
        <v>-10.692000000000462</v>
      </c>
      <c r="BU93" s="647">
        <f>BU92-BU40</f>
        <v>-10.692000000000917</v>
      </c>
      <c r="BV93" s="224"/>
      <c r="BW93" s="482">
        <f>BW92-BW40</f>
        <v>-13.365000000001146</v>
      </c>
      <c r="BX93" s="482">
        <f>BX92-BX40</f>
        <v>-16.03800000000092</v>
      </c>
      <c r="BY93" s="482">
        <f>BY92-BY40</f>
        <v>-18.71100000000115</v>
      </c>
      <c r="BZ93" s="482">
        <f>BZ92-BZ40</f>
        <v>-21.384000000001379</v>
      </c>
      <c r="CA93" s="647">
        <f>CA92-CA40</f>
        <v>-21.384000000001379</v>
      </c>
      <c r="CB93" s="224"/>
      <c r="CC93" s="482">
        <f>CC92-CC40</f>
        <v>-24.057000000001153</v>
      </c>
      <c r="CD93" s="482">
        <f>CD92-CD40</f>
        <v>-26.730000000001382</v>
      </c>
      <c r="CE93" s="482">
        <f>CE92-CE40</f>
        <v>-29.403000000001612</v>
      </c>
      <c r="CF93" s="482">
        <f>CF92-CF40</f>
        <v>-32.076000000001841</v>
      </c>
      <c r="CG93" s="647">
        <f>CG92-CG40</f>
        <v>-32.076000000001841</v>
      </c>
      <c r="CH93" s="224"/>
      <c r="CI93" s="482">
        <f>CI92-CI40</f>
        <v>-34.749000000001615</v>
      </c>
      <c r="CJ93" s="482">
        <f>CJ92-CJ40</f>
        <v>-37.422000000000935</v>
      </c>
      <c r="CK93" s="482">
        <f>CK92-CK40</f>
        <v>-40.095000000001619</v>
      </c>
      <c r="CL93" s="482">
        <f>CL92-CL40</f>
        <v>-42.768000000000939</v>
      </c>
      <c r="CM93" s="647">
        <f>CM92-CM40</f>
        <v>-42.768000000001848</v>
      </c>
      <c r="CN93" s="94"/>
      <c r="CO93" s="94"/>
      <c r="CP93" s="94"/>
      <c r="CQ93" s="94"/>
    </row>
    <row r="94" spans="1:95" hidden="1" outlineLevel="1">
      <c r="A94" s="111" t="s">
        <v>284</v>
      </c>
      <c r="B94" s="98"/>
      <c r="C94" s="98"/>
      <c r="D94" s="98"/>
      <c r="E94" s="98"/>
      <c r="F94" s="98"/>
      <c r="G94" s="98"/>
      <c r="H94" s="111"/>
      <c r="I94" s="98"/>
      <c r="J94" s="98"/>
      <c r="K94" s="98"/>
      <c r="L94" s="98"/>
      <c r="M94" s="98"/>
      <c r="N94" s="111"/>
      <c r="O94" s="98"/>
      <c r="P94" s="98"/>
      <c r="Q94" s="98"/>
      <c r="R94" s="98"/>
      <c r="S94" s="129"/>
      <c r="T94" s="111"/>
      <c r="U94" s="129"/>
      <c r="V94" s="129"/>
      <c r="W94" s="129"/>
      <c r="X94" s="129"/>
      <c r="Y94" s="128"/>
      <c r="Z94" s="111"/>
      <c r="AA94" s="129"/>
      <c r="AB94" s="129"/>
      <c r="AC94" s="129"/>
      <c r="AD94" s="129"/>
      <c r="AE94" s="128"/>
      <c r="AF94" s="111"/>
      <c r="AG94" s="129"/>
      <c r="AH94" s="129"/>
      <c r="AI94" s="129"/>
      <c r="AJ94" s="129"/>
      <c r="AK94" s="162"/>
      <c r="AL94" s="111"/>
      <c r="AM94" s="129"/>
      <c r="AN94" s="129"/>
      <c r="AO94" s="129"/>
      <c r="AP94" s="129"/>
      <c r="AQ94" s="162"/>
      <c r="AR94" s="111"/>
      <c r="AS94" s="129"/>
      <c r="AT94" s="129"/>
      <c r="AU94" s="129"/>
      <c r="AV94" s="129"/>
      <c r="AW94" s="162"/>
      <c r="AX94" s="111"/>
      <c r="AY94" s="129"/>
      <c r="AZ94" s="129"/>
      <c r="BA94" s="129"/>
      <c r="BB94" s="129"/>
      <c r="BC94" s="162"/>
      <c r="BD94" s="111"/>
      <c r="BE94" s="129"/>
      <c r="BF94" s="129"/>
      <c r="BG94" s="129"/>
      <c r="BH94" s="129"/>
      <c r="BI94" s="162"/>
      <c r="BJ94" s="111"/>
      <c r="BK94" s="129"/>
      <c r="BL94" s="129"/>
      <c r="BM94" s="129"/>
      <c r="BN94" s="129"/>
      <c r="BO94" s="162"/>
      <c r="BP94" s="111"/>
      <c r="BQ94" s="129"/>
      <c r="BR94" s="129"/>
      <c r="BS94" s="129"/>
      <c r="BT94" s="129"/>
      <c r="BU94" s="162"/>
      <c r="BV94" s="162"/>
      <c r="BW94" s="129"/>
      <c r="BX94" s="129"/>
      <c r="BY94" s="129"/>
      <c r="BZ94" s="129"/>
      <c r="CA94" s="162"/>
      <c r="CB94" s="162"/>
      <c r="CC94" s="129"/>
      <c r="CD94" s="129"/>
      <c r="CE94" s="129"/>
      <c r="CF94" s="129"/>
      <c r="CG94" s="162"/>
      <c r="CH94" s="162"/>
      <c r="CI94" s="129"/>
      <c r="CJ94" s="129"/>
      <c r="CK94" s="129"/>
      <c r="CL94" s="129"/>
      <c r="CM94" s="162"/>
      <c r="CN94" s="94"/>
      <c r="CO94" s="94"/>
      <c r="CP94" s="94"/>
      <c r="CQ94" s="94"/>
    </row>
    <row r="95" spans="1:95" collapsed="1">
      <c r="A95" s="110"/>
      <c r="B95" s="98"/>
      <c r="C95" s="98"/>
      <c r="D95" s="98"/>
      <c r="E95" s="98"/>
      <c r="F95" s="98"/>
      <c r="G95" s="98"/>
      <c r="H95" s="110"/>
      <c r="I95" s="98"/>
      <c r="J95" s="98"/>
      <c r="K95" s="98"/>
      <c r="L95" s="98"/>
      <c r="M95" s="98"/>
      <c r="N95" s="110"/>
      <c r="O95" s="98"/>
      <c r="P95" s="98"/>
      <c r="Q95" s="98"/>
      <c r="R95" s="98"/>
      <c r="S95" s="129"/>
      <c r="T95" s="110"/>
      <c r="U95" s="129"/>
      <c r="V95" s="129"/>
      <c r="W95" s="129"/>
      <c r="X95" s="129"/>
      <c r="Y95" s="128"/>
      <c r="Z95" s="110"/>
      <c r="AA95" s="129"/>
      <c r="AB95" s="129"/>
      <c r="AC95" s="129"/>
      <c r="AD95" s="129"/>
      <c r="AE95" s="128"/>
      <c r="AF95" s="110"/>
      <c r="AG95" s="129"/>
      <c r="AH95" s="129"/>
      <c r="AI95" s="129"/>
      <c r="AJ95" s="129"/>
      <c r="AK95" s="162"/>
      <c r="AL95" s="110"/>
      <c r="AM95" s="129"/>
      <c r="AN95" s="129"/>
      <c r="AO95" s="129"/>
      <c r="AP95" s="129"/>
      <c r="AQ95" s="162"/>
      <c r="AR95" s="110"/>
      <c r="AS95" s="129"/>
      <c r="AT95" s="129"/>
      <c r="AU95" s="129"/>
      <c r="AV95" s="129"/>
      <c r="AW95" s="162"/>
      <c r="AX95" s="110"/>
      <c r="AY95" s="129"/>
      <c r="AZ95" s="129"/>
      <c r="BA95" s="129"/>
      <c r="BB95" s="129"/>
      <c r="BC95" s="162"/>
      <c r="BD95" s="110"/>
      <c r="BE95" s="129"/>
      <c r="BF95" s="129"/>
      <c r="BG95" s="129"/>
      <c r="BH95" s="129"/>
      <c r="BI95" s="162"/>
      <c r="BJ95" s="110"/>
      <c r="BK95" s="129"/>
      <c r="BL95" s="129"/>
      <c r="BM95" s="129"/>
      <c r="BN95" s="129"/>
      <c r="BO95" s="162"/>
      <c r="BP95" s="110"/>
      <c r="BQ95" s="129"/>
      <c r="BR95" s="129"/>
      <c r="BS95" s="129"/>
      <c r="BT95" s="129"/>
      <c r="BU95" s="162"/>
      <c r="BV95" s="162"/>
      <c r="BW95" s="129"/>
      <c r="BX95" s="129"/>
      <c r="BY95" s="129"/>
      <c r="BZ95" s="129"/>
      <c r="CA95" s="162"/>
      <c r="CB95" s="162"/>
      <c r="CC95" s="129"/>
      <c r="CD95" s="129"/>
      <c r="CE95" s="129"/>
      <c r="CF95" s="129"/>
      <c r="CG95" s="162"/>
      <c r="CH95" s="162"/>
      <c r="CI95" s="129"/>
      <c r="CJ95" s="129"/>
      <c r="CK95" s="129"/>
      <c r="CL95" s="129"/>
      <c r="CM95" s="162"/>
      <c r="CN95" s="94"/>
      <c r="CO95" s="94"/>
      <c r="CP95" s="94"/>
      <c r="CQ95" s="94"/>
    </row>
    <row r="96" spans="1:95">
      <c r="A96" s="149" t="s">
        <v>285</v>
      </c>
      <c r="B96" s="146"/>
      <c r="C96" s="146"/>
      <c r="D96" s="146"/>
      <c r="E96" s="146"/>
      <c r="F96" s="146"/>
      <c r="G96" s="147"/>
      <c r="H96" s="148"/>
      <c r="I96" s="146"/>
      <c r="J96" s="146"/>
      <c r="K96" s="146"/>
      <c r="L96" s="146"/>
      <c r="M96" s="147"/>
      <c r="N96" s="148"/>
      <c r="O96" s="146"/>
      <c r="P96" s="146"/>
      <c r="Q96" s="146"/>
      <c r="R96" s="146"/>
      <c r="S96" s="155"/>
      <c r="T96" s="148"/>
      <c r="U96" s="151"/>
      <c r="V96" s="151"/>
      <c r="W96" s="151"/>
      <c r="X96" s="151"/>
      <c r="Y96" s="154"/>
      <c r="Z96" s="148"/>
      <c r="AA96" s="151"/>
      <c r="AB96" s="151"/>
      <c r="AC96" s="151"/>
      <c r="AD96" s="151"/>
      <c r="AE96" s="154"/>
      <c r="AF96" s="148"/>
      <c r="AG96" s="151"/>
      <c r="AH96" s="151"/>
      <c r="AI96" s="151"/>
      <c r="AJ96" s="151"/>
      <c r="AK96" s="153"/>
      <c r="AL96" s="148"/>
      <c r="AM96" s="151"/>
      <c r="AN96" s="151"/>
      <c r="AO96" s="151"/>
      <c r="AP96" s="151"/>
      <c r="AQ96" s="153"/>
      <c r="AR96" s="148"/>
      <c r="AS96" s="151"/>
      <c r="AT96" s="151"/>
      <c r="AU96" s="151"/>
      <c r="AV96" s="151"/>
      <c r="AW96" s="153"/>
      <c r="AX96" s="148"/>
      <c r="AY96" s="151"/>
      <c r="AZ96" s="151"/>
      <c r="BA96" s="151"/>
      <c r="BB96" s="151"/>
      <c r="BC96" s="153"/>
      <c r="BD96" s="148"/>
      <c r="BE96" s="151"/>
      <c r="BF96" s="151"/>
      <c r="BG96" s="151"/>
      <c r="BH96" s="151"/>
      <c r="BI96" s="153"/>
      <c r="BJ96" s="148"/>
      <c r="BK96" s="151"/>
      <c r="BL96" s="151"/>
      <c r="BM96" s="151"/>
      <c r="BN96" s="151"/>
      <c r="BO96" s="153"/>
      <c r="BP96" s="148"/>
      <c r="BQ96" s="151"/>
      <c r="BR96" s="151"/>
      <c r="BS96" s="151"/>
      <c r="BT96" s="151"/>
      <c r="BU96" s="153"/>
      <c r="BV96" s="1789"/>
      <c r="BW96" s="151"/>
      <c r="BX96" s="151"/>
      <c r="BY96" s="151"/>
      <c r="BZ96" s="151"/>
      <c r="CA96" s="153"/>
      <c r="CB96" s="1789"/>
      <c r="CC96" s="151"/>
      <c r="CD96" s="151"/>
      <c r="CE96" s="151"/>
      <c r="CF96" s="151"/>
      <c r="CG96" s="153"/>
      <c r="CH96" s="1789"/>
      <c r="CI96" s="151"/>
      <c r="CJ96" s="151"/>
      <c r="CK96" s="151"/>
      <c r="CL96" s="151"/>
      <c r="CM96" s="153"/>
      <c r="CN96" s="94"/>
      <c r="CO96" s="94"/>
      <c r="CP96" s="94"/>
      <c r="CQ96" s="94"/>
    </row>
    <row r="97" spans="1:101" ht="12.75" hidden="1" customHeight="1" outlineLevel="1">
      <c r="A97" s="194" t="s">
        <v>286</v>
      </c>
      <c r="B97" s="139"/>
      <c r="C97" s="621">
        <v>525.13400000000001</v>
      </c>
      <c r="D97" s="623">
        <f>+C102</f>
        <v>532.51</v>
      </c>
      <c r="E97" s="623">
        <f>+D102</f>
        <v>544.06400000000008</v>
      </c>
      <c r="F97" s="623">
        <f>+E102</f>
        <v>557.71199999999999</v>
      </c>
      <c r="G97" s="615">
        <f>+C97</f>
        <v>525.13400000000001</v>
      </c>
      <c r="H97" s="652"/>
      <c r="I97" s="623">
        <f>+F102</f>
        <v>559.29700000000003</v>
      </c>
      <c r="J97" s="623">
        <f>+I102</f>
        <v>598.71699999999998</v>
      </c>
      <c r="K97" s="623">
        <f>+J102</f>
        <v>610.29600000000005</v>
      </c>
      <c r="L97" s="623">
        <f>+K102</f>
        <v>610.03399999999999</v>
      </c>
      <c r="M97" s="615">
        <f>+I97</f>
        <v>559.29700000000003</v>
      </c>
      <c r="N97" s="652"/>
      <c r="O97" s="623">
        <f>+L102</f>
        <v>574.346</v>
      </c>
      <c r="P97" s="623">
        <f>+O102</f>
        <v>560.54899999999998</v>
      </c>
      <c r="Q97" s="623">
        <f>+P102</f>
        <v>581.471</v>
      </c>
      <c r="R97" s="623">
        <f>+Q102</f>
        <v>608.85799999999995</v>
      </c>
      <c r="S97" s="615">
        <f>+O97</f>
        <v>574.346</v>
      </c>
      <c r="T97" s="652"/>
      <c r="U97" s="623">
        <f>+R102</f>
        <v>392.66300000000001</v>
      </c>
      <c r="V97" s="623">
        <f>+U102</f>
        <v>597.02200000000005</v>
      </c>
      <c r="W97" s="623">
        <f>+V102</f>
        <v>595.25199999999995</v>
      </c>
      <c r="X97" s="623">
        <f>+W102</f>
        <v>414.33600000000001</v>
      </c>
      <c r="Y97" s="615">
        <f>+U97</f>
        <v>392.66300000000001</v>
      </c>
      <c r="Z97" s="652"/>
      <c r="AA97" s="623">
        <f>+X102</f>
        <v>416.83499999999998</v>
      </c>
      <c r="AB97" s="623">
        <f>+AA102</f>
        <v>432.00400000000002</v>
      </c>
      <c r="AC97" s="623">
        <f>+AB102</f>
        <v>442.6</v>
      </c>
      <c r="AD97" s="623">
        <f>+AC102</f>
        <v>441.726</v>
      </c>
      <c r="AE97" s="615">
        <f>+Y102</f>
        <v>416.83500000000004</v>
      </c>
      <c r="AF97" s="652"/>
      <c r="AG97" s="623">
        <f>+AD102</f>
        <v>451.95300000000003</v>
      </c>
      <c r="AH97" s="623">
        <f>+AG102</f>
        <v>438.58199999999999</v>
      </c>
      <c r="AI97" s="623">
        <f>+AH102</f>
        <v>442.52599999999995</v>
      </c>
      <c r="AJ97" s="623">
        <f>+AI102</f>
        <v>477.51599999999996</v>
      </c>
      <c r="AK97" s="615">
        <f>+AE102</f>
        <v>451.95300000000009</v>
      </c>
      <c r="AL97" s="652"/>
      <c r="AM97" s="623">
        <f>+AJ102</f>
        <v>513.47900000000004</v>
      </c>
      <c r="AN97" s="623">
        <f>+AM102</f>
        <v>519.173</v>
      </c>
      <c r="AO97" s="623">
        <f>+AN102</f>
        <v>528.05100000000004</v>
      </c>
      <c r="AP97" s="623">
        <f>+AO102</f>
        <v>508.411</v>
      </c>
      <c r="AQ97" s="615">
        <f>+AK102</f>
        <v>513.47900000000016</v>
      </c>
      <c r="AR97" s="652"/>
      <c r="AS97" s="623">
        <f>+AQ102</f>
        <v>504.18400000000008</v>
      </c>
      <c r="AT97" s="623">
        <f>+AS102</f>
        <v>507.46500000000003</v>
      </c>
      <c r="AU97" s="623">
        <f>+AT102</f>
        <v>507.7</v>
      </c>
      <c r="AV97" s="380">
        <f>+AU102</f>
        <v>505.90500000000003</v>
      </c>
      <c r="AW97" s="615">
        <f>+AQ102</f>
        <v>504.18400000000008</v>
      </c>
      <c r="AX97" s="652"/>
      <c r="AY97" s="623">
        <f>+AW102</f>
        <v>492.81399999999996</v>
      </c>
      <c r="AZ97" s="623">
        <f>+AY102</f>
        <v>499.09000000000003</v>
      </c>
      <c r="BA97" s="623">
        <f>+AZ102</f>
        <v>492.49700000000001</v>
      </c>
      <c r="BB97" s="623">
        <f>+BA102</f>
        <v>494.76800000000003</v>
      </c>
      <c r="BC97" s="615">
        <f>+AW102</f>
        <v>492.81399999999996</v>
      </c>
      <c r="BD97" s="652"/>
      <c r="BE97" s="623">
        <f>+BC102</f>
        <v>494.95599999999996</v>
      </c>
      <c r="BF97" s="623">
        <f>+BE102</f>
        <v>507.774</v>
      </c>
      <c r="BG97" s="623">
        <f>+BF102</f>
        <v>508.95299999999997</v>
      </c>
      <c r="BH97" s="623">
        <f>+BG102</f>
        <v>525.39599999999996</v>
      </c>
      <c r="BI97" s="615">
        <f>+BC102</f>
        <v>494.95599999999996</v>
      </c>
      <c r="BJ97" s="652"/>
      <c r="BK97" s="623">
        <f>+BI102</f>
        <v>427.90300000000008</v>
      </c>
      <c r="BL97" s="623">
        <f>+BK102</f>
        <v>449.30600000000004</v>
      </c>
      <c r="BM97" s="623">
        <f>+BL102</f>
        <v>460.75</v>
      </c>
      <c r="BN97" s="623">
        <f>+BM102</f>
        <v>475.10599999999999</v>
      </c>
      <c r="BO97" s="615">
        <f>+BI102</f>
        <v>427.90300000000008</v>
      </c>
      <c r="BP97" s="652"/>
      <c r="BQ97" s="623">
        <f>+BO102</f>
        <v>630.91899999999998</v>
      </c>
      <c r="BR97" s="623">
        <f>+BQ102</f>
        <v>638.71474606740185</v>
      </c>
      <c r="BS97" s="623">
        <f>+BR102</f>
        <v>647.28815419610157</v>
      </c>
      <c r="BT97" s="623">
        <f>+BS102</f>
        <v>655.82399997019672</v>
      </c>
      <c r="BU97" s="615">
        <f>+BO102</f>
        <v>630.91899999999998</v>
      </c>
      <c r="BV97" s="623"/>
      <c r="BW97" s="623">
        <f>+BU102</f>
        <v>665.39903408146267</v>
      </c>
      <c r="BX97" s="623">
        <f>+BW102</f>
        <v>673.69150038660109</v>
      </c>
      <c r="BY97" s="623">
        <f>+BX102</f>
        <v>682.86695903697989</v>
      </c>
      <c r="BZ97" s="623">
        <f>+BY102</f>
        <v>692.04902351928069</v>
      </c>
      <c r="CA97" s="615">
        <f>+BU102</f>
        <v>665.39903408146267</v>
      </c>
      <c r="CB97" s="623"/>
      <c r="CC97" s="623">
        <f>+CA102</f>
        <v>702.3586985377159</v>
      </c>
      <c r="CD97" s="623">
        <f>+CC102</f>
        <v>711.24903610442732</v>
      </c>
      <c r="CE97" s="623">
        <f>+CD102</f>
        <v>721.10481390132827</v>
      </c>
      <c r="CF97" s="623">
        <f>+CE102</f>
        <v>730.94559502670484</v>
      </c>
      <c r="CG97" s="615">
        <f>+CA102</f>
        <v>702.3586985377159</v>
      </c>
      <c r="CH97" s="623"/>
      <c r="CI97" s="623">
        <f>+CG102</f>
        <v>741.94249823121959</v>
      </c>
      <c r="CJ97" s="623">
        <f>+CI102</f>
        <v>751.31002712831526</v>
      </c>
      <c r="CK97" s="623">
        <f>+CJ102</f>
        <v>761.69583196912902</v>
      </c>
      <c r="CL97" s="623">
        <f>+CK102</f>
        <v>772.10368095575166</v>
      </c>
      <c r="CM97" s="615">
        <f>+CG102</f>
        <v>741.94249823121959</v>
      </c>
      <c r="CN97" s="94"/>
      <c r="CO97" s="94"/>
      <c r="CP97" s="94"/>
      <c r="CQ97" s="94"/>
    </row>
    <row r="98" spans="1:101" ht="12.75" hidden="1" customHeight="1" outlineLevel="1">
      <c r="A98" s="558" t="s">
        <v>287</v>
      </c>
      <c r="B98" s="763"/>
      <c r="C98" s="697">
        <f>-CFS!C29</f>
        <v>11.393000000000001</v>
      </c>
      <c r="D98" s="697">
        <f>-CFS!D29</f>
        <v>16.123999999999999</v>
      </c>
      <c r="E98" s="697">
        <f>-CFS!E29</f>
        <v>10.471</v>
      </c>
      <c r="F98" s="697">
        <f>-CFS!F29</f>
        <v>6.5260000000000034</v>
      </c>
      <c r="G98" s="756">
        <f>+SUM(C98:F98)</f>
        <v>44.514000000000003</v>
      </c>
      <c r="H98" s="764"/>
      <c r="I98" s="697">
        <f>-CFS!I29</f>
        <v>6.7030000000000003</v>
      </c>
      <c r="J98" s="697">
        <f>-CFS!J29</f>
        <v>11.193000000000001</v>
      </c>
      <c r="K98" s="697">
        <f>-CFS!K29</f>
        <v>13.725999999999999</v>
      </c>
      <c r="L98" s="697">
        <f>-CFS!L29</f>
        <v>11.703000000000003</v>
      </c>
      <c r="M98" s="756">
        <f>+SUM(I98:L98)</f>
        <v>43.325000000000003</v>
      </c>
      <c r="N98" s="764"/>
      <c r="O98" s="697">
        <f>-CFS!O29</f>
        <v>5.1230000000000002</v>
      </c>
      <c r="P98" s="697">
        <f>-CFS!P29</f>
        <v>7.5200000000000005</v>
      </c>
      <c r="Q98" s="697">
        <f>-CFS!Q29</f>
        <v>2.1769999999999996</v>
      </c>
      <c r="R98" s="697">
        <f>-CFS!R29</f>
        <v>16.866</v>
      </c>
      <c r="S98" s="756">
        <f>+SUM(O98:R98)</f>
        <v>31.686</v>
      </c>
      <c r="T98" s="764"/>
      <c r="U98" s="697">
        <f>-CFS!U29</f>
        <v>7.5010000000000003</v>
      </c>
      <c r="V98" s="697">
        <f>-CFS!V29</f>
        <v>6.3310000000000004</v>
      </c>
      <c r="W98" s="697">
        <f>-CFS!W29</f>
        <v>9.0500000000000007</v>
      </c>
      <c r="X98" s="697">
        <f>-CFS!X29</f>
        <v>10.763999999999999</v>
      </c>
      <c r="Y98" s="756">
        <f>+SUM(U98:X98)</f>
        <v>33.646000000000001</v>
      </c>
      <c r="Z98" s="764"/>
      <c r="AA98" s="697">
        <f>-CFS!AA29</f>
        <v>7.681</v>
      </c>
      <c r="AB98" s="697">
        <f>-CFS!AB29</f>
        <v>8.2890000000000015</v>
      </c>
      <c r="AC98" s="697">
        <f>-CFS!AC29</f>
        <v>9.0089999999999968</v>
      </c>
      <c r="AD98" s="697">
        <f>-CFS!AD29</f>
        <v>5.6129999999999995</v>
      </c>
      <c r="AE98" s="756">
        <f>SUM(AA98:AD98)</f>
        <v>30.591999999999999</v>
      </c>
      <c r="AF98" s="764"/>
      <c r="AG98" s="697">
        <f>-CFS!AG29</f>
        <v>5.2279999999999998</v>
      </c>
      <c r="AH98" s="697">
        <f>-CFS!AH29</f>
        <v>6.2210000000000001</v>
      </c>
      <c r="AI98" s="697">
        <f>-CFS!AI29</f>
        <v>12.901</v>
      </c>
      <c r="AJ98" s="697">
        <f>-CFS!AJ29</f>
        <v>18.058</v>
      </c>
      <c r="AK98" s="615">
        <f>SUM(AG98:AJ98)</f>
        <v>42.408000000000001</v>
      </c>
      <c r="AL98" s="765"/>
      <c r="AM98" s="697">
        <f>-CFS!AM29</f>
        <v>11.829000000000001</v>
      </c>
      <c r="AN98" s="697">
        <f>-CFS!AN29</f>
        <v>11.023</v>
      </c>
      <c r="AO98" s="697">
        <f>-CFS!AO29</f>
        <v>8.7119999999999997</v>
      </c>
      <c r="AP98" s="697">
        <f>-CFS!AP29</f>
        <v>7.4269999999999996</v>
      </c>
      <c r="AQ98" s="615">
        <f>SUM(AM98:AP98)</f>
        <v>38.991</v>
      </c>
      <c r="AR98" s="765"/>
      <c r="AS98" s="697">
        <f>-CFS!AS29</f>
        <v>6.02</v>
      </c>
      <c r="AT98" s="697">
        <f>-CFS!AT29</f>
        <v>8.4269999999999996</v>
      </c>
      <c r="AU98" s="697">
        <f>-CFS!AU29</f>
        <v>7.7669999999999995</v>
      </c>
      <c r="AV98" s="697">
        <f>-CFS!AV29</f>
        <v>6.8580000000000005</v>
      </c>
      <c r="AW98" s="615">
        <f>SUM(AS98:AV98)</f>
        <v>29.071999999999999</v>
      </c>
      <c r="AX98" s="765"/>
      <c r="AY98" s="697">
        <f>-CFS!AY29</f>
        <v>4.4790000000000001</v>
      </c>
      <c r="AZ98" s="697">
        <f>-CFS!AZ29</f>
        <v>5.62</v>
      </c>
      <c r="BA98" s="697">
        <f>-CFS!BA29</f>
        <v>7.7149999999999999</v>
      </c>
      <c r="BB98" s="697">
        <f>-CFS!BB29</f>
        <v>11.818000000000001</v>
      </c>
      <c r="BC98" s="615">
        <f>SUM(AY98:BB98)</f>
        <v>29.632000000000001</v>
      </c>
      <c r="BD98" s="765"/>
      <c r="BE98" s="697">
        <f>-CFS!BE29</f>
        <v>7.8079999999999998</v>
      </c>
      <c r="BF98" s="697">
        <f>-CFS!BF29</f>
        <v>8.5120000000000005</v>
      </c>
      <c r="BG98" s="697">
        <f>-CFS!BG29</f>
        <v>8.9909999999999997</v>
      </c>
      <c r="BH98" s="697">
        <f>-CFS!BH29</f>
        <v>6.3910000000000018</v>
      </c>
      <c r="BI98" s="615">
        <f>SUM(BE98:BH98)</f>
        <v>31.702000000000002</v>
      </c>
      <c r="BJ98" s="765"/>
      <c r="BK98" s="697">
        <f>-CFS!BK29</f>
        <v>5.9809999999999999</v>
      </c>
      <c r="BL98" s="697">
        <f>-CFS!BL29</f>
        <v>5.4920000000000009</v>
      </c>
      <c r="BM98" s="697">
        <f>-CFS!BM29</f>
        <v>10.888999999999998</v>
      </c>
      <c r="BN98" s="697">
        <f>-CFS!BN29</f>
        <v>16.727</v>
      </c>
      <c r="BO98" s="615">
        <f>SUM(BK98:BN98)</f>
        <v>39.088999999999999</v>
      </c>
      <c r="BP98" s="765"/>
      <c r="BQ98" s="623">
        <f>BQ99*IS!BQ11</f>
        <v>7.7957460674019021</v>
      </c>
      <c r="BR98" s="623">
        <f>BR99*IS!BR11</f>
        <v>8.5734081286997643</v>
      </c>
      <c r="BS98" s="623">
        <f>BS99*IS!BS11</f>
        <v>8.5358457740951152</v>
      </c>
      <c r="BT98" s="623">
        <f>BT99*IS!BT11</f>
        <v>9.575034111265893</v>
      </c>
      <c r="BU98" s="615">
        <f>SUM(BQ98:BT98)</f>
        <v>34.480034081462676</v>
      </c>
      <c r="BV98" s="623"/>
      <c r="BW98" s="623">
        <f>BW99*IS!BW11</f>
        <v>8.2924663051383654</v>
      </c>
      <c r="BX98" s="623">
        <f>BX99*IS!BX11</f>
        <v>9.1754586503787632</v>
      </c>
      <c r="BY98" s="623">
        <f>BY99*IS!BY11</f>
        <v>9.1820644823007651</v>
      </c>
      <c r="BZ98" s="623">
        <f>BZ99*IS!BZ11</f>
        <v>10.309675018435351</v>
      </c>
      <c r="CA98" s="615">
        <f>SUM(BW98:BZ98)</f>
        <v>36.959664456253243</v>
      </c>
      <c r="CB98" s="623"/>
      <c r="CC98" s="623">
        <f>CC99*IS!CC11</f>
        <v>8.8903375667114641</v>
      </c>
      <c r="CD98" s="623">
        <f>CD99*IS!CD11</f>
        <v>9.8557777969009734</v>
      </c>
      <c r="CE98" s="623">
        <f>CE99*IS!CE11</f>
        <v>9.8407811253765729</v>
      </c>
      <c r="CF98" s="623">
        <f>CF99*IS!CF11</f>
        <v>10.996903204514691</v>
      </c>
      <c r="CG98" s="615">
        <f>SUM(CC98:CF98)</f>
        <v>39.583799693503707</v>
      </c>
      <c r="CH98" s="623"/>
      <c r="CI98" s="623">
        <f>CI99*IS!CI11</f>
        <v>9.3675288970957187</v>
      </c>
      <c r="CJ98" s="623">
        <f>CJ99*IS!CJ11</f>
        <v>10.385804840813783</v>
      </c>
      <c r="CK98" s="623">
        <f>CK99*IS!CK11</f>
        <v>10.407848986622694</v>
      </c>
      <c r="CL98" s="623">
        <f>CL99*IS!CL11</f>
        <v>11.621617541657841</v>
      </c>
      <c r="CM98" s="615">
        <f>SUM(CI98:CL98)</f>
        <v>41.782800266190037</v>
      </c>
      <c r="CN98" s="94"/>
      <c r="CO98" s="94"/>
      <c r="CP98" s="94"/>
      <c r="CQ98" s="94"/>
    </row>
    <row r="99" spans="1:101" s="831" customFormat="1" ht="12.75" hidden="1" customHeight="1" outlineLevel="1">
      <c r="A99" s="1630" t="s">
        <v>288</v>
      </c>
      <c r="B99" s="1631"/>
      <c r="C99" s="332">
        <f>+C98/IS!C11</f>
        <v>2.8277488210474065E-2</v>
      </c>
      <c r="D99" s="332">
        <f>+D98/IS!D11</f>
        <v>3.6872555969722609E-2</v>
      </c>
      <c r="E99" s="332">
        <f>+E98/IS!E11</f>
        <v>2.4034356436552603E-2</v>
      </c>
      <c r="F99" s="332">
        <f>+F98/IS!F11</f>
        <v>1.3576176161599356E-2</v>
      </c>
      <c r="G99" s="766">
        <f>+G98/IS!G11</f>
        <v>2.534167770628043E-2</v>
      </c>
      <c r="H99" s="1632"/>
      <c r="I99" s="332">
        <f>+I98/IS!I11</f>
        <v>1.461239972096268E-2</v>
      </c>
      <c r="J99" s="332">
        <f>+J98/IS!J11</f>
        <v>2.2165892685631679E-2</v>
      </c>
      <c r="K99" s="332">
        <f>+K98/IS!K11</f>
        <v>2.8670675743137815E-2</v>
      </c>
      <c r="L99" s="332">
        <f>+L98/IS!L11</f>
        <v>2.3412087142657096E-2</v>
      </c>
      <c r="M99" s="766">
        <f>+M98/IS!M11</f>
        <v>2.2306005966116496E-2</v>
      </c>
      <c r="N99" s="1632"/>
      <c r="O99" s="332">
        <f>+O98/IS!O11</f>
        <v>1.1772762474233438E-2</v>
      </c>
      <c r="P99" s="332">
        <f>+P98/IS!P11</f>
        <v>1.7158372692632397E-2</v>
      </c>
      <c r="Q99" s="332">
        <f>+Q98/IS!Q11</f>
        <v>5.773984447108498E-3</v>
      </c>
      <c r="R99" s="332">
        <f>+R98/IS!R11</f>
        <v>5.6163275092156933E-2</v>
      </c>
      <c r="S99" s="766">
        <f>+S98/IS!S11</f>
        <v>2.0432483043863484E-2</v>
      </c>
      <c r="T99" s="1632"/>
      <c r="U99" s="332">
        <f>+U98/IS!U11</f>
        <v>1.9056450383618719E-2</v>
      </c>
      <c r="V99" s="332">
        <f>+V98/IS!V11</f>
        <v>1.5009661091288422E-2</v>
      </c>
      <c r="W99" s="332">
        <f>+W98/IS!W11</f>
        <v>2.1582304894771358E-2</v>
      </c>
      <c r="X99" s="332">
        <f>+X98/IS!X11</f>
        <v>2.2885572139303485E-2</v>
      </c>
      <c r="Y99" s="766">
        <f>+Y98/IS!Y11</f>
        <v>1.9732798461069276E-2</v>
      </c>
      <c r="Z99" s="1632"/>
      <c r="AA99" s="332">
        <f>+AA98/IS!AA11</f>
        <v>1.589647115310986E-2</v>
      </c>
      <c r="AB99" s="332">
        <f>+AB98/IS!AB11</f>
        <v>1.5830998504563661E-2</v>
      </c>
      <c r="AC99" s="332">
        <f>+AC98/IS!AC11</f>
        <v>1.8025137954630028E-2</v>
      </c>
      <c r="AD99" s="332">
        <f>+AD98/IS!AD11</f>
        <v>1.0134384868296329E-2</v>
      </c>
      <c r="AE99" s="766">
        <f>+AE98/IS!AE11</f>
        <v>1.4847306960014871E-2</v>
      </c>
      <c r="AF99" s="1632"/>
      <c r="AG99" s="332">
        <f>+AG98/IS!AG11</f>
        <v>1.0105090623024837E-2</v>
      </c>
      <c r="AH99" s="332">
        <f>+AH98/IS!AH11</f>
        <v>1.168805060751184E-2</v>
      </c>
      <c r="AI99" s="332">
        <f>+AI98/IS!AI11</f>
        <v>2.505822185878747E-2</v>
      </c>
      <c r="AJ99" s="332">
        <f>+AJ98/IS!AJ11</f>
        <v>3.1296523205493268E-2</v>
      </c>
      <c r="AK99" s="766">
        <f>+AK98/IS!AK11</f>
        <v>1.9803367244871944E-2</v>
      </c>
      <c r="AL99" s="1633"/>
      <c r="AM99" s="332">
        <f>+AM98/IS!AM11</f>
        <v>2.3317103940391475E-2</v>
      </c>
      <c r="AN99" s="332">
        <f>+AN98/IS!AN11</f>
        <v>2.0245301870435942E-2</v>
      </c>
      <c r="AO99" s="332">
        <f>+AO98/IS!AO11</f>
        <v>1.6657907158832704E-2</v>
      </c>
      <c r="AP99" s="332">
        <f>+AP98/IS!AP11</f>
        <v>1.2502967076810671E-2</v>
      </c>
      <c r="AQ99" s="766">
        <f>+AQ98/IS!AQ11</f>
        <v>1.797817882608491E-2</v>
      </c>
      <c r="AR99" s="1633"/>
      <c r="AS99" s="332">
        <f>+AS98/IS!AS11</f>
        <v>1.1314023295100346E-2</v>
      </c>
      <c r="AT99" s="332">
        <f>+AT98/IS!AT11</f>
        <v>1.5140283240293774E-2</v>
      </c>
      <c r="AU99" s="332">
        <f>+AU98/IS!AU11</f>
        <v>1.4306572051539708E-2</v>
      </c>
      <c r="AV99" s="332">
        <f>+AV98/IS!AV11</f>
        <v>1.1268053911896973E-2</v>
      </c>
      <c r="AW99" s="766">
        <f>+AW98/IS!AW11</f>
        <v>1.297742265253716E-2</v>
      </c>
      <c r="AX99" s="1633"/>
      <c r="AY99" s="332">
        <f>+AY98/IS!AY11</f>
        <v>9.2462614468675416E-3</v>
      </c>
      <c r="AZ99" s="332">
        <f>+AZ98/IS!AZ11</f>
        <v>1.0695329642619938E-2</v>
      </c>
      <c r="BA99" s="332">
        <f>+BA98/IS!BA11</f>
        <v>1.4676424317018374E-2</v>
      </c>
      <c r="BB99" s="332">
        <f>+BB98/IS!BB11</f>
        <v>2.0730714716737538E-2</v>
      </c>
      <c r="BC99" s="766">
        <f>+BC98/IS!BC11</f>
        <v>1.4072814657915485E-2</v>
      </c>
      <c r="BD99" s="1633"/>
      <c r="BE99" s="332">
        <f>+BE98/IS!BE11</f>
        <v>1.5672703842502172E-2</v>
      </c>
      <c r="BF99" s="332">
        <f>+BF98/IS!BF11</f>
        <v>1.5868222170024125E-2</v>
      </c>
      <c r="BG99" s="332">
        <f>+BG98/IS!BG11</f>
        <v>1.7469616158083415E-2</v>
      </c>
      <c r="BH99" s="332">
        <f>+BH98/IS!BH11</f>
        <v>1.1272519463660195E-2</v>
      </c>
      <c r="BI99" s="766">
        <f>+BI98/IS!BI11</f>
        <v>1.498042743976547E-2</v>
      </c>
      <c r="BJ99" s="1633"/>
      <c r="BK99" s="332">
        <f>+BK98/IS!BK11</f>
        <v>1.1629399183356018E-2</v>
      </c>
      <c r="BL99" s="332">
        <f>+BL98/IS!BL11</f>
        <v>1.0037503563935171E-2</v>
      </c>
      <c r="BM99" s="332">
        <f>+BM98/IS!BM11</f>
        <v>1.9638927965948846E-2</v>
      </c>
      <c r="BN99" s="332">
        <f>+BN98/IS!BN11</f>
        <v>2.606186479365678E-2</v>
      </c>
      <c r="BO99" s="766">
        <f>+BO98/IS!BO11</f>
        <v>1.7313430720366105E-2</v>
      </c>
      <c r="BP99" s="1633"/>
      <c r="BQ99" s="1545">
        <v>1.2500000000000001E-2</v>
      </c>
      <c r="BR99" s="1545">
        <f>+BQ99</f>
        <v>1.2500000000000001E-2</v>
      </c>
      <c r="BS99" s="1545">
        <f>+BR99</f>
        <v>1.2500000000000001E-2</v>
      </c>
      <c r="BT99" s="1545">
        <f>+BS99</f>
        <v>1.2500000000000001E-2</v>
      </c>
      <c r="BU99" s="766">
        <f>+BU98/IS!BU11</f>
        <v>1.2500000000000001E-2</v>
      </c>
      <c r="BV99" s="332"/>
      <c r="BW99" s="1545">
        <v>1.2500000000000001E-2</v>
      </c>
      <c r="BX99" s="1545">
        <f>+BW99</f>
        <v>1.2500000000000001E-2</v>
      </c>
      <c r="BY99" s="1545">
        <f>+BX99</f>
        <v>1.2500000000000001E-2</v>
      </c>
      <c r="BZ99" s="1545">
        <f>+BY99</f>
        <v>1.2500000000000001E-2</v>
      </c>
      <c r="CA99" s="766">
        <f>+CA98/IS!CA11</f>
        <v>1.2499999999999999E-2</v>
      </c>
      <c r="CB99" s="332"/>
      <c r="CC99" s="1545">
        <v>1.2500000000000001E-2</v>
      </c>
      <c r="CD99" s="1545">
        <f>+CC99</f>
        <v>1.2500000000000001E-2</v>
      </c>
      <c r="CE99" s="1545">
        <f>+CD99</f>
        <v>1.2500000000000001E-2</v>
      </c>
      <c r="CF99" s="1545">
        <f>+CE99</f>
        <v>1.2500000000000001E-2</v>
      </c>
      <c r="CG99" s="766">
        <f>+CG98/IS!CG11</f>
        <v>1.2500000000000002E-2</v>
      </c>
      <c r="CH99" s="332"/>
      <c r="CI99" s="1545">
        <v>1.2500000000000001E-2</v>
      </c>
      <c r="CJ99" s="1545">
        <f>+CI99</f>
        <v>1.2500000000000001E-2</v>
      </c>
      <c r="CK99" s="1545">
        <f>+CJ99</f>
        <v>1.2500000000000001E-2</v>
      </c>
      <c r="CL99" s="1545">
        <f>+CK99</f>
        <v>1.2500000000000001E-2</v>
      </c>
      <c r="CM99" s="766">
        <f>+CM98/IS!CM11</f>
        <v>1.2500000000000002E-2</v>
      </c>
      <c r="CN99" s="1634"/>
      <c r="CO99" s="1634"/>
      <c r="CP99" s="1634"/>
      <c r="CQ99" s="1634"/>
      <c r="CR99"/>
      <c r="CS99"/>
      <c r="CT99"/>
      <c r="CU99"/>
      <c r="CV99"/>
      <c r="CW99"/>
    </row>
    <row r="100" spans="1:101" ht="12.75" hidden="1" customHeight="1" outlineLevel="1">
      <c r="A100" s="558" t="s">
        <v>289</v>
      </c>
      <c r="B100" s="139"/>
      <c r="C100" s="621">
        <v>0</v>
      </c>
      <c r="D100" s="621">
        <v>0</v>
      </c>
      <c r="E100" s="621">
        <v>0</v>
      </c>
      <c r="F100" s="621">
        <v>0</v>
      </c>
      <c r="G100" s="600">
        <f>+SUM(C100:F100)</f>
        <v>0</v>
      </c>
      <c r="H100" s="765"/>
      <c r="I100" s="621">
        <v>0</v>
      </c>
      <c r="J100" s="621">
        <v>0</v>
      </c>
      <c r="K100" s="621">
        <v>0</v>
      </c>
      <c r="L100" s="621">
        <v>0</v>
      </c>
      <c r="M100" s="600">
        <f>+SUM(I100:L100)</f>
        <v>0</v>
      </c>
      <c r="N100" s="765"/>
      <c r="O100" s="621">
        <v>0</v>
      </c>
      <c r="P100" s="621">
        <v>0</v>
      </c>
      <c r="Q100" s="621">
        <v>0</v>
      </c>
      <c r="R100" s="621">
        <v>0</v>
      </c>
      <c r="S100" s="600">
        <f>+SUM(O100:R100)</f>
        <v>0</v>
      </c>
      <c r="T100" s="765"/>
      <c r="U100" s="621">
        <v>0</v>
      </c>
      <c r="V100" s="621">
        <v>0</v>
      </c>
      <c r="W100" s="621">
        <v>0</v>
      </c>
      <c r="X100" s="621">
        <v>0</v>
      </c>
      <c r="Y100" s="600">
        <f>+SUM(U100:X100)</f>
        <v>0</v>
      </c>
      <c r="Z100" s="765"/>
      <c r="AA100" s="621">
        <v>0</v>
      </c>
      <c r="AB100" s="621">
        <v>0</v>
      </c>
      <c r="AC100" s="621">
        <v>0</v>
      </c>
      <c r="AD100" s="621">
        <v>0</v>
      </c>
      <c r="AE100" s="615">
        <f>SUM(AA100:AD100)</f>
        <v>0</v>
      </c>
      <c r="AF100" s="765"/>
      <c r="AG100" s="621">
        <v>0</v>
      </c>
      <c r="AH100" s="621">
        <v>0</v>
      </c>
      <c r="AI100" s="621">
        <v>0</v>
      </c>
      <c r="AJ100" s="621">
        <v>0</v>
      </c>
      <c r="AK100" s="615">
        <f>SUM(AG100:AJ100)</f>
        <v>0</v>
      </c>
      <c r="AL100" s="765"/>
      <c r="AM100" s="621">
        <v>0</v>
      </c>
      <c r="AN100" s="621">
        <v>0</v>
      </c>
      <c r="AO100" s="621">
        <v>0</v>
      </c>
      <c r="AP100" s="621">
        <v>0</v>
      </c>
      <c r="AQ100" s="615">
        <f>SUM(AM100:AP100)</f>
        <v>0</v>
      </c>
      <c r="AR100" s="765"/>
      <c r="AS100" s="621">
        <v>0</v>
      </c>
      <c r="AT100" s="621">
        <v>0</v>
      </c>
      <c r="AU100" s="621">
        <v>0</v>
      </c>
      <c r="AV100" s="621">
        <v>0</v>
      </c>
      <c r="AW100" s="615">
        <f>SUM(AS100:AV100)</f>
        <v>0</v>
      </c>
      <c r="AX100" s="765"/>
      <c r="AY100" s="621">
        <v>0</v>
      </c>
      <c r="AZ100" s="621">
        <v>0</v>
      </c>
      <c r="BA100" s="621">
        <v>0</v>
      </c>
      <c r="BB100" s="621">
        <v>0</v>
      </c>
      <c r="BC100" s="615">
        <f>SUM(AY100:BB100)</f>
        <v>0</v>
      </c>
      <c r="BD100" s="765"/>
      <c r="BE100" s="621">
        <v>0</v>
      </c>
      <c r="BF100" s="621">
        <v>0</v>
      </c>
      <c r="BG100" s="621">
        <v>0</v>
      </c>
      <c r="BH100" s="621">
        <v>0</v>
      </c>
      <c r="BI100" s="615">
        <f>SUM(BE100:BH100)</f>
        <v>0</v>
      </c>
      <c r="BJ100" s="765"/>
      <c r="BK100" s="621">
        <v>0</v>
      </c>
      <c r="BL100" s="621">
        <v>0</v>
      </c>
      <c r="BM100" s="621">
        <v>0</v>
      </c>
      <c r="BN100" s="621">
        <v>0</v>
      </c>
      <c r="BO100" s="615">
        <f>SUM(BK100:BN100)</f>
        <v>0</v>
      </c>
      <c r="BP100" s="765"/>
      <c r="BQ100" s="693">
        <f>BQ135*-CFS!BQ31</f>
        <v>0</v>
      </c>
      <c r="BR100" s="693">
        <f>BR135*-CFS!BR31</f>
        <v>0</v>
      </c>
      <c r="BS100" s="693">
        <f>BS135*-CFS!BS31</f>
        <v>0</v>
      </c>
      <c r="BT100" s="693">
        <f>BT135*-CFS!BT31</f>
        <v>0</v>
      </c>
      <c r="BU100" s="615">
        <f>SUM(BQ100:BT100)</f>
        <v>0</v>
      </c>
      <c r="BV100" s="623"/>
      <c r="BW100" s="693">
        <f>BW135*-CFS!BW31</f>
        <v>0</v>
      </c>
      <c r="BX100" s="693">
        <f>BX135*-CFS!BX31</f>
        <v>0</v>
      </c>
      <c r="BY100" s="693">
        <f>BY135*-CFS!BY31</f>
        <v>0</v>
      </c>
      <c r="BZ100" s="693">
        <f>BZ135*-CFS!BZ31</f>
        <v>0</v>
      </c>
      <c r="CA100" s="615">
        <f>SUM(BW100:BZ100)</f>
        <v>0</v>
      </c>
      <c r="CB100" s="623"/>
      <c r="CC100" s="693">
        <f>CC135*-CFS!CC31</f>
        <v>0</v>
      </c>
      <c r="CD100" s="693">
        <f>CD135*-CFS!CD31</f>
        <v>0</v>
      </c>
      <c r="CE100" s="693">
        <f>CE135*-CFS!CE31</f>
        <v>0</v>
      </c>
      <c r="CF100" s="693">
        <f>CF135*-CFS!CF31</f>
        <v>0</v>
      </c>
      <c r="CG100" s="615">
        <f>SUM(CC100:CF100)</f>
        <v>0</v>
      </c>
      <c r="CH100" s="623"/>
      <c r="CI100" s="693">
        <f>CI135*-CFS!CI31</f>
        <v>0</v>
      </c>
      <c r="CJ100" s="693">
        <f>CJ135*-CFS!CJ31</f>
        <v>0</v>
      </c>
      <c r="CK100" s="693">
        <f>CK135*-CFS!CK31</f>
        <v>0</v>
      </c>
      <c r="CL100" s="693">
        <f>CL135*-CFS!CL31</f>
        <v>0</v>
      </c>
      <c r="CM100" s="615">
        <f>SUM(CI100:CL100)</f>
        <v>0</v>
      </c>
      <c r="CN100" s="94"/>
      <c r="CO100" s="94"/>
      <c r="CP100" s="94"/>
      <c r="CQ100" s="94"/>
    </row>
    <row r="101" spans="1:101" ht="12.75" hidden="1" customHeight="1" outlineLevel="1">
      <c r="A101" s="558" t="s">
        <v>290</v>
      </c>
      <c r="B101" s="139"/>
      <c r="C101" s="623">
        <f>+C102-C97-C98-C100</f>
        <v>-4.0170000000000243</v>
      </c>
      <c r="D101" s="623">
        <f>+D102-D97-D98-D100</f>
        <v>-4.5699999999999115</v>
      </c>
      <c r="E101" s="623">
        <f>+E102-E97-E98-E100</f>
        <v>3.1769999999999108</v>
      </c>
      <c r="F101" s="623">
        <f>+F102-F97-F98-F100</f>
        <v>-4.940999999999967</v>
      </c>
      <c r="G101" s="615">
        <f>+G102-G97-G98-G100</f>
        <v>-10.350999999999992</v>
      </c>
      <c r="H101" s="765"/>
      <c r="I101" s="623">
        <f>+I102-I97-I98-I100</f>
        <v>32.716999999999956</v>
      </c>
      <c r="J101" s="623">
        <f>+J102-J97-J98-J100</f>
        <v>0.38600000000006318</v>
      </c>
      <c r="K101" s="623">
        <f>+K102-K97-K98-K100</f>
        <v>-13.988000000000056</v>
      </c>
      <c r="L101" s="623">
        <f>+L102-L97-L98-L100</f>
        <v>-47.390999999999991</v>
      </c>
      <c r="M101" s="615">
        <f>+M102-M97-M98-M100</f>
        <v>-28.276000000000025</v>
      </c>
      <c r="N101" s="765"/>
      <c r="O101" s="623">
        <f>+O102-O97-O98-O100</f>
        <v>-18.920000000000027</v>
      </c>
      <c r="P101" s="623">
        <f>+P102-P97-P98-P100</f>
        <v>13.402000000000026</v>
      </c>
      <c r="Q101" s="623">
        <f>+Q102-Q97-Q98-Q100</f>
        <v>25.209999999999944</v>
      </c>
      <c r="R101" s="623">
        <f>+R102-R97-R98-R100</f>
        <v>-233.06099999999992</v>
      </c>
      <c r="S101" s="615">
        <f>+S102-S97-S98-S100</f>
        <v>-213.369</v>
      </c>
      <c r="T101" s="765"/>
      <c r="U101" s="623">
        <f>+U102-U97-U98-U100</f>
        <v>196.85800000000003</v>
      </c>
      <c r="V101" s="623">
        <f>+V102-V97-V98-V100</f>
        <v>-8.101000000000095</v>
      </c>
      <c r="W101" s="623">
        <f>+W102-W97-W98-W100</f>
        <v>-189.96599999999995</v>
      </c>
      <c r="X101" s="623">
        <f>+X102-X97-X98-X100</f>
        <v>-8.2650000000000325</v>
      </c>
      <c r="Y101" s="615">
        <f>+Y102-Y97-Y98-Y100</f>
        <v>-9.4739999999999753</v>
      </c>
      <c r="Z101" s="765"/>
      <c r="AA101" s="623">
        <f>+AA102-AA97-AA98-AA100</f>
        <v>7.4880000000000395</v>
      </c>
      <c r="AB101" s="623">
        <f>+AB102-AB97-AB98-AB100</f>
        <v>2.3070000000000022</v>
      </c>
      <c r="AC101" s="623">
        <f>+AC102-AC97-AC98-AC100</f>
        <v>-9.8830000000000204</v>
      </c>
      <c r="AD101" s="623">
        <f>+AD102-AD97-AD98-AD100</f>
        <v>4.6140000000000327</v>
      </c>
      <c r="AE101" s="615">
        <f>SUM(AA101:AD101)</f>
        <v>4.5260000000000531</v>
      </c>
      <c r="AF101" s="765"/>
      <c r="AG101" s="623">
        <f>+AG102-AG97-AG98-AG100</f>
        <v>-18.599000000000039</v>
      </c>
      <c r="AH101" s="623">
        <f>+AH102-AH97-AH98-AH100</f>
        <v>-2.2770000000000401</v>
      </c>
      <c r="AI101" s="623">
        <f>+AI102-AI97-AI98-AI100</f>
        <v>22.089000000000009</v>
      </c>
      <c r="AJ101" s="623">
        <f>+AJ102-AJ97-AJ98-AJ100</f>
        <v>17.905000000000079</v>
      </c>
      <c r="AK101" s="615">
        <f>SUM(AG101:AJ101)</f>
        <v>19.118000000000009</v>
      </c>
      <c r="AL101" s="765"/>
      <c r="AM101" s="623">
        <f>+AM102-AM97-AM98-AM100</f>
        <v>-6.1350000000000406</v>
      </c>
      <c r="AN101" s="623">
        <f>+AN102-AN97-AN98-AN100</f>
        <v>-2.1449999999999569</v>
      </c>
      <c r="AO101" s="623">
        <f>+AO102-AO97-AO98-AO100</f>
        <v>-28.352000000000043</v>
      </c>
      <c r="AP101" s="623">
        <f>+AP102-AP97-AP98-AP100</f>
        <v>-11.654000000000032</v>
      </c>
      <c r="AQ101" s="615">
        <f>SUM(AM101:AP101)</f>
        <v>-48.286000000000072</v>
      </c>
      <c r="AR101" s="765"/>
      <c r="AS101" s="623">
        <f>+AS102-AS97-AS98-AS100</f>
        <v>-2.7390000000000505</v>
      </c>
      <c r="AT101" s="623">
        <f>+AT102-AT97-AT98-AT100</f>
        <v>-8.1920000000000428</v>
      </c>
      <c r="AU101" s="623">
        <f>+AU102-AU97-AU98-AU100</f>
        <v>-9.5619999999999585</v>
      </c>
      <c r="AV101" s="380">
        <f>+AV102-AV97-AV98-AV100</f>
        <v>-19.949000000000066</v>
      </c>
      <c r="AW101" s="615">
        <f>SUM(AS101:AV101)</f>
        <v>-40.442000000000121</v>
      </c>
      <c r="AX101" s="765"/>
      <c r="AY101" s="623">
        <f>+AY102-AY97-AY98-AY100</f>
        <v>1.7970000000000672</v>
      </c>
      <c r="AZ101" s="623">
        <f>+AZ102-AZ97-AZ98-AZ100</f>
        <v>-12.213000000000019</v>
      </c>
      <c r="BA101" s="623">
        <f>+BA102-BA97-BA98-BA100</f>
        <v>-5.4439999999999849</v>
      </c>
      <c r="BB101" s="623">
        <f>+BB102-BB97-BB98-BB100</f>
        <v>-11.630000000000013</v>
      </c>
      <c r="BC101" s="615">
        <f>SUM(AY101:BB101)</f>
        <v>-27.489999999999949</v>
      </c>
      <c r="BD101" s="765"/>
      <c r="BE101" s="623">
        <f>+BE102-BE97-BE98-BE100</f>
        <v>5.0100000000000406</v>
      </c>
      <c r="BF101" s="623">
        <f>+BF102-BF97-BF98-BF100</f>
        <v>-7.3330000000000268</v>
      </c>
      <c r="BG101" s="623">
        <f>+BG102-BG97-BG98-BG100</f>
        <v>7.451999999999984</v>
      </c>
      <c r="BH101" s="623">
        <f>+BH102-BH97-BH98-BH100</f>
        <v>-103.88399999999994</v>
      </c>
      <c r="BI101" s="615">
        <f>SUM(BE101:BH101)</f>
        <v>-98.754999999999939</v>
      </c>
      <c r="BJ101" s="765"/>
      <c r="BK101" s="623">
        <f>+BK102-BK97-BK98-BK100</f>
        <v>15.421999999999963</v>
      </c>
      <c r="BL101" s="623">
        <f>+BL102-BL97-BL98-BL100</f>
        <v>5.9519999999999591</v>
      </c>
      <c r="BM101" s="623">
        <f>+BM102-BM97-BM98-BM100</f>
        <v>3.466999999999997</v>
      </c>
      <c r="BN101" s="623">
        <f>+BN102-BN97-BN98-BN100</f>
        <v>139.08599999999998</v>
      </c>
      <c r="BO101" s="615">
        <f>SUM(BK101:BN101)</f>
        <v>163.92699999999991</v>
      </c>
      <c r="BP101" s="765"/>
      <c r="BQ101" s="621">
        <v>0</v>
      </c>
      <c r="BR101" s="621">
        <v>0</v>
      </c>
      <c r="BS101" s="621">
        <v>0</v>
      </c>
      <c r="BT101" s="621">
        <v>0</v>
      </c>
      <c r="BU101" s="615">
        <f>SUM(BQ101:BT101)</f>
        <v>0</v>
      </c>
      <c r="BV101" s="623"/>
      <c r="BW101" s="621">
        <v>0</v>
      </c>
      <c r="BX101" s="621">
        <v>0</v>
      </c>
      <c r="BY101" s="621">
        <v>0</v>
      </c>
      <c r="BZ101" s="621">
        <v>0</v>
      </c>
      <c r="CA101" s="615">
        <f>SUM(BW101:BZ101)</f>
        <v>0</v>
      </c>
      <c r="CB101" s="623"/>
      <c r="CC101" s="621">
        <v>0</v>
      </c>
      <c r="CD101" s="621">
        <v>0</v>
      </c>
      <c r="CE101" s="621">
        <v>0</v>
      </c>
      <c r="CF101" s="621">
        <v>0</v>
      </c>
      <c r="CG101" s="615">
        <f>SUM(CC101:CF101)</f>
        <v>0</v>
      </c>
      <c r="CH101" s="623"/>
      <c r="CI101" s="621">
        <v>0</v>
      </c>
      <c r="CJ101" s="621">
        <v>0</v>
      </c>
      <c r="CK101" s="621">
        <v>0</v>
      </c>
      <c r="CL101" s="621">
        <v>0</v>
      </c>
      <c r="CM101" s="615">
        <f>SUM(CI101:CL101)</f>
        <v>0</v>
      </c>
      <c r="CN101" s="94"/>
      <c r="CO101" s="94"/>
      <c r="CP101" s="94"/>
      <c r="CQ101" s="94"/>
    </row>
    <row r="102" spans="1:101" ht="12.75" hidden="1" customHeight="1" outlineLevel="1">
      <c r="A102" s="194" t="s">
        <v>291</v>
      </c>
      <c r="B102" s="139"/>
      <c r="C102" s="623">
        <f>-C108+C110</f>
        <v>532.51</v>
      </c>
      <c r="D102" s="623">
        <f>-D108+D110</f>
        <v>544.06400000000008</v>
      </c>
      <c r="E102" s="623">
        <f>-E108+E110</f>
        <v>557.71199999999999</v>
      </c>
      <c r="F102" s="623">
        <f>-F108+F110</f>
        <v>559.29700000000003</v>
      </c>
      <c r="G102" s="615">
        <f>-G108+G110</f>
        <v>559.29700000000003</v>
      </c>
      <c r="H102" s="652"/>
      <c r="I102" s="623">
        <f>-I108+I110</f>
        <v>598.71699999999998</v>
      </c>
      <c r="J102" s="623">
        <f>-J108+J110</f>
        <v>610.29600000000005</v>
      </c>
      <c r="K102" s="623">
        <f>-K108+K110</f>
        <v>610.03399999999999</v>
      </c>
      <c r="L102" s="623">
        <f>-L108+L110</f>
        <v>574.346</v>
      </c>
      <c r="M102" s="615">
        <f>-M108+M110</f>
        <v>574.346</v>
      </c>
      <c r="N102" s="652"/>
      <c r="O102" s="623">
        <f>-O108+O110</f>
        <v>560.54899999999998</v>
      </c>
      <c r="P102" s="623">
        <f>-P108+P110</f>
        <v>581.471</v>
      </c>
      <c r="Q102" s="623">
        <f>-Q108+Q110</f>
        <v>608.85799999999995</v>
      </c>
      <c r="R102" s="623">
        <f>-R108+R110</f>
        <v>392.66300000000001</v>
      </c>
      <c r="S102" s="615">
        <f>-S108+S110</f>
        <v>392.66300000000001</v>
      </c>
      <c r="T102" s="652"/>
      <c r="U102" s="623">
        <f>-U108+U110</f>
        <v>597.02200000000005</v>
      </c>
      <c r="V102" s="623">
        <f>-V108+V110</f>
        <v>595.25199999999995</v>
      </c>
      <c r="W102" s="623">
        <f>-W108+W110</f>
        <v>414.33600000000001</v>
      </c>
      <c r="X102" s="623">
        <f>-X108+X110</f>
        <v>416.83499999999998</v>
      </c>
      <c r="Y102" s="615">
        <f>-Y108+Y110</f>
        <v>416.83500000000004</v>
      </c>
      <c r="Z102" s="652"/>
      <c r="AA102" s="623">
        <f>-AA108+AA110</f>
        <v>432.00400000000002</v>
      </c>
      <c r="AB102" s="623">
        <f>-AB108+AB110</f>
        <v>442.6</v>
      </c>
      <c r="AC102" s="623">
        <f>-AC108+AC110</f>
        <v>441.726</v>
      </c>
      <c r="AD102" s="623">
        <f>-AD108+AD110</f>
        <v>451.95300000000003</v>
      </c>
      <c r="AE102" s="615">
        <f>AE97+AE98+AE100+AE101</f>
        <v>451.95300000000009</v>
      </c>
      <c r="AF102" s="652"/>
      <c r="AG102" s="623">
        <f>-AG108+AG110</f>
        <v>438.58199999999999</v>
      </c>
      <c r="AH102" s="623">
        <f>-AH108+AH110</f>
        <v>442.52599999999995</v>
      </c>
      <c r="AI102" s="623">
        <f>-AI108+AI110</f>
        <v>477.51599999999996</v>
      </c>
      <c r="AJ102" s="623">
        <f>-AJ108+AJ110</f>
        <v>513.47900000000004</v>
      </c>
      <c r="AK102" s="615">
        <f>AK97+AK98+AK100+AK101</f>
        <v>513.47900000000016</v>
      </c>
      <c r="AL102" s="652"/>
      <c r="AM102" s="623">
        <f>-AM108+AM110</f>
        <v>519.173</v>
      </c>
      <c r="AN102" s="623">
        <f>-AN108+AN110</f>
        <v>528.05100000000004</v>
      </c>
      <c r="AO102" s="623">
        <f>-AO108+AO110</f>
        <v>508.411</v>
      </c>
      <c r="AP102" s="623">
        <f>-AP108+AP110</f>
        <v>504.18399999999997</v>
      </c>
      <c r="AQ102" s="615">
        <f>AQ97+AQ98+AQ100+AQ101</f>
        <v>504.18400000000008</v>
      </c>
      <c r="AR102" s="652"/>
      <c r="AS102" s="623">
        <f>-AS108+AS110</f>
        <v>507.46500000000003</v>
      </c>
      <c r="AT102" s="623">
        <f>-AT108+AT110</f>
        <v>507.7</v>
      </c>
      <c r="AU102" s="623">
        <f>-AU108+AU110</f>
        <v>505.90500000000003</v>
      </c>
      <c r="AV102" s="380">
        <f>-AV108+AV110</f>
        <v>492.81399999999996</v>
      </c>
      <c r="AW102" s="615">
        <f>AW97+AW98+AW100+AW101</f>
        <v>492.81399999999996</v>
      </c>
      <c r="AX102" s="652"/>
      <c r="AY102" s="623">
        <f>-AY108+AY110</f>
        <v>499.09000000000003</v>
      </c>
      <c r="AZ102" s="623">
        <f>-AZ108+AZ110</f>
        <v>492.49700000000001</v>
      </c>
      <c r="BA102" s="623">
        <f>-BA108+BA110</f>
        <v>494.76800000000003</v>
      </c>
      <c r="BB102" s="623">
        <f>-BB108+BB110</f>
        <v>494.95600000000002</v>
      </c>
      <c r="BC102" s="615">
        <f>BC97+BC98+BC100+BC101</f>
        <v>494.95599999999996</v>
      </c>
      <c r="BD102" s="652"/>
      <c r="BE102" s="623">
        <f>-BE108+BE110</f>
        <v>507.774</v>
      </c>
      <c r="BF102" s="623">
        <f>-BF108+BF110</f>
        <v>508.95299999999997</v>
      </c>
      <c r="BG102" s="623">
        <f>-BG108+BG110</f>
        <v>525.39599999999996</v>
      </c>
      <c r="BH102" s="623">
        <f>-BH108+BH110</f>
        <v>427.90300000000002</v>
      </c>
      <c r="BI102" s="615">
        <f>BI97+BI98+BI100+BI101</f>
        <v>427.90300000000008</v>
      </c>
      <c r="BJ102" s="652"/>
      <c r="BK102" s="623">
        <f>-BK108+BK110</f>
        <v>449.30600000000004</v>
      </c>
      <c r="BL102" s="623">
        <f>-BL108+BL110</f>
        <v>460.75</v>
      </c>
      <c r="BM102" s="623">
        <f>-BM108+BM110</f>
        <v>475.10599999999999</v>
      </c>
      <c r="BN102" s="623">
        <f>-BN108+BN110</f>
        <v>630.91899999999998</v>
      </c>
      <c r="BO102" s="615">
        <f>BO97+BO98+BO100+BO101</f>
        <v>630.91899999999998</v>
      </c>
      <c r="BP102" s="652"/>
      <c r="BQ102" s="623">
        <f>BQ97+BQ98+BQ100+BQ101</f>
        <v>638.71474606740185</v>
      </c>
      <c r="BR102" s="623">
        <f>BR97+BR98+BR100+BR101</f>
        <v>647.28815419610157</v>
      </c>
      <c r="BS102" s="623">
        <f>BS97+BS98+BS100+BS101</f>
        <v>655.82399997019672</v>
      </c>
      <c r="BT102" s="623">
        <f>BT97+BT98+BT100+BT101</f>
        <v>665.39903408146256</v>
      </c>
      <c r="BU102" s="615">
        <f>BU97+BU98+BU100+BU101</f>
        <v>665.39903408146267</v>
      </c>
      <c r="BV102" s="623"/>
      <c r="BW102" s="623">
        <f>BW97+BW98+BW100+BW101</f>
        <v>673.69150038660109</v>
      </c>
      <c r="BX102" s="623">
        <f>BX97+BX98+BX100+BX101</f>
        <v>682.86695903697989</v>
      </c>
      <c r="BY102" s="623">
        <f>BY97+BY98+BY100+BY101</f>
        <v>692.04902351928069</v>
      </c>
      <c r="BZ102" s="623">
        <f>BZ97+BZ98+BZ100+BZ101</f>
        <v>702.35869853771601</v>
      </c>
      <c r="CA102" s="615">
        <f>CA97+CA98+CA100+CA101</f>
        <v>702.3586985377159</v>
      </c>
      <c r="CB102" s="623"/>
      <c r="CC102" s="623">
        <f>CC97+CC98+CC100+CC101</f>
        <v>711.24903610442732</v>
      </c>
      <c r="CD102" s="623">
        <f>CD97+CD98+CD100+CD101</f>
        <v>721.10481390132827</v>
      </c>
      <c r="CE102" s="623">
        <f>CE97+CE98+CE100+CE101</f>
        <v>730.94559502670484</v>
      </c>
      <c r="CF102" s="623">
        <f>CF97+CF98+CF100+CF101</f>
        <v>741.94249823121947</v>
      </c>
      <c r="CG102" s="615">
        <f>CG97+CG98+CG100+CG101</f>
        <v>741.94249823121959</v>
      </c>
      <c r="CH102" s="623"/>
      <c r="CI102" s="623">
        <f>CI97+CI98+CI100+CI101</f>
        <v>751.31002712831526</v>
      </c>
      <c r="CJ102" s="623">
        <f>CJ97+CJ98+CJ100+CJ101</f>
        <v>761.69583196912902</v>
      </c>
      <c r="CK102" s="623">
        <f>CK97+CK98+CK100+CK101</f>
        <v>772.10368095575166</v>
      </c>
      <c r="CL102" s="623">
        <f>CL97+CL98+CL100+CL101</f>
        <v>783.72529849740954</v>
      </c>
      <c r="CM102" s="615">
        <f>CM97+CM98+CM100+CM101</f>
        <v>783.72529849740965</v>
      </c>
      <c r="CN102" s="94"/>
      <c r="CO102" s="94"/>
      <c r="CP102" s="94"/>
      <c r="CQ102" s="94"/>
    </row>
    <row r="103" spans="1:101" ht="12.75" hidden="1" customHeight="1" outlineLevel="1">
      <c r="A103" s="194"/>
      <c r="B103" s="139"/>
      <c r="C103" s="767"/>
      <c r="D103" s="767"/>
      <c r="E103" s="767"/>
      <c r="F103" s="767"/>
      <c r="G103" s="768"/>
      <c r="H103" s="769"/>
      <c r="I103" s="767"/>
      <c r="J103" s="767"/>
      <c r="K103" s="767"/>
      <c r="L103" s="767"/>
      <c r="M103" s="768"/>
      <c r="N103" s="769"/>
      <c r="O103" s="767"/>
      <c r="P103" s="767"/>
      <c r="Q103" s="767"/>
      <c r="R103" s="767"/>
      <c r="S103" s="768"/>
      <c r="T103" s="769"/>
      <c r="U103" s="767"/>
      <c r="V103" s="767"/>
      <c r="W103" s="767"/>
      <c r="X103" s="767"/>
      <c r="Y103" s="768"/>
      <c r="Z103" s="769"/>
      <c r="AA103" s="767"/>
      <c r="AB103" s="767"/>
      <c r="AC103" s="767"/>
      <c r="AD103" s="767"/>
      <c r="AE103" s="768"/>
      <c r="AF103" s="769"/>
      <c r="AG103" s="767"/>
      <c r="AH103" s="767"/>
      <c r="AI103" s="767"/>
      <c r="AJ103" s="767"/>
      <c r="AK103" s="768"/>
      <c r="AL103" s="769"/>
      <c r="AM103" s="767"/>
      <c r="AN103" s="767"/>
      <c r="AO103" s="767"/>
      <c r="AP103" s="767"/>
      <c r="AQ103" s="768"/>
      <c r="AR103" s="769"/>
      <c r="AS103" s="767"/>
      <c r="AT103" s="767"/>
      <c r="AU103" s="767"/>
      <c r="AV103" s="767"/>
      <c r="AW103" s="768"/>
      <c r="AX103" s="769"/>
      <c r="AY103" s="767"/>
      <c r="AZ103" s="767"/>
      <c r="BA103" s="767"/>
      <c r="BB103" s="767"/>
      <c r="BC103" s="768"/>
      <c r="BD103" s="769"/>
      <c r="BE103" s="767"/>
      <c r="BF103" s="767"/>
      <c r="BG103" s="767"/>
      <c r="BH103" s="767"/>
      <c r="BI103" s="768"/>
      <c r="BJ103" s="769"/>
      <c r="BK103" s="767"/>
      <c r="BL103" s="767"/>
      <c r="BM103" s="767"/>
      <c r="BN103" s="767"/>
      <c r="BO103" s="768"/>
      <c r="BP103" s="769"/>
      <c r="BQ103" s="767"/>
      <c r="BR103" s="767"/>
      <c r="BS103" s="767"/>
      <c r="BT103" s="767"/>
      <c r="BU103" s="768"/>
      <c r="BV103" s="767"/>
      <c r="BW103" s="767"/>
      <c r="BX103" s="767"/>
      <c r="BY103" s="767"/>
      <c r="BZ103" s="767"/>
      <c r="CA103" s="768"/>
      <c r="CB103" s="767"/>
      <c r="CC103" s="767"/>
      <c r="CD103" s="767"/>
      <c r="CE103" s="767"/>
      <c r="CF103" s="767"/>
      <c r="CG103" s="768"/>
      <c r="CH103" s="767"/>
      <c r="CI103" s="767"/>
      <c r="CJ103" s="767"/>
      <c r="CK103" s="767"/>
      <c r="CL103" s="767"/>
      <c r="CM103" s="768"/>
      <c r="CN103" s="94"/>
      <c r="CO103" s="94"/>
      <c r="CP103" s="94"/>
      <c r="CQ103" s="94"/>
    </row>
    <row r="104" spans="1:101" ht="12.75" hidden="1" customHeight="1" outlineLevel="1">
      <c r="A104" s="194" t="s">
        <v>292</v>
      </c>
      <c r="B104" s="139"/>
      <c r="C104" s="621">
        <v>-342.93799999999999</v>
      </c>
      <c r="D104" s="623">
        <f>+C108</f>
        <v>-344.154</v>
      </c>
      <c r="E104" s="623">
        <f>+D108</f>
        <v>-353.32600000000002</v>
      </c>
      <c r="F104" s="623">
        <f>+E108</f>
        <v>-363.09500000000003</v>
      </c>
      <c r="G104" s="615">
        <f>+C104</f>
        <v>-342.93799999999999</v>
      </c>
      <c r="H104" s="652"/>
      <c r="I104" s="623">
        <f>+F108</f>
        <v>-362.762</v>
      </c>
      <c r="J104" s="623">
        <f>+I108</f>
        <v>-395.21899999999999</v>
      </c>
      <c r="K104" s="623">
        <f>+J108</f>
        <v>-403.26499999999999</v>
      </c>
      <c r="L104" s="623">
        <f>+K108</f>
        <v>-400.91899999999998</v>
      </c>
      <c r="M104" s="615">
        <f>+I104</f>
        <v>-362.762</v>
      </c>
      <c r="N104" s="652"/>
      <c r="O104" s="623">
        <f>+L108</f>
        <v>-369.29899999999998</v>
      </c>
      <c r="P104" s="623">
        <f>+O108</f>
        <v>-362.20499999999998</v>
      </c>
      <c r="Q104" s="623">
        <f>+P108</f>
        <v>-380.601</v>
      </c>
      <c r="R104" s="623">
        <f>+Q108</f>
        <v>-397.50299999999999</v>
      </c>
      <c r="S104" s="615">
        <f>+O104</f>
        <v>-369.29899999999998</v>
      </c>
      <c r="T104" s="652"/>
      <c r="U104" s="623">
        <f>+R108</f>
        <v>-239.637</v>
      </c>
      <c r="V104" s="623">
        <f>+U108</f>
        <v>-394.41800000000001</v>
      </c>
      <c r="W104" s="623">
        <f>+V108</f>
        <v>-389.66300000000001</v>
      </c>
      <c r="X104" s="623">
        <f>+W108</f>
        <v>-253.286</v>
      </c>
      <c r="Y104" s="615">
        <f>+U104</f>
        <v>-239.637</v>
      </c>
      <c r="Z104" s="652"/>
      <c r="AA104" s="623">
        <f>+X108</f>
        <v>-255.01499999999999</v>
      </c>
      <c r="AB104" s="623">
        <f>+AA108</f>
        <v>-266.899</v>
      </c>
      <c r="AC104" s="623">
        <f>AB108</f>
        <v>-275.34899999999999</v>
      </c>
      <c r="AD104" s="623">
        <f>AC108</f>
        <v>-275.86799999999999</v>
      </c>
      <c r="AE104" s="615">
        <f>Y108</f>
        <v>-255.01500000000001</v>
      </c>
      <c r="AF104" s="652"/>
      <c r="AG104" s="623">
        <f>+AD108</f>
        <v>-277.38600000000002</v>
      </c>
      <c r="AH104" s="623">
        <f>AG108</f>
        <v>-266.899</v>
      </c>
      <c r="AI104" s="623">
        <f>AH108</f>
        <v>-275.34899999999999</v>
      </c>
      <c r="AJ104" s="623">
        <f>AI108</f>
        <v>-275.86799999999999</v>
      </c>
      <c r="AK104" s="615">
        <f>AE108</f>
        <v>-277.38600000000008</v>
      </c>
      <c r="AL104" s="652"/>
      <c r="AM104" s="623">
        <f>+AJ108</f>
        <v>-302.96300000000002</v>
      </c>
      <c r="AN104" s="623">
        <f>AM108</f>
        <v>-306.50099999999998</v>
      </c>
      <c r="AO104" s="623">
        <f>AN108</f>
        <v>-313.92200000000003</v>
      </c>
      <c r="AP104" s="623">
        <f>AO108</f>
        <v>-313.71600000000001</v>
      </c>
      <c r="AQ104" s="615">
        <f>AK108</f>
        <v>-302.96300000000008</v>
      </c>
      <c r="AR104" s="652"/>
      <c r="AS104" s="623">
        <f>AQ108</f>
        <v>-318.81100000000004</v>
      </c>
      <c r="AT104" s="623">
        <f>AS108</f>
        <v>-324.79700000000003</v>
      </c>
      <c r="AU104" s="623">
        <f>AT108</f>
        <v>-328.024</v>
      </c>
      <c r="AV104" s="380">
        <f>AU108</f>
        <v>-328.58100000000002</v>
      </c>
      <c r="AW104" s="615">
        <f>AQ108</f>
        <v>-318.81100000000004</v>
      </c>
      <c r="AX104" s="652"/>
      <c r="AY104" s="623">
        <f>AW108</f>
        <v>-316.62</v>
      </c>
      <c r="AZ104" s="623">
        <f>AY108</f>
        <v>-330.59100000000001</v>
      </c>
      <c r="BA104" s="623">
        <f>AZ108</f>
        <v>-326.18</v>
      </c>
      <c r="BB104" s="623">
        <f>BA108</f>
        <v>-330.59100000000001</v>
      </c>
      <c r="BC104" s="615">
        <f>AW108</f>
        <v>-316.62</v>
      </c>
      <c r="BD104" s="652"/>
      <c r="BE104" s="623">
        <f>BC108</f>
        <v>-327.92700000000002</v>
      </c>
      <c r="BF104" s="623">
        <f>BE108</f>
        <v>-339.649</v>
      </c>
      <c r="BG104" s="623">
        <f>BF108</f>
        <v>-341.75700000000001</v>
      </c>
      <c r="BH104" s="623">
        <f>BG108</f>
        <v>-350.17</v>
      </c>
      <c r="BI104" s="615">
        <f>BC108</f>
        <v>-327.92700000000002</v>
      </c>
      <c r="BJ104" s="652"/>
      <c r="BK104" s="623">
        <f>BI108</f>
        <v>-282.40899999999999</v>
      </c>
      <c r="BL104" s="623">
        <f>BK108</f>
        <v>-295.36900000000003</v>
      </c>
      <c r="BM104" s="623">
        <f>BL108</f>
        <v>-306.59399999999999</v>
      </c>
      <c r="BN104" s="623">
        <f>BM108</f>
        <v>-317.44099999999997</v>
      </c>
      <c r="BO104" s="615">
        <f>BI108</f>
        <v>-282.40899999999999</v>
      </c>
      <c r="BP104" s="652"/>
      <c r="BQ104" s="623">
        <f>BO108</f>
        <v>-332.85300000000001</v>
      </c>
      <c r="BR104" s="623">
        <f>BQ108</f>
        <v>-343.89408250000002</v>
      </c>
      <c r="BS104" s="623">
        <f>BR108</f>
        <v>-355.07159055617956</v>
      </c>
      <c r="BT104" s="623">
        <f>BS108</f>
        <v>-366.39913325461134</v>
      </c>
      <c r="BU104" s="615">
        <f>BO108</f>
        <v>-332.85300000000001</v>
      </c>
      <c r="BV104" s="623"/>
      <c r="BW104" s="623">
        <f>BU108</f>
        <v>-377.87605325408975</v>
      </c>
      <c r="BX104" s="623">
        <f>BW108</f>
        <v>-391.18403393571901</v>
      </c>
      <c r="BY104" s="623">
        <f>BX108</f>
        <v>-404.65786394345105</v>
      </c>
      <c r="BZ104" s="623">
        <f>BY108</f>
        <v>-418.31520312419065</v>
      </c>
      <c r="CA104" s="615">
        <f>BU108</f>
        <v>-377.87605325408975</v>
      </c>
      <c r="CB104" s="623"/>
      <c r="CC104" s="623">
        <f>CA108</f>
        <v>-432.15618359457625</v>
      </c>
      <c r="CD104" s="623">
        <f>CC108</f>
        <v>-446.20335756533058</v>
      </c>
      <c r="CE104" s="623">
        <f>CD108</f>
        <v>-460.42833828741914</v>
      </c>
      <c r="CF104" s="623">
        <f>CE108</f>
        <v>-474.85043456544571</v>
      </c>
      <c r="CG104" s="615">
        <f>CA108</f>
        <v>-432.15618359457625</v>
      </c>
      <c r="CH104" s="623"/>
      <c r="CI104" s="623">
        <f>CG108</f>
        <v>-489.46934646597981</v>
      </c>
      <c r="CJ104" s="623">
        <f>CI108</f>
        <v>-504.3081964306042</v>
      </c>
      <c r="CK104" s="623">
        <f>CJ108</f>
        <v>-519.33439697317056</v>
      </c>
      <c r="CL104" s="623">
        <f>CK108</f>
        <v>-534.56831361255308</v>
      </c>
      <c r="CM104" s="615">
        <f>CG108</f>
        <v>-489.46934646597981</v>
      </c>
      <c r="CN104" s="94"/>
      <c r="CO104" s="94"/>
      <c r="CP104" s="94"/>
      <c r="CQ104" s="94"/>
    </row>
    <row r="105" spans="1:101" ht="12.75" hidden="1" customHeight="1" outlineLevel="1">
      <c r="A105" s="558" t="s">
        <v>126</v>
      </c>
      <c r="B105" s="139"/>
      <c r="C105" s="623">
        <f>-CFS!C14-C119</f>
        <v>-8.6850000000000005</v>
      </c>
      <c r="D105" s="623">
        <f>-CFS!D14-D119</f>
        <v>-8.3759999999999994</v>
      </c>
      <c r="E105" s="623">
        <f>-CFS!E14-E119</f>
        <v>-8.1829999999999981</v>
      </c>
      <c r="F105" s="623">
        <f>-CFS!F14-F119</f>
        <v>-7.1669999999999963</v>
      </c>
      <c r="G105" s="615">
        <f>-CFS!G14-G119</f>
        <v>-32.410999999999994</v>
      </c>
      <c r="H105" s="765"/>
      <c r="I105" s="623">
        <f>-CFS!I14-I119</f>
        <v>-7.9970000000000017</v>
      </c>
      <c r="J105" s="623">
        <f>-CFS!J14-J119</f>
        <v>-8.0189999999999966</v>
      </c>
      <c r="K105" s="623">
        <f>-CFS!K14-K119</f>
        <v>-8.4170000000000105</v>
      </c>
      <c r="L105" s="623">
        <f>-CFS!L14-L119</f>
        <v>-8.273999999999992</v>
      </c>
      <c r="M105" s="615">
        <f>-CFS!M14-M119</f>
        <v>-32.707000000000001</v>
      </c>
      <c r="N105" s="765"/>
      <c r="O105" s="623">
        <f>-CFS!O14-O119</f>
        <v>-8.2750000000000004</v>
      </c>
      <c r="P105" s="623">
        <f>-CFS!P14-P119</f>
        <v>-8.4169999999999998</v>
      </c>
      <c r="Q105" s="623">
        <f>-CFS!Q14-Q119</f>
        <v>-1.7539999999999925</v>
      </c>
      <c r="R105" s="623">
        <f>-CFS!R14-R119</f>
        <v>-19.297000000000004</v>
      </c>
      <c r="S105" s="615">
        <f>-CFS!S14-S119</f>
        <v>-37.743000000000002</v>
      </c>
      <c r="T105" s="765"/>
      <c r="U105" s="623">
        <f>-CFS!U14-U119</f>
        <v>-5.7010000000000005</v>
      </c>
      <c r="V105" s="623">
        <f>-CFS!V14-V119</f>
        <v>-8.1759999999999984</v>
      </c>
      <c r="W105" s="623">
        <f>-CFS!W14-W119</f>
        <v>-7.0930000000000106</v>
      </c>
      <c r="X105" s="623">
        <f>-CFS!X14-X119</f>
        <v>-7.4929999999999843</v>
      </c>
      <c r="Y105" s="615">
        <f>-CFS!Y14-Y119</f>
        <v>-28.462999999999994</v>
      </c>
      <c r="Z105" s="765"/>
      <c r="AA105" s="623">
        <f>-CFS!AA14-AA119</f>
        <v>-7.5530000000000008</v>
      </c>
      <c r="AB105" s="623">
        <f>-CFS!AB14-AB119</f>
        <v>-7.3479999999999954</v>
      </c>
      <c r="AC105" s="623">
        <f>-CFS!AC14-AC119</f>
        <v>-7.8170000000000073</v>
      </c>
      <c r="AD105" s="623">
        <f>-CFS!AD14-AD119</f>
        <v>-8.203000000000003</v>
      </c>
      <c r="AE105" s="615">
        <f>SUM(AA105:AD105)</f>
        <v>-30.921000000000006</v>
      </c>
      <c r="AF105" s="765"/>
      <c r="AG105" s="623">
        <f>-CFS!AG14-AG119</f>
        <v>-15.606999999999999</v>
      </c>
      <c r="AH105" s="623">
        <f>-CFS!AH14-AH119</f>
        <v>-12.855999999999995</v>
      </c>
      <c r="AI105" s="623">
        <f>-CFS!AI14-AI119</f>
        <v>-10.328000000000003</v>
      </c>
      <c r="AJ105" s="623">
        <f>-CFS!AJ14-AJ119</f>
        <v>-8.0739999999999981</v>
      </c>
      <c r="AK105" s="615">
        <f>SUM(AG105:AJ105)</f>
        <v>-46.864999999999995</v>
      </c>
      <c r="AL105" s="765"/>
      <c r="AM105" s="623">
        <f>-CFS!AM14-AM119</f>
        <v>-8.0710000000000015</v>
      </c>
      <c r="AN105" s="623">
        <f>-CFS!AN14-AN119</f>
        <v>-9.1089999999999982</v>
      </c>
      <c r="AO105" s="623">
        <f>-CFS!AO14-AO119</f>
        <v>-11.372999999999998</v>
      </c>
      <c r="AP105" s="623">
        <f>-CFS!AP14-AP119</f>
        <v>-9.5180000000000007</v>
      </c>
      <c r="AQ105" s="615">
        <f>SUM(AM105:AP105)</f>
        <v>-38.070999999999998</v>
      </c>
      <c r="AR105" s="765"/>
      <c r="AS105" s="623">
        <f>-CFS!AS14-AS119</f>
        <v>-8.7430000000000021</v>
      </c>
      <c r="AT105" s="623">
        <f>-CFS!AT14-AT119</f>
        <v>-7.8639999999999937</v>
      </c>
      <c r="AU105" s="623">
        <f>-CFS!AU14-AU119</f>
        <v>-8.3260000000000005</v>
      </c>
      <c r="AV105" s="623">
        <f>-CFS!AV14-AV119</f>
        <v>-8.4030000000000058</v>
      </c>
      <c r="AW105" s="615">
        <f>SUM(AS105:AV105)</f>
        <v>-33.335999999999999</v>
      </c>
      <c r="AX105" s="765"/>
      <c r="AY105" s="623">
        <f>-CFS!AY14-AY119</f>
        <v>-8.5339999999999989</v>
      </c>
      <c r="AZ105" s="623">
        <f>-CFS!AZ14-AZ119</f>
        <v>-8.3590000000000053</v>
      </c>
      <c r="BA105" s="623">
        <f>-CFS!BA14-BA119</f>
        <v>-8.3640000000000008</v>
      </c>
      <c r="BB105" s="623">
        <f>-CFS!BB14-BB119</f>
        <v>-8.1500000000000057</v>
      </c>
      <c r="BC105" s="615">
        <f>SUM(AY105:BB105)</f>
        <v>-33.407000000000011</v>
      </c>
      <c r="BD105" s="765"/>
      <c r="BE105" s="623">
        <f>-CFS!BE14-BE119</f>
        <v>-7.9570000000000007</v>
      </c>
      <c r="BF105" s="623">
        <f>-CFS!BF14-BF119</f>
        <v>-7.5390000000000015</v>
      </c>
      <c r="BG105" s="623">
        <f>-CFS!BG14-BG119</f>
        <v>-8.5910000000000046</v>
      </c>
      <c r="BH105" s="623">
        <f>-CFS!BH14-BH119</f>
        <v>-4.3849999999999909</v>
      </c>
      <c r="BI105" s="615">
        <f>SUM(BE105:BH105)</f>
        <v>-28.471999999999998</v>
      </c>
      <c r="BJ105" s="765"/>
      <c r="BK105" s="623">
        <f>-CFS!BK14-BK119</f>
        <v>-7.7469999999999999</v>
      </c>
      <c r="BL105" s="623">
        <f>-CFS!BL14-BL119</f>
        <v>-7.2580000000000027</v>
      </c>
      <c r="BM105" s="623">
        <f>-CFS!BM14-BM119</f>
        <v>-8.3020000000000032</v>
      </c>
      <c r="BN105" s="623">
        <f>-CFS!BN14-BN119</f>
        <v>-7.992999999999995</v>
      </c>
      <c r="BO105" s="615">
        <f>SUM(BK105:BN105)</f>
        <v>-31.3</v>
      </c>
      <c r="BP105" s="765"/>
      <c r="BQ105" s="623">
        <f>-BQ106*BQ97/4</f>
        <v>-11.0410825</v>
      </c>
      <c r="BR105" s="623">
        <f>-BR106*BR97/4</f>
        <v>-11.177508056179533</v>
      </c>
      <c r="BS105" s="623">
        <f>-BS106*BS97/4</f>
        <v>-11.327542698431779</v>
      </c>
      <c r="BT105" s="623">
        <f>-BT106*BT97/4</f>
        <v>-11.476919999478444</v>
      </c>
      <c r="BU105" s="615">
        <f>SUM(BQ105:BT105)</f>
        <v>-45.02305325408976</v>
      </c>
      <c r="BV105" s="623"/>
      <c r="BW105" s="623">
        <f>-BW106*BW97/4</f>
        <v>-13.307980681629253</v>
      </c>
      <c r="BX105" s="623">
        <f>-BX106*BX97/4</f>
        <v>-13.473830007732023</v>
      </c>
      <c r="BY105" s="623">
        <f>-BY106*BY97/4</f>
        <v>-13.657339180739598</v>
      </c>
      <c r="BZ105" s="623">
        <f>-BZ106*BZ97/4</f>
        <v>-13.840980470385615</v>
      </c>
      <c r="CA105" s="615">
        <f>SUM(BW105:BZ105)</f>
        <v>-54.280130340486494</v>
      </c>
      <c r="CB105" s="623"/>
      <c r="CC105" s="623">
        <f>-CC106*CC97/4</f>
        <v>-14.047173970754319</v>
      </c>
      <c r="CD105" s="623">
        <f>-CD106*CD97/4</f>
        <v>-14.224980722088546</v>
      </c>
      <c r="CE105" s="623">
        <f>-CE106*CE97/4</f>
        <v>-14.422096278026565</v>
      </c>
      <c r="CF105" s="623">
        <f>-CF106*CF97/4</f>
        <v>-14.618911900534098</v>
      </c>
      <c r="CG105" s="615">
        <f>SUM(CC105:CF105)</f>
        <v>-57.313162871403534</v>
      </c>
      <c r="CH105" s="623"/>
      <c r="CI105" s="623">
        <f>-CI106*CI97/4</f>
        <v>-14.838849964624393</v>
      </c>
      <c r="CJ105" s="623">
        <f>-CJ106*CJ97/4</f>
        <v>-15.026200542566306</v>
      </c>
      <c r="CK105" s="623">
        <f>-CK106*CK97/4</f>
        <v>-15.233916639382581</v>
      </c>
      <c r="CL105" s="623">
        <f>-CL106*CL97/4</f>
        <v>-15.442073619115034</v>
      </c>
      <c r="CM105" s="615">
        <f>SUM(CI105:CL105)</f>
        <v>-60.541040765688315</v>
      </c>
      <c r="CN105" s="93"/>
      <c r="CO105" s="93"/>
      <c r="CP105" s="93"/>
      <c r="CQ105" s="93"/>
    </row>
    <row r="106" spans="1:101" ht="12.75" hidden="1" customHeight="1" outlineLevel="1">
      <c r="A106" s="562" t="s">
        <v>293</v>
      </c>
      <c r="B106" s="331"/>
      <c r="C106" s="770">
        <f>-C105*4/C97</f>
        <v>6.6154543411776803E-2</v>
      </c>
      <c r="D106" s="770">
        <f>-D105*4/D97</f>
        <v>6.2917128316839113E-2</v>
      </c>
      <c r="E106" s="770">
        <f>-E105*4/E97</f>
        <v>6.0162039760028208E-2</v>
      </c>
      <c r="F106" s="770">
        <f>-F105*4/F97</f>
        <v>5.1402874601945064E-2</v>
      </c>
      <c r="G106" s="752">
        <f>-G105/G97</f>
        <v>6.1719484931465098E-2</v>
      </c>
      <c r="H106" s="771"/>
      <c r="I106" s="770">
        <f>-I105*4/I97</f>
        <v>5.7193226496834428E-2</v>
      </c>
      <c r="J106" s="770">
        <f>-J105*4/J97</f>
        <v>5.3574560268039806E-2</v>
      </c>
      <c r="K106" s="770">
        <f>-K105*4/K97</f>
        <v>5.5166673220863383E-2</v>
      </c>
      <c r="L106" s="770">
        <f>-L105*4/L97</f>
        <v>5.425271378316613E-2</v>
      </c>
      <c r="M106" s="752">
        <f>-M105/M97</f>
        <v>5.8478768883080005E-2</v>
      </c>
      <c r="N106" s="771"/>
      <c r="O106" s="770">
        <f>-O105*4/O97</f>
        <v>5.7630766123556186E-2</v>
      </c>
      <c r="P106" s="770">
        <f>-P105*4/P97</f>
        <v>6.0062545825610249E-2</v>
      </c>
      <c r="Q106" s="770">
        <f>-Q105*4/Q97</f>
        <v>1.2065949978588734E-2</v>
      </c>
      <c r="R106" s="770">
        <f>-R105*4/R97</f>
        <v>0.12677504442743631</v>
      </c>
      <c r="S106" s="752">
        <f>-S105/S97</f>
        <v>6.5714743377685236E-2</v>
      </c>
      <c r="T106" s="771"/>
      <c r="U106" s="770">
        <f>-U105*4/U97</f>
        <v>5.8075245184802241E-2</v>
      </c>
      <c r="V106" s="770">
        <f>-V105*4/V97</f>
        <v>5.4778550874172126E-2</v>
      </c>
      <c r="W106" s="770">
        <f>-W105*4/W97</f>
        <v>4.766384657254414E-2</v>
      </c>
      <c r="X106" s="770">
        <f>-X105*4/X97</f>
        <v>7.233742662959515E-2</v>
      </c>
      <c r="Y106" s="752">
        <f>-Y105/Y97</f>
        <v>7.2487094531442975E-2</v>
      </c>
      <c r="Z106" s="771"/>
      <c r="AA106" s="770">
        <f>-AA105*4/AA97</f>
        <v>7.2479518274617072E-2</v>
      </c>
      <c r="AB106" s="770">
        <f>-AB105*4/AB97</f>
        <v>6.8036407070304852E-2</v>
      </c>
      <c r="AC106" s="770">
        <f>-AC105*4/AC97</f>
        <v>7.0646181653863591E-2</v>
      </c>
      <c r="AD106" s="770">
        <f>-AD105*4/AD97</f>
        <v>7.4281341827286629E-2</v>
      </c>
      <c r="AE106" s="752">
        <f>-AE105/AE97</f>
        <v>7.418043110583325E-2</v>
      </c>
      <c r="AF106" s="771"/>
      <c r="AG106" s="770">
        <f>-AG105*4/AG97</f>
        <v>0.13812940726137451</v>
      </c>
      <c r="AH106" s="770">
        <f>-AH105*4/AH97</f>
        <v>0.11725059395962438</v>
      </c>
      <c r="AI106" s="770">
        <f>-AI105*4/AI97</f>
        <v>9.3354966713820237E-2</v>
      </c>
      <c r="AJ106" s="770">
        <f>-AJ105*4/AJ97</f>
        <v>6.7633335846338127E-2</v>
      </c>
      <c r="AK106" s="752">
        <f>-AK105/AK97</f>
        <v>0.10369441070199774</v>
      </c>
      <c r="AL106" s="771"/>
      <c r="AM106" s="770">
        <f>-AM105*4/AM97</f>
        <v>6.2873067837243599E-2</v>
      </c>
      <c r="AN106" s="770">
        <f>-AN105*4/AN97</f>
        <v>7.018084530589995E-2</v>
      </c>
      <c r="AO106" s="770">
        <f>-AO105*4/AO97</f>
        <v>8.6150769527943302E-2</v>
      </c>
      <c r="AP106" s="770">
        <f>-AP105*4/AP97</f>
        <v>7.4884296366522371E-2</v>
      </c>
      <c r="AQ106" s="752">
        <f>-AQ105/AQ97</f>
        <v>7.414324636450563E-2</v>
      </c>
      <c r="AR106" s="771"/>
      <c r="AS106" s="770">
        <f>-AS105*4/AS97</f>
        <v>6.936356568236994E-2</v>
      </c>
      <c r="AT106" s="770">
        <f>-AT105*4/AT97</f>
        <v>6.1986540943710353E-2</v>
      </c>
      <c r="AU106" s="770">
        <f>-AU105*4/AU97</f>
        <v>6.5597793972818605E-2</v>
      </c>
      <c r="AV106" s="1593">
        <f>-AV105*4/AV97</f>
        <v>6.643935126160054E-2</v>
      </c>
      <c r="AW106" s="752">
        <f>-AW105/AW97</f>
        <v>6.6118718563064269E-2</v>
      </c>
      <c r="AX106" s="771"/>
      <c r="AY106" s="770">
        <f>-AY105*4/AY97</f>
        <v>6.9267512692415392E-2</v>
      </c>
      <c r="AZ106" s="770">
        <f>-AZ105*4/AZ97</f>
        <v>6.6993928950690299E-2</v>
      </c>
      <c r="BA106" s="770">
        <f>-BA105*4/BA97</f>
        <v>6.7931378262202621E-2</v>
      </c>
      <c r="BB106" s="1593">
        <f>-BB105*4/BB97</f>
        <v>6.5889467386734832E-2</v>
      </c>
      <c r="BC106" s="752">
        <f>-BC105/BC97</f>
        <v>6.778825276879312E-2</v>
      </c>
      <c r="BD106" s="771"/>
      <c r="BE106" s="770">
        <f>-BE105*4/BE97</f>
        <v>6.4304705872845272E-2</v>
      </c>
      <c r="BF106" s="770">
        <f>-BF105*4/BF97</f>
        <v>5.9388625648418403E-2</v>
      </c>
      <c r="BG106" s="770">
        <f>-BG105*4/BG97</f>
        <v>6.7519004701809437E-2</v>
      </c>
      <c r="BH106" s="1593">
        <f>-BH105*4/BH97</f>
        <v>3.3384342476912583E-2</v>
      </c>
      <c r="BI106" s="752">
        <f>-BI105/BI97</f>
        <v>5.752430519076443E-2</v>
      </c>
      <c r="BJ106" s="771"/>
      <c r="BK106" s="770">
        <f>-BK105*4/BK97</f>
        <v>7.2418281713378954E-2</v>
      </c>
      <c r="BL106" s="770">
        <f>-BL105*4/BL97</f>
        <v>6.4615206563010522E-2</v>
      </c>
      <c r="BM106" s="770">
        <f>-BM105*4/BM97</f>
        <v>7.2073792729245828E-2</v>
      </c>
      <c r="BN106" s="1593">
        <f>-BN105*4/BN97</f>
        <v>6.7294456394993915E-2</v>
      </c>
      <c r="BO106" s="752">
        <f>-BO105/BO97</f>
        <v>7.3147418924382382E-2</v>
      </c>
      <c r="BP106" s="771"/>
      <c r="BQ106" s="772">
        <v>7.0000000000000007E-2</v>
      </c>
      <c r="BR106" s="772">
        <f>BQ106</f>
        <v>7.0000000000000007E-2</v>
      </c>
      <c r="BS106" s="772">
        <f t="shared" ref="BS106:BT106" si="89">BR106</f>
        <v>7.0000000000000007E-2</v>
      </c>
      <c r="BT106" s="772">
        <f t="shared" si="89"/>
        <v>7.0000000000000007E-2</v>
      </c>
      <c r="BU106" s="752">
        <f>-BU105/BU97</f>
        <v>7.1361067354271723E-2</v>
      </c>
      <c r="BV106" s="770"/>
      <c r="BW106" s="772">
        <v>0.08</v>
      </c>
      <c r="BX106" s="772">
        <f>BW106</f>
        <v>0.08</v>
      </c>
      <c r="BY106" s="772">
        <f t="shared" ref="BY106:BZ106" si="90">BX106</f>
        <v>0.08</v>
      </c>
      <c r="BZ106" s="772">
        <f t="shared" si="90"/>
        <v>0.08</v>
      </c>
      <c r="CA106" s="752">
        <f>-CA105/CA97</f>
        <v>8.1575306786275184E-2</v>
      </c>
      <c r="CB106" s="770"/>
      <c r="CC106" s="772">
        <v>0.08</v>
      </c>
      <c r="CD106" s="772">
        <f>CC106</f>
        <v>0.08</v>
      </c>
      <c r="CE106" s="772">
        <f t="shared" ref="CE106" si="91">CD106</f>
        <v>0.08</v>
      </c>
      <c r="CF106" s="772">
        <f t="shared" ref="CF106" si="92">CE106</f>
        <v>0.08</v>
      </c>
      <c r="CG106" s="752">
        <f>-CG105/CG97</f>
        <v>8.1600986776026785E-2</v>
      </c>
      <c r="CH106" s="770"/>
      <c r="CI106" s="772">
        <v>0.08</v>
      </c>
      <c r="CJ106" s="772">
        <f>CI106</f>
        <v>0.08</v>
      </c>
      <c r="CK106" s="772">
        <f t="shared" ref="CK106" si="93">CJ106</f>
        <v>0.08</v>
      </c>
      <c r="CL106" s="772">
        <f t="shared" ref="CL106" si="94">CK106</f>
        <v>0.08</v>
      </c>
      <c r="CM106" s="752">
        <f>-CM105/CM97</f>
        <v>8.159802263654839E-2</v>
      </c>
      <c r="CN106" s="94"/>
      <c r="CO106" s="94"/>
      <c r="CP106" s="94"/>
      <c r="CQ106" s="94"/>
    </row>
    <row r="107" spans="1:101" ht="12.75" hidden="1" customHeight="1" outlineLevel="1">
      <c r="A107" s="558" t="s">
        <v>290</v>
      </c>
      <c r="B107" s="36"/>
      <c r="C107" s="623">
        <f>+C108-C104-C105</f>
        <v>7.4689999999999923</v>
      </c>
      <c r="D107" s="623">
        <f>+D108-D104-D105</f>
        <v>-0.79600000000002602</v>
      </c>
      <c r="E107" s="623">
        <f>+E108-E104-E105</f>
        <v>-1.5860000000000074</v>
      </c>
      <c r="F107" s="623">
        <f>+F108-F104-F105</f>
        <v>7.5000000000000231</v>
      </c>
      <c r="G107" s="615">
        <f>+SUM(C107:F107)</f>
        <v>12.586999999999982</v>
      </c>
      <c r="H107" s="765"/>
      <c r="I107" s="623">
        <f>+I108-I104-I105</f>
        <v>-24.459999999999994</v>
      </c>
      <c r="J107" s="623">
        <f>+J108-J104-J105</f>
        <v>-2.6999999999995694E-2</v>
      </c>
      <c r="K107" s="623">
        <f>+K108-K104-K105</f>
        <v>10.763000000000014</v>
      </c>
      <c r="L107" s="623">
        <f>+L108-L104-L105</f>
        <v>39.893999999999998</v>
      </c>
      <c r="M107" s="615">
        <f>+SUM(I107:L107)</f>
        <v>26.170000000000023</v>
      </c>
      <c r="N107" s="765"/>
      <c r="O107" s="623">
        <f>+O108-O104-O105</f>
        <v>15.368999999999994</v>
      </c>
      <c r="P107" s="623">
        <f>+P108-P104-P105</f>
        <v>-9.9790000000000152</v>
      </c>
      <c r="Q107" s="623">
        <f>+Q108-Q104-Q105</f>
        <v>-15.147999999999994</v>
      </c>
      <c r="R107" s="623">
        <f>+R108-R104-R105</f>
        <v>177.16299999999998</v>
      </c>
      <c r="S107" s="615">
        <f>+SUM(O107:R107)</f>
        <v>167.40499999999997</v>
      </c>
      <c r="T107" s="765"/>
      <c r="U107" s="623">
        <f>+U108-U104-U105</f>
        <v>-149.08000000000001</v>
      </c>
      <c r="V107" s="623">
        <f>+V108-V104-V105</f>
        <v>12.930999999999994</v>
      </c>
      <c r="W107" s="623">
        <f>+W108-W104-W105</f>
        <v>143.47000000000003</v>
      </c>
      <c r="X107" s="623">
        <f>+X108-X104-X105</f>
        <v>5.7639999999999993</v>
      </c>
      <c r="Y107" s="615">
        <f>+SUM(U107:X107)</f>
        <v>13.084999999999997</v>
      </c>
      <c r="Z107" s="765"/>
      <c r="AA107" s="623">
        <f>+AA108-AA104-AA105</f>
        <v>-4.3310000000000137</v>
      </c>
      <c r="AB107" s="623">
        <f>+AB108-AB104-AB105</f>
        <v>-1.1019999999999932</v>
      </c>
      <c r="AC107" s="623">
        <f>+AC108-AC104-AC105</f>
        <v>7.2980000000000018</v>
      </c>
      <c r="AD107" s="623">
        <f>+AD108-AD104-AD105</f>
        <v>6.6849999999999739</v>
      </c>
      <c r="AE107" s="615">
        <f>SUM(AA107:AD107)</f>
        <v>8.5499999999999687</v>
      </c>
      <c r="AF107" s="765"/>
      <c r="AG107" s="623">
        <f>+AG108-AG104-AG105</f>
        <v>26.094000000000023</v>
      </c>
      <c r="AH107" s="623">
        <f>+AH108-AH104-AH105</f>
        <v>4.4060000000000059</v>
      </c>
      <c r="AI107" s="623">
        <f>+AI108-AI104-AI105</f>
        <v>9.8089999999999975</v>
      </c>
      <c r="AJ107" s="623">
        <f>+AJ108-AJ104-AJ105</f>
        <v>-19.021000000000029</v>
      </c>
      <c r="AK107" s="615">
        <f>SUM(AG107:AJ107)</f>
        <v>21.287999999999997</v>
      </c>
      <c r="AL107" s="765"/>
      <c r="AM107" s="623">
        <f>+AM108-AM104-AM105</f>
        <v>4.5330000000000474</v>
      </c>
      <c r="AN107" s="623">
        <f>+AN108-AN104-AN105</f>
        <v>1.6879999999999491</v>
      </c>
      <c r="AO107" s="623">
        <f>+AO108-AO104-AO105</f>
        <v>11.579000000000015</v>
      </c>
      <c r="AP107" s="623">
        <f>+AP108-AP104-AP105</f>
        <v>4.4230000000000302</v>
      </c>
      <c r="AQ107" s="615">
        <f>SUM(AM107:AP107)</f>
        <v>22.223000000000042</v>
      </c>
      <c r="AR107" s="765"/>
      <c r="AS107" s="623">
        <f>+AS108-AS104-AS105</f>
        <v>2.7570000000000121</v>
      </c>
      <c r="AT107" s="623">
        <f>+AT108-AT104-AT105</f>
        <v>4.6370000000000182</v>
      </c>
      <c r="AU107" s="623">
        <f>+AU108-AU104-AU105</f>
        <v>7.7689999999999841</v>
      </c>
      <c r="AV107" s="380">
        <f>+AV108-AV104-AV105</f>
        <v>20.364000000000019</v>
      </c>
      <c r="AW107" s="615">
        <f>SUM(AS107:AV107)</f>
        <v>35.527000000000029</v>
      </c>
      <c r="AX107" s="765"/>
      <c r="AY107" s="623">
        <f>+AY108-AY104-AY105</f>
        <v>-5.4370000000000047</v>
      </c>
      <c r="AZ107" s="623">
        <f>+AZ108-AZ104-AZ105</f>
        <v>12.770000000000007</v>
      </c>
      <c r="BA107" s="623">
        <f>+BA108-BA104-BA105</f>
        <v>3.9529999999999994</v>
      </c>
      <c r="BB107" s="380">
        <f>+BB108-BB104-BB105</f>
        <v>10.813999999999993</v>
      </c>
      <c r="BC107" s="615">
        <f>SUM(AY107:BB107)</f>
        <v>22.099999999999994</v>
      </c>
      <c r="BD107" s="765"/>
      <c r="BE107" s="623">
        <f>+BE108-BE104-BE105</f>
        <v>-3.7649999999999793</v>
      </c>
      <c r="BF107" s="623">
        <f>+BF108-BF104-BF105</f>
        <v>5.4309999999999974</v>
      </c>
      <c r="BG107" s="623">
        <f>+BG108-BG104-BG105</f>
        <v>0.17799999999999372</v>
      </c>
      <c r="BH107" s="380">
        <f>+BH108-BH104-BH105</f>
        <v>72.146000000000015</v>
      </c>
      <c r="BI107" s="615">
        <f>SUM(BE107:BH107)</f>
        <v>73.990000000000023</v>
      </c>
      <c r="BJ107" s="765"/>
      <c r="BK107" s="623">
        <f>+BK108-BK104-BK105</f>
        <v>-5.2130000000000365</v>
      </c>
      <c r="BL107" s="623">
        <f>+BL108-BL104-BL105</f>
        <v>-3.9669999999999632</v>
      </c>
      <c r="BM107" s="623">
        <f>+BM108-BM104-BM105</f>
        <v>-2.5449999999999768</v>
      </c>
      <c r="BN107" s="380">
        <f>+BN108-BN104-BN105</f>
        <v>-7.4190000000000396</v>
      </c>
      <c r="BO107" s="615">
        <f>SUM(BK107:BN107)</f>
        <v>-19.144000000000016</v>
      </c>
      <c r="BP107" s="765"/>
      <c r="BQ107" s="621">
        <v>0</v>
      </c>
      <c r="BR107" s="621">
        <v>0</v>
      </c>
      <c r="BS107" s="621">
        <v>0</v>
      </c>
      <c r="BT107" s="621">
        <v>0</v>
      </c>
      <c r="BU107" s="615">
        <f>SUM(BQ107:BT107)</f>
        <v>0</v>
      </c>
      <c r="BV107" s="623"/>
      <c r="BW107" s="621">
        <v>0</v>
      </c>
      <c r="BX107" s="621">
        <v>0</v>
      </c>
      <c r="BY107" s="621">
        <v>0</v>
      </c>
      <c r="BZ107" s="621">
        <v>0</v>
      </c>
      <c r="CA107" s="615">
        <f>SUM(BW107:BZ107)</f>
        <v>0</v>
      </c>
      <c r="CB107" s="623"/>
      <c r="CC107" s="621">
        <v>0</v>
      </c>
      <c r="CD107" s="621">
        <v>0</v>
      </c>
      <c r="CE107" s="621">
        <v>0</v>
      </c>
      <c r="CF107" s="621">
        <v>0</v>
      </c>
      <c r="CG107" s="615">
        <f>SUM(CC107:CF107)</f>
        <v>0</v>
      </c>
      <c r="CH107" s="623"/>
      <c r="CI107" s="621">
        <v>0</v>
      </c>
      <c r="CJ107" s="621">
        <v>0</v>
      </c>
      <c r="CK107" s="621">
        <v>0</v>
      </c>
      <c r="CL107" s="621">
        <v>0</v>
      </c>
      <c r="CM107" s="615">
        <f>SUM(CI107:CL107)</f>
        <v>0</v>
      </c>
      <c r="CN107" s="94"/>
      <c r="CO107" s="94"/>
      <c r="CP107" s="94"/>
      <c r="CQ107" s="94"/>
    </row>
    <row r="108" spans="1:101" ht="12.75" hidden="1" customHeight="1" outlineLevel="1">
      <c r="A108" s="194" t="s">
        <v>294</v>
      </c>
      <c r="B108" s="139"/>
      <c r="C108" s="621">
        <v>-344.154</v>
      </c>
      <c r="D108" s="621">
        <v>-353.32600000000002</v>
      </c>
      <c r="E108" s="621">
        <v>-363.09500000000003</v>
      </c>
      <c r="F108" s="621">
        <v>-362.762</v>
      </c>
      <c r="G108" s="615">
        <f>+G104+G105+G107</f>
        <v>-362.762</v>
      </c>
      <c r="H108" s="652"/>
      <c r="I108" s="621">
        <v>-395.21899999999999</v>
      </c>
      <c r="J108" s="621">
        <v>-403.26499999999999</v>
      </c>
      <c r="K108" s="621">
        <v>-400.91899999999998</v>
      </c>
      <c r="L108" s="621">
        <v>-369.29899999999998</v>
      </c>
      <c r="M108" s="615">
        <f>+M104+M105+M107</f>
        <v>-369.29899999999998</v>
      </c>
      <c r="N108" s="652"/>
      <c r="O108" s="621">
        <v>-362.20499999999998</v>
      </c>
      <c r="P108" s="621">
        <v>-380.601</v>
      </c>
      <c r="Q108" s="621">
        <v>-397.50299999999999</v>
      </c>
      <c r="R108" s="621">
        <v>-239.637</v>
      </c>
      <c r="S108" s="615">
        <f>+S104+S105+S107</f>
        <v>-239.637</v>
      </c>
      <c r="T108" s="652"/>
      <c r="U108" s="621">
        <v>-394.41800000000001</v>
      </c>
      <c r="V108" s="621">
        <v>-389.66300000000001</v>
      </c>
      <c r="W108" s="621">
        <v>-253.286</v>
      </c>
      <c r="X108" s="621">
        <v>-255.01499999999999</v>
      </c>
      <c r="Y108" s="615">
        <f>+Y104+Y105+Y107</f>
        <v>-255.01500000000001</v>
      </c>
      <c r="Z108" s="652"/>
      <c r="AA108" s="621">
        <v>-266.899</v>
      </c>
      <c r="AB108" s="621">
        <v>-275.34899999999999</v>
      </c>
      <c r="AC108" s="621">
        <v>-275.86799999999999</v>
      </c>
      <c r="AD108" s="621">
        <v>-277.38600000000002</v>
      </c>
      <c r="AE108" s="615">
        <f>AE104+AE105+AE107</f>
        <v>-277.38600000000008</v>
      </c>
      <c r="AF108" s="652"/>
      <c r="AG108" s="621">
        <v>-266.899</v>
      </c>
      <c r="AH108" s="621">
        <v>-275.34899999999999</v>
      </c>
      <c r="AI108" s="621">
        <v>-275.86799999999999</v>
      </c>
      <c r="AJ108" s="621">
        <v>-302.96300000000002</v>
      </c>
      <c r="AK108" s="615">
        <f>AK104+AK105+AK107</f>
        <v>-302.96300000000008</v>
      </c>
      <c r="AL108" s="652"/>
      <c r="AM108" s="621">
        <v>-306.50099999999998</v>
      </c>
      <c r="AN108" s="621">
        <f>-313.922</f>
        <v>-313.92200000000003</v>
      </c>
      <c r="AO108" s="621">
        <v>-313.71600000000001</v>
      </c>
      <c r="AP108" s="621">
        <v>-318.81099999999998</v>
      </c>
      <c r="AQ108" s="615">
        <f>AQ104+AQ105+AQ107</f>
        <v>-318.81100000000004</v>
      </c>
      <c r="AR108" s="652"/>
      <c r="AS108" s="621">
        <v>-324.79700000000003</v>
      </c>
      <c r="AT108" s="621">
        <v>-328.024</v>
      </c>
      <c r="AU108" s="621">
        <v>-328.58100000000002</v>
      </c>
      <c r="AV108" s="621">
        <v>-316.62</v>
      </c>
      <c r="AW108" s="615">
        <f>AW104+AW105+AW107</f>
        <v>-316.62</v>
      </c>
      <c r="AX108" s="652"/>
      <c r="AY108" s="621">
        <v>-330.59100000000001</v>
      </c>
      <c r="AZ108" s="621">
        <v>-326.18</v>
      </c>
      <c r="BA108" s="621">
        <v>-330.59100000000001</v>
      </c>
      <c r="BB108" s="621">
        <v>-327.92700000000002</v>
      </c>
      <c r="BC108" s="615">
        <f>BC104+BC105+BC107</f>
        <v>-327.92700000000002</v>
      </c>
      <c r="BD108" s="652"/>
      <c r="BE108" s="621">
        <v>-339.649</v>
      </c>
      <c r="BF108" s="621">
        <v>-341.75700000000001</v>
      </c>
      <c r="BG108" s="621">
        <v>-350.17</v>
      </c>
      <c r="BH108" s="621">
        <v>-282.40899999999999</v>
      </c>
      <c r="BI108" s="615">
        <f>BI104+BI105+BI107</f>
        <v>-282.40899999999999</v>
      </c>
      <c r="BJ108" s="652"/>
      <c r="BK108" s="621">
        <v>-295.36900000000003</v>
      </c>
      <c r="BL108" s="621">
        <v>-306.59399999999999</v>
      </c>
      <c r="BM108" s="621">
        <v>-317.44099999999997</v>
      </c>
      <c r="BN108" s="621">
        <v>-332.85300000000001</v>
      </c>
      <c r="BO108" s="615">
        <f>BO104+BO105+BO107</f>
        <v>-332.85300000000001</v>
      </c>
      <c r="BP108" s="652"/>
      <c r="BQ108" s="623">
        <f>BQ104+BQ105+BQ107</f>
        <v>-343.89408250000002</v>
      </c>
      <c r="BR108" s="623">
        <f>BR104+BR105+BR107</f>
        <v>-355.07159055617956</v>
      </c>
      <c r="BS108" s="623">
        <f>BS104+BS105+BS107</f>
        <v>-366.39913325461134</v>
      </c>
      <c r="BT108" s="623">
        <f>BT104+BT105+BT107</f>
        <v>-377.87605325408981</v>
      </c>
      <c r="BU108" s="615">
        <f>BU104+BU105+BU107</f>
        <v>-377.87605325408975</v>
      </c>
      <c r="BV108" s="623"/>
      <c r="BW108" s="623">
        <f>BW104+BW105+BW107</f>
        <v>-391.18403393571901</v>
      </c>
      <c r="BX108" s="623">
        <f>BX104+BX105+BX107</f>
        <v>-404.65786394345105</v>
      </c>
      <c r="BY108" s="623">
        <f>BY104+BY105+BY107</f>
        <v>-418.31520312419065</v>
      </c>
      <c r="BZ108" s="623">
        <f>BZ104+BZ105+BZ107</f>
        <v>-432.15618359457625</v>
      </c>
      <c r="CA108" s="615">
        <f>CA104+CA105+CA107</f>
        <v>-432.15618359457625</v>
      </c>
      <c r="CB108" s="623"/>
      <c r="CC108" s="623">
        <f>CC104+CC105+CC107</f>
        <v>-446.20335756533058</v>
      </c>
      <c r="CD108" s="623">
        <f>CD104+CD105+CD107</f>
        <v>-460.42833828741914</v>
      </c>
      <c r="CE108" s="623">
        <f>CE104+CE105+CE107</f>
        <v>-474.85043456544571</v>
      </c>
      <c r="CF108" s="623">
        <f>CF104+CF105+CF107</f>
        <v>-489.46934646597981</v>
      </c>
      <c r="CG108" s="615">
        <f>CG104+CG105+CG107</f>
        <v>-489.46934646597981</v>
      </c>
      <c r="CH108" s="623"/>
      <c r="CI108" s="623">
        <f>CI104+CI105+CI107</f>
        <v>-504.3081964306042</v>
      </c>
      <c r="CJ108" s="623">
        <f>CJ104+CJ105+CJ107</f>
        <v>-519.33439697317056</v>
      </c>
      <c r="CK108" s="623">
        <f>CK104+CK105+CK107</f>
        <v>-534.56831361255308</v>
      </c>
      <c r="CL108" s="623">
        <f>CL104+CL105+CL107</f>
        <v>-550.01038723166812</v>
      </c>
      <c r="CM108" s="615">
        <f>CM104+CM105+CM107</f>
        <v>-550.01038723166812</v>
      </c>
      <c r="CN108" s="94"/>
      <c r="CO108" s="94"/>
      <c r="CP108" s="94"/>
      <c r="CQ108" s="94"/>
    </row>
    <row r="109" spans="1:101" ht="12.75" hidden="1" customHeight="1" outlineLevel="1">
      <c r="A109" s="194"/>
      <c r="B109" s="139"/>
      <c r="C109" s="621"/>
      <c r="D109" s="621"/>
      <c r="E109" s="621"/>
      <c r="F109" s="621"/>
      <c r="G109" s="600"/>
      <c r="H109" s="652"/>
      <c r="I109" s="621"/>
      <c r="J109" s="621"/>
      <c r="K109" s="621"/>
      <c r="L109" s="621"/>
      <c r="M109" s="600"/>
      <c r="N109" s="652"/>
      <c r="O109" s="621"/>
      <c r="P109" s="621"/>
      <c r="Q109" s="621"/>
      <c r="R109" s="621"/>
      <c r="S109" s="600"/>
      <c r="T109" s="652"/>
      <c r="U109" s="621"/>
      <c r="V109" s="621"/>
      <c r="W109" s="621"/>
      <c r="X109" s="621"/>
      <c r="Y109" s="600"/>
      <c r="Z109" s="652"/>
      <c r="AA109" s="621"/>
      <c r="AB109" s="621"/>
      <c r="AC109" s="621"/>
      <c r="AD109" s="621"/>
      <c r="AE109" s="600"/>
      <c r="AF109" s="652"/>
      <c r="AG109" s="621"/>
      <c r="AH109" s="621"/>
      <c r="AI109" s="621"/>
      <c r="AJ109" s="621"/>
      <c r="AK109" s="600"/>
      <c r="AL109" s="652"/>
      <c r="AM109" s="621"/>
      <c r="AN109" s="621"/>
      <c r="AO109" s="621"/>
      <c r="AP109" s="621"/>
      <c r="AQ109" s="600"/>
      <c r="AR109" s="652"/>
      <c r="AS109" s="621"/>
      <c r="AT109" s="621"/>
      <c r="AU109" s="621"/>
      <c r="AV109" s="621"/>
      <c r="AW109" s="600"/>
      <c r="AX109" s="652"/>
      <c r="AY109" s="621"/>
      <c r="AZ109" s="621"/>
      <c r="BA109" s="621"/>
      <c r="BB109" s="621"/>
      <c r="BC109" s="600"/>
      <c r="BD109" s="652"/>
      <c r="BE109" s="621"/>
      <c r="BF109" s="621"/>
      <c r="BG109" s="621"/>
      <c r="BH109" s="621"/>
      <c r="BI109" s="600"/>
      <c r="BJ109" s="652"/>
      <c r="BK109" s="621"/>
      <c r="BL109" s="621"/>
      <c r="BM109" s="621"/>
      <c r="BN109" s="621"/>
      <c r="BO109" s="600"/>
      <c r="BP109" s="652"/>
      <c r="BQ109" s="621"/>
      <c r="BR109" s="621"/>
      <c r="BS109" s="621"/>
      <c r="BT109" s="621"/>
      <c r="BU109" s="600"/>
      <c r="BV109" s="621"/>
      <c r="BW109" s="621"/>
      <c r="BX109" s="621"/>
      <c r="BY109" s="621"/>
      <c r="BZ109" s="621"/>
      <c r="CA109" s="600"/>
      <c r="CB109" s="621"/>
      <c r="CC109" s="621"/>
      <c r="CD109" s="621"/>
      <c r="CE109" s="621"/>
      <c r="CF109" s="621"/>
      <c r="CG109" s="600"/>
      <c r="CH109" s="621"/>
      <c r="CI109" s="621"/>
      <c r="CJ109" s="621"/>
      <c r="CK109" s="621"/>
      <c r="CL109" s="621"/>
      <c r="CM109" s="600"/>
      <c r="CN109" s="94"/>
      <c r="CO109" s="94"/>
      <c r="CP109" s="94"/>
      <c r="CQ109" s="94"/>
    </row>
    <row r="110" spans="1:101" ht="12.75" hidden="1" customHeight="1" outlineLevel="1">
      <c r="A110" s="194" t="s">
        <v>226</v>
      </c>
      <c r="B110" s="52"/>
      <c r="C110" s="623">
        <f t="shared" ref="C110:AC110" si="95">C16</f>
        <v>188.35599999999999</v>
      </c>
      <c r="D110" s="623">
        <f t="shared" si="95"/>
        <v>190.738</v>
      </c>
      <c r="E110" s="623">
        <f t="shared" si="95"/>
        <v>194.61699999999999</v>
      </c>
      <c r="F110" s="623">
        <f t="shared" si="95"/>
        <v>196.535</v>
      </c>
      <c r="G110" s="615">
        <f t="shared" si="95"/>
        <v>196.535</v>
      </c>
      <c r="H110" s="652"/>
      <c r="I110" s="623">
        <f t="shared" si="95"/>
        <v>203.49799999999999</v>
      </c>
      <c r="J110" s="623">
        <f t="shared" si="95"/>
        <v>207.03100000000006</v>
      </c>
      <c r="K110" s="623">
        <f t="shared" si="95"/>
        <v>209.11500000000001</v>
      </c>
      <c r="L110" s="623">
        <f t="shared" si="95"/>
        <v>205.047</v>
      </c>
      <c r="M110" s="615">
        <f t="shared" si="95"/>
        <v>205.047</v>
      </c>
      <c r="N110" s="652"/>
      <c r="O110" s="623">
        <f t="shared" si="95"/>
        <v>198.34399999999999</v>
      </c>
      <c r="P110" s="623">
        <f t="shared" si="95"/>
        <v>200.87</v>
      </c>
      <c r="Q110" s="623">
        <f t="shared" si="95"/>
        <v>211.35499999999999</v>
      </c>
      <c r="R110" s="623">
        <f t="shared" si="95"/>
        <v>153.02600000000001</v>
      </c>
      <c r="S110" s="615">
        <f t="shared" si="95"/>
        <v>153.02600000000001</v>
      </c>
      <c r="T110" s="652"/>
      <c r="U110" s="623">
        <f t="shared" si="95"/>
        <v>202.60400000000004</v>
      </c>
      <c r="V110" s="623">
        <f t="shared" si="95"/>
        <v>205.58899999999994</v>
      </c>
      <c r="W110" s="623">
        <f t="shared" si="95"/>
        <v>161.05000000000001</v>
      </c>
      <c r="X110" s="623">
        <f t="shared" si="95"/>
        <v>161.82</v>
      </c>
      <c r="Y110" s="615">
        <f t="shared" si="95"/>
        <v>161.82</v>
      </c>
      <c r="Z110" s="652"/>
      <c r="AA110" s="623">
        <f t="shared" si="95"/>
        <v>165.10499999999999</v>
      </c>
      <c r="AB110" s="623">
        <f t="shared" si="95"/>
        <v>167.25100000000003</v>
      </c>
      <c r="AC110" s="623">
        <f t="shared" si="95"/>
        <v>165.858</v>
      </c>
      <c r="AD110" s="623">
        <f>AD16</f>
        <v>174.56700000000001</v>
      </c>
      <c r="AE110" s="615">
        <f>AE102+AE108</f>
        <v>174.56700000000001</v>
      </c>
      <c r="AF110" s="652"/>
      <c r="AG110" s="623">
        <f>AG16</f>
        <v>171.68299999999999</v>
      </c>
      <c r="AH110" s="623">
        <f>AH16</f>
        <v>167.17699999999999</v>
      </c>
      <c r="AI110" s="623">
        <f>AI16</f>
        <v>201.648</v>
      </c>
      <c r="AJ110" s="623">
        <f>AJ16</f>
        <v>210.51599999999999</v>
      </c>
      <c r="AK110" s="615">
        <f>AK102+AK108</f>
        <v>210.51600000000008</v>
      </c>
      <c r="AL110" s="652"/>
      <c r="AM110" s="623">
        <f>AM16</f>
        <v>212.672</v>
      </c>
      <c r="AN110" s="623">
        <f>AN16</f>
        <v>214.12899999999999</v>
      </c>
      <c r="AO110" s="623">
        <f>AO16</f>
        <v>194.69499999999999</v>
      </c>
      <c r="AP110" s="623">
        <f>AP16</f>
        <v>185.37299999999999</v>
      </c>
      <c r="AQ110" s="615">
        <f>AQ102+AQ108</f>
        <v>185.37300000000005</v>
      </c>
      <c r="AR110" s="652"/>
      <c r="AS110" s="623">
        <f>AS16</f>
        <v>182.66800000000001</v>
      </c>
      <c r="AT110" s="623">
        <f>AT16</f>
        <v>179.67599999999999</v>
      </c>
      <c r="AU110" s="623">
        <f>AU16</f>
        <v>177.32400000000001</v>
      </c>
      <c r="AV110" s="380">
        <f>AV16</f>
        <v>176.19399999999999</v>
      </c>
      <c r="AW110" s="615">
        <f>AW102+AW108</f>
        <v>176.19399999999996</v>
      </c>
      <c r="AX110" s="652"/>
      <c r="AY110" s="623">
        <f>AY16</f>
        <v>168.499</v>
      </c>
      <c r="AZ110" s="623">
        <f>AZ16</f>
        <v>166.31700000000001</v>
      </c>
      <c r="BA110" s="623">
        <f>BA16</f>
        <v>164.17699999999999</v>
      </c>
      <c r="BB110" s="380">
        <f>BB16</f>
        <v>167.029</v>
      </c>
      <c r="BC110" s="615">
        <f>BC102+BC108</f>
        <v>167.02899999999994</v>
      </c>
      <c r="BD110" s="652"/>
      <c r="BE110" s="623">
        <f>BE16</f>
        <v>168.125</v>
      </c>
      <c r="BF110" s="623">
        <f>BF16</f>
        <v>167.196</v>
      </c>
      <c r="BG110" s="623">
        <f>BG16</f>
        <v>175.226</v>
      </c>
      <c r="BH110" s="380">
        <f>BH16</f>
        <v>145.494</v>
      </c>
      <c r="BI110" s="615">
        <f>BI102+BI108</f>
        <v>145.49400000000009</v>
      </c>
      <c r="BJ110" s="652"/>
      <c r="BK110" s="623">
        <f>BK16</f>
        <v>153.93700000000001</v>
      </c>
      <c r="BL110" s="623">
        <f>BL16</f>
        <v>154.15600000000001</v>
      </c>
      <c r="BM110" s="623">
        <f>BM16</f>
        <v>157.66499999999999</v>
      </c>
      <c r="BN110" s="380">
        <f>BN16</f>
        <v>298.06599999999997</v>
      </c>
      <c r="BO110" s="615">
        <f>BO102+BO108</f>
        <v>298.06599999999997</v>
      </c>
      <c r="BP110" s="652"/>
      <c r="BQ110" s="623">
        <f>BQ102+BQ108</f>
        <v>294.82066356740182</v>
      </c>
      <c r="BR110" s="623">
        <f>BR102+BR108</f>
        <v>292.21656363992201</v>
      </c>
      <c r="BS110" s="623">
        <f>BS102+BS108</f>
        <v>289.42486671558538</v>
      </c>
      <c r="BT110" s="623">
        <f>BT102+BT108</f>
        <v>287.52298082737275</v>
      </c>
      <c r="BU110" s="615">
        <f>BU102+BU108</f>
        <v>287.52298082737292</v>
      </c>
      <c r="BV110" s="623"/>
      <c r="BW110" s="623">
        <f>BW102+BW108</f>
        <v>282.50746645088208</v>
      </c>
      <c r="BX110" s="623">
        <f>BX102+BX108</f>
        <v>278.20909509352884</v>
      </c>
      <c r="BY110" s="623">
        <f>BY102+BY108</f>
        <v>273.73382039509005</v>
      </c>
      <c r="BZ110" s="623">
        <f>BZ102+BZ108</f>
        <v>270.20251494313976</v>
      </c>
      <c r="CA110" s="615">
        <f>CA102+CA108</f>
        <v>270.20251494313965</v>
      </c>
      <c r="CB110" s="623"/>
      <c r="CC110" s="623">
        <f>CC102+CC108</f>
        <v>265.04567853909674</v>
      </c>
      <c r="CD110" s="623">
        <f>CD102+CD108</f>
        <v>260.67647561390913</v>
      </c>
      <c r="CE110" s="623">
        <f>CE102+CE108</f>
        <v>256.09516046125913</v>
      </c>
      <c r="CF110" s="623">
        <f>CF102+CF108</f>
        <v>252.47315176523966</v>
      </c>
      <c r="CG110" s="615">
        <f>CG102+CG108</f>
        <v>252.47315176523978</v>
      </c>
      <c r="CH110" s="623"/>
      <c r="CI110" s="623">
        <f>CI102+CI108</f>
        <v>247.00183069771106</v>
      </c>
      <c r="CJ110" s="623">
        <f>CJ102+CJ108</f>
        <v>242.36143499595846</v>
      </c>
      <c r="CK110" s="623">
        <f>CK102+CK108</f>
        <v>237.53536734319857</v>
      </c>
      <c r="CL110" s="623">
        <f>CL102+CL108</f>
        <v>233.71491126574142</v>
      </c>
      <c r="CM110" s="615">
        <f>CM102+CM108</f>
        <v>233.71491126574153</v>
      </c>
      <c r="CN110" s="94"/>
      <c r="CO110" s="94"/>
      <c r="CP110" s="94"/>
      <c r="CQ110" s="94"/>
    </row>
    <row r="111" spans="1:101" ht="12.75" hidden="1" customHeight="1" outlineLevel="1">
      <c r="A111" s="194"/>
      <c r="B111" s="36"/>
      <c r="C111" s="773"/>
      <c r="D111" s="773"/>
      <c r="E111" s="773"/>
      <c r="F111" s="773"/>
      <c r="G111" s="599"/>
      <c r="H111" s="774"/>
      <c r="I111" s="773"/>
      <c r="J111" s="773"/>
      <c r="K111" s="773"/>
      <c r="L111" s="773"/>
      <c r="M111" s="599"/>
      <c r="N111" s="774"/>
      <c r="O111" s="773"/>
      <c r="P111" s="773"/>
      <c r="Q111" s="773"/>
      <c r="R111" s="773"/>
      <c r="S111" s="599"/>
      <c r="T111" s="774"/>
      <c r="U111" s="773"/>
      <c r="V111" s="773"/>
      <c r="W111" s="773"/>
      <c r="X111" s="773"/>
      <c r="Y111" s="599"/>
      <c r="Z111" s="774"/>
      <c r="AA111" s="773"/>
      <c r="AB111" s="773"/>
      <c r="AC111" s="773"/>
      <c r="AD111" s="773"/>
      <c r="AE111" s="599"/>
      <c r="AF111" s="774"/>
      <c r="AG111" s="773"/>
      <c r="AH111" s="773"/>
      <c r="AI111" s="773"/>
      <c r="AJ111" s="773"/>
      <c r="AK111" s="599"/>
      <c r="AL111" s="774"/>
      <c r="AM111" s="773"/>
      <c r="AN111" s="773"/>
      <c r="AO111" s="773"/>
      <c r="AP111" s="773"/>
      <c r="AQ111" s="599"/>
      <c r="AR111" s="774"/>
      <c r="AS111" s="773"/>
      <c r="AT111" s="773"/>
      <c r="AU111" s="773"/>
      <c r="AV111" s="773"/>
      <c r="AW111" s="599"/>
      <c r="AX111" s="774"/>
      <c r="AY111" s="773"/>
      <c r="AZ111" s="773"/>
      <c r="BA111" s="773"/>
      <c r="BB111" s="773"/>
      <c r="BC111" s="599"/>
      <c r="BD111" s="774"/>
      <c r="BE111" s="773"/>
      <c r="BF111" s="773"/>
      <c r="BG111" s="773"/>
      <c r="BH111" s="773"/>
      <c r="BI111" s="599"/>
      <c r="BJ111" s="774"/>
      <c r="BK111" s="773"/>
      <c r="BL111" s="773"/>
      <c r="BM111" s="773"/>
      <c r="BN111" s="773"/>
      <c r="BO111" s="599"/>
      <c r="BP111" s="774"/>
      <c r="BQ111" s="773"/>
      <c r="BR111" s="773"/>
      <c r="BS111" s="773"/>
      <c r="BT111" s="773"/>
      <c r="BU111" s="599"/>
      <c r="BV111" s="773"/>
      <c r="BW111" s="773"/>
      <c r="BX111" s="773"/>
      <c r="BY111" s="773"/>
      <c r="BZ111" s="773"/>
      <c r="CA111" s="599"/>
      <c r="CB111" s="773"/>
      <c r="CC111" s="773"/>
      <c r="CD111" s="773"/>
      <c r="CE111" s="773"/>
      <c r="CF111" s="773"/>
      <c r="CG111" s="599"/>
      <c r="CH111" s="773"/>
      <c r="CI111" s="773"/>
      <c r="CJ111" s="773"/>
      <c r="CK111" s="773"/>
      <c r="CL111" s="773"/>
      <c r="CM111" s="599"/>
      <c r="CN111" s="94"/>
      <c r="CO111" s="94"/>
      <c r="CP111" s="94"/>
      <c r="CQ111" s="94"/>
    </row>
    <row r="112" spans="1:101" ht="12.75" hidden="1" customHeight="1" outlineLevel="1">
      <c r="A112" s="194" t="s">
        <v>295</v>
      </c>
      <c r="B112" s="36"/>
      <c r="C112" s="167"/>
      <c r="D112" s="167"/>
      <c r="E112" s="167"/>
      <c r="F112" s="167"/>
      <c r="G112" s="709"/>
      <c r="H112" s="774"/>
      <c r="I112" s="167"/>
      <c r="J112" s="167"/>
      <c r="K112" s="167"/>
      <c r="L112" s="167"/>
      <c r="M112" s="709"/>
      <c r="N112" s="774"/>
      <c r="O112" s="167"/>
      <c r="P112" s="167"/>
      <c r="Q112" s="167"/>
      <c r="R112" s="167"/>
      <c r="S112" s="599"/>
      <c r="T112" s="774"/>
      <c r="U112" s="773"/>
      <c r="V112" s="773"/>
      <c r="W112" s="773"/>
      <c r="X112" s="773"/>
      <c r="Y112" s="751"/>
      <c r="Z112" s="774"/>
      <c r="AA112" s="773"/>
      <c r="AB112" s="773"/>
      <c r="AC112" s="773"/>
      <c r="AD112" s="773"/>
      <c r="AE112" s="599"/>
      <c r="AF112" s="774"/>
      <c r="AG112" s="773"/>
      <c r="AH112" s="773"/>
      <c r="AI112" s="773"/>
      <c r="AJ112" s="773"/>
      <c r="AK112" s="599"/>
      <c r="AL112" s="774"/>
      <c r="AM112" s="773"/>
      <c r="AN112" s="773"/>
      <c r="AO112" s="773"/>
      <c r="AP112" s="773"/>
      <c r="AQ112" s="599"/>
      <c r="AR112" s="774"/>
      <c r="AS112" s="773"/>
      <c r="AT112" s="773"/>
      <c r="AU112" s="773"/>
      <c r="AV112" s="773"/>
      <c r="AW112" s="599"/>
      <c r="AX112" s="774"/>
      <c r="AY112" s="773"/>
      <c r="AZ112" s="773"/>
      <c r="BA112" s="773"/>
      <c r="BB112" s="773"/>
      <c r="BC112" s="599"/>
      <c r="BD112" s="774"/>
      <c r="BE112" s="773"/>
      <c r="BF112" s="773"/>
      <c r="BG112" s="773"/>
      <c r="BH112" s="773"/>
      <c r="BI112" s="599"/>
      <c r="BJ112" s="774"/>
      <c r="BK112" s="773"/>
      <c r="BL112" s="773"/>
      <c r="BM112" s="773"/>
      <c r="BN112" s="773"/>
      <c r="BO112" s="599"/>
      <c r="BP112" s="774"/>
      <c r="BQ112" s="773"/>
      <c r="BR112" s="773"/>
      <c r="BS112" s="773"/>
      <c r="BT112" s="773"/>
      <c r="BU112" s="599"/>
      <c r="BV112" s="773"/>
      <c r="BW112" s="773"/>
      <c r="BX112" s="773"/>
      <c r="BY112" s="773"/>
      <c r="BZ112" s="773"/>
      <c r="CA112" s="599"/>
      <c r="CB112" s="773"/>
      <c r="CC112" s="773"/>
      <c r="CD112" s="773"/>
      <c r="CE112" s="773"/>
      <c r="CF112" s="773"/>
      <c r="CG112" s="599"/>
      <c r="CH112" s="773"/>
      <c r="CI112" s="773"/>
      <c r="CJ112" s="773"/>
      <c r="CK112" s="773"/>
      <c r="CL112" s="773"/>
      <c r="CM112" s="599"/>
      <c r="CN112" s="94"/>
      <c r="CO112" s="94"/>
      <c r="CP112" s="94"/>
      <c r="CQ112" s="94"/>
    </row>
    <row r="113" spans="1:102" ht="12.75" hidden="1" customHeight="1" outlineLevel="1">
      <c r="A113" s="565" t="s">
        <v>296</v>
      </c>
      <c r="B113" s="36"/>
      <c r="C113" s="167"/>
      <c r="D113" s="167"/>
      <c r="E113" s="167"/>
      <c r="F113" s="167"/>
      <c r="G113" s="709"/>
      <c r="H113" s="775"/>
      <c r="I113" s="167"/>
      <c r="J113" s="167"/>
      <c r="K113" s="167"/>
      <c r="L113" s="167"/>
      <c r="M113" s="709"/>
      <c r="N113" s="775"/>
      <c r="O113" s="167"/>
      <c r="P113" s="167"/>
      <c r="Q113" s="167"/>
      <c r="R113" s="167"/>
      <c r="S113" s="599"/>
      <c r="T113" s="775"/>
      <c r="U113" s="773"/>
      <c r="V113" s="773"/>
      <c r="W113" s="773"/>
      <c r="X113" s="773"/>
      <c r="Y113" s="751"/>
      <c r="Z113" s="775"/>
      <c r="AA113" s="773"/>
      <c r="AB113" s="773"/>
      <c r="AC113" s="773"/>
      <c r="AD113" s="773"/>
      <c r="AE113" s="599"/>
      <c r="AF113" s="775"/>
      <c r="AG113" s="773"/>
      <c r="AH113" s="773"/>
      <c r="AI113" s="773"/>
      <c r="AJ113" s="773"/>
      <c r="AK113" s="599"/>
      <c r="AL113" s="775"/>
      <c r="AM113" s="773"/>
      <c r="AN113" s="773"/>
      <c r="AO113" s="773"/>
      <c r="AP113" s="773"/>
      <c r="AQ113" s="599"/>
      <c r="AR113" s="775"/>
      <c r="AS113" s="773"/>
      <c r="AT113" s="773"/>
      <c r="AU113" s="773"/>
      <c r="AV113" s="773"/>
      <c r="AW113" s="599"/>
      <c r="AX113" s="775"/>
      <c r="AY113" s="773"/>
      <c r="AZ113" s="773"/>
      <c r="BA113" s="773"/>
      <c r="BB113" s="773"/>
      <c r="BC113" s="599"/>
      <c r="BD113" s="775"/>
      <c r="BE113" s="773"/>
      <c r="BF113" s="773"/>
      <c r="BG113" s="773"/>
      <c r="BH113" s="773"/>
      <c r="BI113" s="599"/>
      <c r="BJ113" s="775"/>
      <c r="BK113" s="773"/>
      <c r="BL113" s="773"/>
      <c r="BM113" s="773"/>
      <c r="BN113" s="773"/>
      <c r="BO113" s="599"/>
      <c r="BP113" s="775"/>
      <c r="BQ113" s="773"/>
      <c r="BR113" s="773"/>
      <c r="BS113" s="773"/>
      <c r="BT113" s="773"/>
      <c r="BU113" s="599"/>
      <c r="BV113" s="773"/>
      <c r="BW113" s="773"/>
      <c r="BX113" s="773"/>
      <c r="BY113" s="773"/>
      <c r="BZ113" s="773"/>
      <c r="CA113" s="599"/>
      <c r="CB113" s="773"/>
      <c r="CC113" s="773"/>
      <c r="CD113" s="773"/>
      <c r="CE113" s="773"/>
      <c r="CF113" s="773"/>
      <c r="CG113" s="599"/>
      <c r="CH113" s="773"/>
      <c r="CI113" s="773"/>
      <c r="CJ113" s="773"/>
      <c r="CK113" s="773"/>
      <c r="CL113" s="773"/>
      <c r="CM113" s="599"/>
      <c r="CN113" s="94"/>
      <c r="CO113" s="94"/>
      <c r="CP113" s="94"/>
      <c r="CQ113" s="94"/>
    </row>
    <row r="114" spans="1:102" ht="12.75" hidden="1" customHeight="1" outlineLevel="1">
      <c r="A114" s="542"/>
      <c r="B114" s="144"/>
      <c r="C114" s="737"/>
      <c r="D114" s="737"/>
      <c r="E114" s="737"/>
      <c r="F114" s="737"/>
      <c r="G114" s="738"/>
      <c r="H114" s="776"/>
      <c r="I114" s="737"/>
      <c r="J114" s="737"/>
      <c r="K114" s="737"/>
      <c r="L114" s="737"/>
      <c r="M114" s="738"/>
      <c r="N114" s="776"/>
      <c r="O114" s="737"/>
      <c r="P114" s="737"/>
      <c r="Q114" s="737"/>
      <c r="R114" s="737"/>
      <c r="S114" s="777"/>
      <c r="T114" s="776"/>
      <c r="U114" s="778"/>
      <c r="V114" s="778"/>
      <c r="W114" s="778"/>
      <c r="X114" s="778"/>
      <c r="Y114" s="779"/>
      <c r="Z114" s="776"/>
      <c r="AA114" s="778"/>
      <c r="AB114" s="778"/>
      <c r="AC114" s="778"/>
      <c r="AD114" s="778"/>
      <c r="AE114" s="777"/>
      <c r="AF114" s="776"/>
      <c r="AG114" s="778"/>
      <c r="AH114" s="778"/>
      <c r="AI114" s="778"/>
      <c r="AJ114" s="778"/>
      <c r="AK114" s="777"/>
      <c r="AL114" s="776"/>
      <c r="AM114" s="778"/>
      <c r="AN114" s="778"/>
      <c r="AO114" s="778"/>
      <c r="AP114" s="778"/>
      <c r="AQ114" s="777"/>
      <c r="AR114" s="776"/>
      <c r="AS114" s="778"/>
      <c r="AT114" s="778"/>
      <c r="AU114" s="778"/>
      <c r="AV114" s="778"/>
      <c r="AW114" s="777"/>
      <c r="AX114" s="776"/>
      <c r="AY114" s="778"/>
      <c r="AZ114" s="778"/>
      <c r="BA114" s="778"/>
      <c r="BB114" s="778"/>
      <c r="BC114" s="777"/>
      <c r="BD114" s="776"/>
      <c r="BE114" s="778"/>
      <c r="BF114" s="778"/>
      <c r="BG114" s="778"/>
      <c r="BH114" s="778"/>
      <c r="BI114" s="777"/>
      <c r="BJ114" s="776"/>
      <c r="BK114" s="778"/>
      <c r="BL114" s="778"/>
      <c r="BM114" s="778"/>
      <c r="BN114" s="778"/>
      <c r="BO114" s="777"/>
      <c r="BP114" s="776"/>
      <c r="BQ114" s="778"/>
      <c r="BR114" s="778"/>
      <c r="BS114" s="778"/>
      <c r="BT114" s="778"/>
      <c r="BU114" s="777"/>
      <c r="BV114" s="773"/>
      <c r="BW114" s="778"/>
      <c r="BX114" s="778"/>
      <c r="BY114" s="778"/>
      <c r="BZ114" s="778"/>
      <c r="CA114" s="777"/>
      <c r="CB114" s="773"/>
      <c r="CC114" s="778"/>
      <c r="CD114" s="778"/>
      <c r="CE114" s="778"/>
      <c r="CF114" s="778"/>
      <c r="CG114" s="777"/>
      <c r="CH114" s="773"/>
      <c r="CI114" s="778"/>
      <c r="CJ114" s="778"/>
      <c r="CK114" s="778"/>
      <c r="CL114" s="778"/>
      <c r="CM114" s="777"/>
      <c r="CN114" s="94"/>
      <c r="CO114" s="94"/>
      <c r="CP114" s="94"/>
      <c r="CQ114" s="94"/>
    </row>
    <row r="115" spans="1:102" collapsed="1">
      <c r="A115" s="110"/>
      <c r="B115" s="36"/>
      <c r="C115" s="36"/>
      <c r="D115" s="36"/>
      <c r="E115" s="36"/>
      <c r="F115" s="36"/>
      <c r="G115" s="36"/>
      <c r="H115" s="110"/>
      <c r="I115" s="36"/>
      <c r="J115" s="36"/>
      <c r="K115" s="36"/>
      <c r="L115" s="36"/>
      <c r="M115" s="36"/>
      <c r="N115" s="110"/>
      <c r="O115" s="36"/>
      <c r="P115" s="36"/>
      <c r="Q115" s="36"/>
      <c r="R115" s="36"/>
      <c r="S115" s="72"/>
      <c r="T115" s="110"/>
      <c r="U115" s="72"/>
      <c r="V115" s="72"/>
      <c r="W115" s="72"/>
      <c r="X115" s="72"/>
      <c r="Y115" s="569"/>
      <c r="Z115" s="110"/>
      <c r="AA115" s="72"/>
      <c r="AB115" s="72"/>
      <c r="AC115" s="72"/>
      <c r="AD115" s="72"/>
      <c r="AE115" s="72"/>
      <c r="AF115" s="110"/>
      <c r="AG115" s="72"/>
      <c r="AH115" s="72"/>
      <c r="AI115" s="72"/>
      <c r="AJ115" s="72"/>
      <c r="AK115" s="72"/>
      <c r="AL115" s="110"/>
      <c r="AM115" s="72"/>
      <c r="AN115" s="72"/>
      <c r="AO115" s="72"/>
      <c r="AP115" s="72"/>
      <c r="AQ115" s="72"/>
      <c r="AR115" s="110"/>
      <c r="AS115" s="72"/>
      <c r="AT115" s="72"/>
      <c r="AU115" s="72"/>
      <c r="AV115" s="72"/>
      <c r="AW115" s="72"/>
      <c r="AX115" s="110"/>
      <c r="AY115" s="72"/>
      <c r="AZ115" s="72"/>
      <c r="BA115" s="72"/>
      <c r="BB115" s="72"/>
      <c r="BC115" s="72"/>
      <c r="BD115" s="110"/>
      <c r="BE115" s="72"/>
      <c r="BF115" s="72"/>
      <c r="BG115" s="72"/>
      <c r="BH115" s="72"/>
      <c r="BI115" s="72"/>
      <c r="BJ115" s="110"/>
      <c r="BK115" s="72"/>
      <c r="BL115" s="72"/>
      <c r="BM115" s="72"/>
      <c r="BN115" s="72"/>
      <c r="BO115" s="72"/>
      <c r="BP115" s="110"/>
      <c r="BQ115" s="72"/>
      <c r="BR115" s="72"/>
      <c r="BS115" s="72"/>
      <c r="BT115" s="72"/>
      <c r="BU115" s="72"/>
      <c r="BV115" s="72"/>
      <c r="BW115" s="72"/>
      <c r="BX115" s="72"/>
      <c r="BY115" s="72"/>
      <c r="BZ115" s="72"/>
      <c r="CA115" s="72"/>
      <c r="CB115" s="72"/>
      <c r="CC115" s="72"/>
      <c r="CD115" s="72"/>
      <c r="CE115" s="72"/>
      <c r="CF115" s="72"/>
      <c r="CG115" s="72"/>
      <c r="CH115" s="72"/>
      <c r="CI115" s="72"/>
      <c r="CJ115" s="72"/>
      <c r="CK115" s="72"/>
      <c r="CL115" s="72"/>
      <c r="CM115" s="72"/>
      <c r="CN115" s="62"/>
      <c r="CO115" s="62"/>
      <c r="CP115" s="62"/>
      <c r="CQ115" s="62"/>
    </row>
    <row r="116" spans="1:102">
      <c r="A116" s="149" t="s">
        <v>297</v>
      </c>
      <c r="B116" s="146"/>
      <c r="C116" s="146"/>
      <c r="D116" s="146"/>
      <c r="E116" s="146"/>
      <c r="F116" s="146"/>
      <c r="G116" s="147"/>
      <c r="H116" s="148"/>
      <c r="I116" s="146"/>
      <c r="J116" s="146"/>
      <c r="K116" s="146"/>
      <c r="L116" s="146"/>
      <c r="M116" s="147"/>
      <c r="N116" s="148"/>
      <c r="O116" s="146"/>
      <c r="P116" s="146"/>
      <c r="Q116" s="146"/>
      <c r="R116" s="146"/>
      <c r="S116" s="155"/>
      <c r="T116" s="148"/>
      <c r="U116" s="151"/>
      <c r="V116" s="151"/>
      <c r="W116" s="151"/>
      <c r="X116" s="151"/>
      <c r="Y116" s="154"/>
      <c r="Z116" s="148"/>
      <c r="AA116" s="151"/>
      <c r="AB116" s="151"/>
      <c r="AC116" s="151"/>
      <c r="AD116" s="151"/>
      <c r="AE116" s="155"/>
      <c r="AF116" s="148"/>
      <c r="AG116" s="151"/>
      <c r="AH116" s="151"/>
      <c r="AI116" s="151"/>
      <c r="AJ116" s="151"/>
      <c r="AK116" s="155"/>
      <c r="AL116" s="148"/>
      <c r="AM116" s="151"/>
      <c r="AN116" s="151"/>
      <c r="AO116" s="151"/>
      <c r="AP116" s="151"/>
      <c r="AQ116" s="155"/>
      <c r="AR116" s="148"/>
      <c r="AS116" s="151"/>
      <c r="AT116" s="151"/>
      <c r="AU116" s="151"/>
      <c r="AV116" s="151"/>
      <c r="AW116" s="155"/>
      <c r="AX116" s="148"/>
      <c r="AY116" s="151"/>
      <c r="AZ116" s="151"/>
      <c r="BA116" s="151"/>
      <c r="BB116" s="151"/>
      <c r="BC116" s="155"/>
      <c r="BD116" s="148"/>
      <c r="BE116" s="151"/>
      <c r="BF116" s="151"/>
      <c r="BG116" s="151"/>
      <c r="BH116" s="151"/>
      <c r="BI116" s="155"/>
      <c r="BJ116" s="148"/>
      <c r="BK116" s="151"/>
      <c r="BL116" s="151"/>
      <c r="BM116" s="151"/>
      <c r="BN116" s="151"/>
      <c r="BO116" s="155"/>
      <c r="BP116" s="148"/>
      <c r="BQ116" s="151"/>
      <c r="BR116" s="151"/>
      <c r="BS116" s="151"/>
      <c r="BT116" s="151"/>
      <c r="BU116" s="155"/>
      <c r="BV116" s="1793"/>
      <c r="BW116" s="151"/>
      <c r="BX116" s="151"/>
      <c r="BY116" s="151"/>
      <c r="BZ116" s="151"/>
      <c r="CA116" s="155"/>
      <c r="CB116" s="1793"/>
      <c r="CC116" s="151"/>
      <c r="CD116" s="151"/>
      <c r="CE116" s="151"/>
      <c r="CF116" s="151"/>
      <c r="CG116" s="155"/>
      <c r="CH116" s="1793"/>
      <c r="CI116" s="151"/>
      <c r="CJ116" s="151"/>
      <c r="CK116" s="151"/>
      <c r="CL116" s="151"/>
      <c r="CM116" s="155"/>
      <c r="CN116" s="94"/>
      <c r="CO116" s="94"/>
      <c r="CP116" s="94"/>
      <c r="CQ116" s="94"/>
    </row>
    <row r="117" spans="1:102" ht="12.75" hidden="1" customHeight="1" outlineLevel="1">
      <c r="A117" s="194" t="s">
        <v>298</v>
      </c>
      <c r="B117" s="52"/>
      <c r="C117" s="5">
        <v>404.02100000000002</v>
      </c>
      <c r="D117" s="224">
        <f>+C122</f>
        <v>421.22800000000001</v>
      </c>
      <c r="E117" s="224">
        <f>+D122</f>
        <v>414.73700000000002</v>
      </c>
      <c r="F117" s="224">
        <f>+E122</f>
        <v>406.589</v>
      </c>
      <c r="G117" s="528">
        <f>+C117</f>
        <v>404.02100000000002</v>
      </c>
      <c r="H117" s="646"/>
      <c r="I117" s="224">
        <f>+G122</f>
        <v>479.209</v>
      </c>
      <c r="J117" s="224">
        <f>+I122</f>
        <v>493.976</v>
      </c>
      <c r="K117" s="224">
        <f>+J122</f>
        <v>483.58199999999999</v>
      </c>
      <c r="L117" s="224">
        <f>+K122</f>
        <v>466.82100000000003</v>
      </c>
      <c r="M117" s="528">
        <f>+I117</f>
        <v>479.209</v>
      </c>
      <c r="N117" s="646"/>
      <c r="O117" s="224">
        <f>+M122</f>
        <v>452.47300000000001</v>
      </c>
      <c r="P117" s="224">
        <f>+O122</f>
        <v>449.49299999999999</v>
      </c>
      <c r="Q117" s="224">
        <f>+P122</f>
        <v>456.363</v>
      </c>
      <c r="R117" s="224">
        <f>+Q122</f>
        <v>474.61399999999998</v>
      </c>
      <c r="S117" s="528">
        <f>+O117</f>
        <v>452.47300000000001</v>
      </c>
      <c r="T117" s="646"/>
      <c r="U117" s="224">
        <f>+S122</f>
        <v>442.67500000000001</v>
      </c>
      <c r="V117" s="224">
        <f>+U122</f>
        <v>443.14299999999997</v>
      </c>
      <c r="W117" s="224">
        <f>+V122</f>
        <v>459.42899999999997</v>
      </c>
      <c r="X117" s="224">
        <f>+W122</f>
        <v>439.44</v>
      </c>
      <c r="Y117" s="528">
        <f>+U117</f>
        <v>442.67500000000001</v>
      </c>
      <c r="Z117" s="646"/>
      <c r="AA117" s="224">
        <f>+Y122</f>
        <v>424.24799999999999</v>
      </c>
      <c r="AB117" s="224">
        <f>+AA122</f>
        <v>432.47199999999998</v>
      </c>
      <c r="AC117" s="224">
        <f>AB122</f>
        <v>534.96500000000003</v>
      </c>
      <c r="AD117" s="224">
        <f>AC122</f>
        <v>512.27700000000004</v>
      </c>
      <c r="AE117" s="528">
        <f>Y122</f>
        <v>424.24799999999999</v>
      </c>
      <c r="AF117" s="646"/>
      <c r="AG117" s="224">
        <f>+AE122</f>
        <v>661.60699999999997</v>
      </c>
      <c r="AH117" s="224">
        <f>+AG122</f>
        <v>638.76300000000003</v>
      </c>
      <c r="AI117" s="224">
        <f>AH122</f>
        <v>613.00900000000001</v>
      </c>
      <c r="AJ117" s="224">
        <f>AI122</f>
        <v>606.1</v>
      </c>
      <c r="AK117" s="528">
        <f>AE122</f>
        <v>661.60699999999997</v>
      </c>
      <c r="AL117" s="646"/>
      <c r="AM117" s="224">
        <f>+AK122</f>
        <v>529.90099999999995</v>
      </c>
      <c r="AN117" s="224">
        <f>AM122</f>
        <v>506.54</v>
      </c>
      <c r="AO117" s="224">
        <f>AN122</f>
        <v>487.31200000000001</v>
      </c>
      <c r="AP117" s="224">
        <f>AO122</f>
        <v>481.41699999999997</v>
      </c>
      <c r="AQ117" s="528">
        <f>AK122</f>
        <v>529.90099999999995</v>
      </c>
      <c r="AR117" s="646"/>
      <c r="AS117" s="224">
        <f>AQ122</f>
        <v>460.43000000000006</v>
      </c>
      <c r="AT117" s="224">
        <f>AS122</f>
        <v>437.88200000000001</v>
      </c>
      <c r="AU117" s="224">
        <f>AT122</f>
        <v>417.30799999999999</v>
      </c>
      <c r="AV117" s="1058">
        <f>AU122</f>
        <v>396.46600000000001</v>
      </c>
      <c r="AW117" s="528">
        <f>AQ122</f>
        <v>460.43000000000006</v>
      </c>
      <c r="AX117" s="646"/>
      <c r="AY117" s="224">
        <f>AW122</f>
        <v>490.26499999999999</v>
      </c>
      <c r="AZ117" s="224">
        <f>AY122</f>
        <v>470.012</v>
      </c>
      <c r="BA117" s="224">
        <f>AZ122</f>
        <v>454.25099999999998</v>
      </c>
      <c r="BB117" s="224">
        <f>BA122</f>
        <v>424.23899999999998</v>
      </c>
      <c r="BC117" s="528">
        <f>AW122</f>
        <v>490.26499999999999</v>
      </c>
      <c r="BD117" s="646"/>
      <c r="BE117" s="224">
        <f>BC122</f>
        <v>490.81099999999992</v>
      </c>
      <c r="BF117" s="224">
        <f>BE122</f>
        <v>481.59800000000001</v>
      </c>
      <c r="BG117" s="224">
        <f>BF122</f>
        <v>454.40699999999998</v>
      </c>
      <c r="BH117" s="224">
        <f>BG122</f>
        <v>452.45800000000003</v>
      </c>
      <c r="BI117" s="528">
        <f>BC122</f>
        <v>490.81099999999992</v>
      </c>
      <c r="BJ117" s="646"/>
      <c r="BK117" s="224">
        <f>BI122</f>
        <v>420.22399999999999</v>
      </c>
      <c r="BL117" s="224">
        <f>BK122</f>
        <v>455.12799999999999</v>
      </c>
      <c r="BM117" s="224">
        <f>BL122</f>
        <v>453.05900000000003</v>
      </c>
      <c r="BN117" s="224">
        <f>BM122</f>
        <v>441.42500000000001</v>
      </c>
      <c r="BO117" s="528">
        <f>BI122</f>
        <v>420.22399999999999</v>
      </c>
      <c r="BP117" s="646"/>
      <c r="BQ117" s="224">
        <f>BO122</f>
        <v>1346.94</v>
      </c>
      <c r="BR117" s="224">
        <f>BQ122</f>
        <v>1326.7359000000001</v>
      </c>
      <c r="BS117" s="224">
        <f>BR122</f>
        <v>1306.8348615000002</v>
      </c>
      <c r="BT117" s="224">
        <f>BS122</f>
        <v>1287.2323385775003</v>
      </c>
      <c r="BU117" s="528">
        <f>BO122</f>
        <v>1346.94</v>
      </c>
      <c r="BV117" s="224"/>
      <c r="BW117" s="224">
        <f>BU122</f>
        <v>1267.9238534988376</v>
      </c>
      <c r="BX117" s="224">
        <f>BW122</f>
        <v>1247.3200908794815</v>
      </c>
      <c r="BY117" s="224">
        <f>BX122</f>
        <v>1227.0511394026901</v>
      </c>
      <c r="BZ117" s="224">
        <f>BY122</f>
        <v>1207.1115583873964</v>
      </c>
      <c r="CA117" s="528">
        <f>BU122</f>
        <v>1267.9238534988376</v>
      </c>
      <c r="CB117" s="224"/>
      <c r="CC117" s="224">
        <f>CA122</f>
        <v>1187.4959955636011</v>
      </c>
      <c r="CD117" s="224">
        <f>CC122</f>
        <v>1166.7148156412381</v>
      </c>
      <c r="CE117" s="224">
        <f>CD122</f>
        <v>1146.2973063675165</v>
      </c>
      <c r="CF117" s="224">
        <f>CE122</f>
        <v>1126.2371035060851</v>
      </c>
      <c r="CG117" s="528">
        <f>CA122</f>
        <v>1187.4959955636011</v>
      </c>
      <c r="CH117" s="224"/>
      <c r="CI117" s="224">
        <f>CG122</f>
        <v>1106.5279541947284</v>
      </c>
      <c r="CJ117" s="224">
        <f>CI122</f>
        <v>1085.7805550535772</v>
      </c>
      <c r="CK117" s="224">
        <f>CJ122</f>
        <v>1065.4221696463226</v>
      </c>
      <c r="CL117" s="224">
        <f>CK122</f>
        <v>1045.445503965454</v>
      </c>
      <c r="CM117" s="528">
        <f>CG122</f>
        <v>1106.5279541947284</v>
      </c>
      <c r="CN117" s="94"/>
      <c r="CO117" s="94"/>
      <c r="CP117" s="94"/>
      <c r="CQ117" s="94"/>
    </row>
    <row r="118" spans="1:102" ht="12.75" hidden="1" customHeight="1" outlineLevel="1">
      <c r="A118" s="558" t="s">
        <v>289</v>
      </c>
      <c r="B118" s="139"/>
      <c r="C118" s="5">
        <v>0</v>
      </c>
      <c r="D118" s="5">
        <v>0</v>
      </c>
      <c r="E118" s="5">
        <v>0</v>
      </c>
      <c r="F118" s="5">
        <v>0</v>
      </c>
      <c r="G118" s="686">
        <f>+SUM(C118:F118)</f>
        <v>0</v>
      </c>
      <c r="H118" s="687"/>
      <c r="I118" s="5">
        <v>0</v>
      </c>
      <c r="J118" s="5">
        <v>0</v>
      </c>
      <c r="K118" s="5">
        <v>0</v>
      </c>
      <c r="L118" s="5">
        <v>0</v>
      </c>
      <c r="M118" s="686">
        <f>+SUM(I118:L118)</f>
        <v>0</v>
      </c>
      <c r="N118" s="687"/>
      <c r="O118" s="5">
        <v>0</v>
      </c>
      <c r="P118" s="5">
        <v>0</v>
      </c>
      <c r="Q118" s="5">
        <v>0</v>
      </c>
      <c r="R118" s="5">
        <v>0</v>
      </c>
      <c r="S118" s="686">
        <f>+SUM(O118:R118)</f>
        <v>0</v>
      </c>
      <c r="T118" s="687"/>
      <c r="U118" s="5">
        <v>0</v>
      </c>
      <c r="V118" s="5">
        <v>0</v>
      </c>
      <c r="W118" s="5">
        <v>0</v>
      </c>
      <c r="X118" s="5">
        <v>0</v>
      </c>
      <c r="Y118" s="686">
        <f>+SUM(U118:X118)</f>
        <v>0</v>
      </c>
      <c r="Z118" s="687"/>
      <c r="AA118" s="5">
        <v>0</v>
      </c>
      <c r="AB118" s="5">
        <v>0</v>
      </c>
      <c r="AC118" s="5">
        <v>0</v>
      </c>
      <c r="AD118" s="5">
        <v>0</v>
      </c>
      <c r="AE118" s="528">
        <f>SUM(AA118:AD118)</f>
        <v>0</v>
      </c>
      <c r="AF118" s="687"/>
      <c r="AG118" s="5">
        <v>0</v>
      </c>
      <c r="AH118" s="5">
        <v>0</v>
      </c>
      <c r="AI118" s="5">
        <v>0</v>
      </c>
      <c r="AJ118" s="5">
        <v>0</v>
      </c>
      <c r="AK118" s="528">
        <f>SUM(AG118:AJ118)</f>
        <v>0</v>
      </c>
      <c r="AL118" s="687"/>
      <c r="AM118" s="5">
        <v>0</v>
      </c>
      <c r="AN118" s="5">
        <v>0</v>
      </c>
      <c r="AO118" s="5">
        <v>0</v>
      </c>
      <c r="AP118" s="1252">
        <v>0</v>
      </c>
      <c r="AQ118" s="528">
        <f>SUM(AM118:AP118)</f>
        <v>0</v>
      </c>
      <c r="AR118" s="687"/>
      <c r="AS118" s="5">
        <v>0</v>
      </c>
      <c r="AT118" s="5">
        <v>0</v>
      </c>
      <c r="AU118" s="5">
        <v>0</v>
      </c>
      <c r="AV118" s="5">
        <v>2.8</v>
      </c>
      <c r="AW118" s="528">
        <f>SUM(AS118:AV118)</f>
        <v>2.8</v>
      </c>
      <c r="AX118" s="687"/>
      <c r="AY118" s="621">
        <v>0</v>
      </c>
      <c r="AZ118" s="5">
        <v>0</v>
      </c>
      <c r="BA118" s="5">
        <v>0</v>
      </c>
      <c r="BB118" s="5">
        <v>0</v>
      </c>
      <c r="BC118" s="615">
        <f>SUM(AY118:BB118)</f>
        <v>0</v>
      </c>
      <c r="BD118" s="765"/>
      <c r="BE118" s="621">
        <v>0</v>
      </c>
      <c r="BF118" s="5">
        <v>0</v>
      </c>
      <c r="BG118" s="5">
        <v>0</v>
      </c>
      <c r="BH118" s="5">
        <v>0</v>
      </c>
      <c r="BI118" s="615">
        <f>SUM(BE118:BH118)</f>
        <v>0</v>
      </c>
      <c r="BJ118" s="765"/>
      <c r="BK118" s="621">
        <v>0</v>
      </c>
      <c r="BL118" s="5">
        <v>0</v>
      </c>
      <c r="BM118" s="5">
        <v>0</v>
      </c>
      <c r="BN118" s="2368">
        <v>474.26074999999872</v>
      </c>
      <c r="BO118" s="615">
        <f>SUM(BK118:BN118)</f>
        <v>474.26074999999872</v>
      </c>
      <c r="BP118" s="765"/>
      <c r="BQ118" s="693">
        <f>BQ134*-CFS!BQ31</f>
        <v>0</v>
      </c>
      <c r="BR118" s="693">
        <f>BR134*-CFS!BR31</f>
        <v>0</v>
      </c>
      <c r="BS118" s="693">
        <f>BS134*-CFS!BS31</f>
        <v>0</v>
      </c>
      <c r="BT118" s="693">
        <f>BT134*-CFS!BT31</f>
        <v>0</v>
      </c>
      <c r="BU118" s="615">
        <f>SUM(BQ118:BT118)</f>
        <v>0</v>
      </c>
      <c r="BV118" s="623"/>
      <c r="BW118" s="693">
        <f>BW134*-CFS!BW31</f>
        <v>0</v>
      </c>
      <c r="BX118" s="693">
        <f>BX134*-CFS!BX31</f>
        <v>0</v>
      </c>
      <c r="BY118" s="693">
        <f>BY134*-CFS!BY31</f>
        <v>0</v>
      </c>
      <c r="BZ118" s="693">
        <f>BZ134*-CFS!BZ31</f>
        <v>0</v>
      </c>
      <c r="CA118" s="615">
        <f>SUM(BW118:BZ118)</f>
        <v>0</v>
      </c>
      <c r="CB118" s="623"/>
      <c r="CC118" s="693">
        <f>CC134*-CFS!CC31</f>
        <v>0</v>
      </c>
      <c r="CD118" s="693">
        <f>CD134*-CFS!CD31</f>
        <v>0</v>
      </c>
      <c r="CE118" s="693">
        <f>CE134*-CFS!CE31</f>
        <v>0</v>
      </c>
      <c r="CF118" s="693">
        <f>CF134*-CFS!CF31</f>
        <v>0</v>
      </c>
      <c r="CG118" s="615">
        <f>SUM(CC118:CF118)</f>
        <v>0</v>
      </c>
      <c r="CH118" s="623"/>
      <c r="CI118" s="693">
        <f>CI134*-CFS!CI31</f>
        <v>0</v>
      </c>
      <c r="CJ118" s="693">
        <f>CJ134*-CFS!CJ31</f>
        <v>0</v>
      </c>
      <c r="CK118" s="693">
        <f>CK134*-CFS!CK31</f>
        <v>0</v>
      </c>
      <c r="CL118" s="693">
        <f>CL134*-CFS!CL31</f>
        <v>0</v>
      </c>
      <c r="CM118" s="615">
        <f>SUM(CI118:CL118)</f>
        <v>0</v>
      </c>
      <c r="CN118" s="98"/>
      <c r="CO118" s="98"/>
      <c r="CP118" s="98"/>
      <c r="CQ118" s="98"/>
      <c r="CX118" s="228"/>
    </row>
    <row r="119" spans="1:102" ht="12.75" hidden="1" customHeight="1" outlineLevel="1">
      <c r="A119" s="558" t="s">
        <v>127</v>
      </c>
      <c r="B119" s="140"/>
      <c r="C119" s="5">
        <v>-10.4</v>
      </c>
      <c r="D119" s="5">
        <f>-21.1-C119</f>
        <v>-10.700000000000001</v>
      </c>
      <c r="E119" s="5">
        <f>-31.9-C119-D119</f>
        <v>-10.799999999999999</v>
      </c>
      <c r="F119" s="5">
        <f>-44.1-C119-D119-E119</f>
        <v>-12.200000000000001</v>
      </c>
      <c r="G119" s="528">
        <f>SUM(C119:F119)</f>
        <v>-44.1</v>
      </c>
      <c r="H119" s="689"/>
      <c r="I119" s="5">
        <v>-13.6</v>
      </c>
      <c r="J119" s="5">
        <f>-27.9-I119</f>
        <v>-14.299999999999999</v>
      </c>
      <c r="K119" s="5">
        <f>-42-I119-J119</f>
        <v>-14.1</v>
      </c>
      <c r="L119" s="5">
        <f>-55.6-I119-J119-K119</f>
        <v>-13.600000000000003</v>
      </c>
      <c r="M119" s="528">
        <f>SUM(I119:L119)</f>
        <v>-55.6</v>
      </c>
      <c r="N119" s="689"/>
      <c r="O119" s="5">
        <v>-13.4</v>
      </c>
      <c r="P119" s="5">
        <f>-27.4-O119</f>
        <v>-13.999999999999998</v>
      </c>
      <c r="Q119" s="5">
        <f>-39.5-O119-P119</f>
        <v>-12.100000000000003</v>
      </c>
      <c r="R119" s="5">
        <f>-54.1-O119-P119-Q119</f>
        <v>-14.6</v>
      </c>
      <c r="S119" s="528">
        <f>SUM(O119:R119)</f>
        <v>-54.1</v>
      </c>
      <c r="T119" s="689"/>
      <c r="U119" s="5">
        <v>-14.3</v>
      </c>
      <c r="V119" s="5">
        <f>-29.2-U119</f>
        <v>-14.899999999999999</v>
      </c>
      <c r="W119" s="5">
        <f>-44.9-U119-V119</f>
        <v>-15.7</v>
      </c>
      <c r="X119" s="5">
        <f>-60.7-U119-V119-W119</f>
        <v>-15.800000000000008</v>
      </c>
      <c r="Y119" s="528">
        <f>SUM(U119:X119)</f>
        <v>-60.7</v>
      </c>
      <c r="Z119" s="689"/>
      <c r="AA119" s="5">
        <v>-16.399999999999999</v>
      </c>
      <c r="AB119" s="5">
        <f>-35.7-AA119</f>
        <v>-19.300000000000004</v>
      </c>
      <c r="AC119" s="5">
        <f>-56-SUM(AA119:AB119)</f>
        <v>-20.299999999999997</v>
      </c>
      <c r="AD119" s="5">
        <f>-80-SUM(AA119:AC119)</f>
        <v>-24</v>
      </c>
      <c r="AE119" s="528">
        <f>SUM(AA119:AD119)</f>
        <v>-80</v>
      </c>
      <c r="AF119" s="689"/>
      <c r="AG119" s="5">
        <v>-16.399999999999999</v>
      </c>
      <c r="AH119" s="5">
        <f>-35.7-AG119</f>
        <v>-19.300000000000004</v>
      </c>
      <c r="AI119" s="5">
        <f>-56-SUM(AG119:AH119)</f>
        <v>-20.299999999999997</v>
      </c>
      <c r="AJ119" s="5">
        <f>-80-SUM(AG119:AI119)</f>
        <v>-24</v>
      </c>
      <c r="AK119" s="528">
        <f>SUM(AG119:AJ119)</f>
        <v>-80</v>
      </c>
      <c r="AL119" s="689"/>
      <c r="AM119" s="5">
        <v>-22.5</v>
      </c>
      <c r="AN119" s="5">
        <f>-44.8-AM119</f>
        <v>-22.299999999999997</v>
      </c>
      <c r="AO119" s="5">
        <f>-67.9-SUM(AM119:AN119)</f>
        <v>-23.100000000000009</v>
      </c>
      <c r="AP119" s="5">
        <f>-90.4-SUM(AM119:AO119)</f>
        <v>-22.5</v>
      </c>
      <c r="AQ119" s="528">
        <f>SUM(AM119:AP119)</f>
        <v>-90.4</v>
      </c>
      <c r="AR119" s="689"/>
      <c r="AS119" s="5">
        <v>-20.7</v>
      </c>
      <c r="AT119" s="5">
        <v>-20.6</v>
      </c>
      <c r="AU119" s="5">
        <v>-20.6</v>
      </c>
      <c r="AV119" s="5">
        <v>-21.5</v>
      </c>
      <c r="AW119" s="528">
        <f>SUM(AS119:AV119)</f>
        <v>-83.4</v>
      </c>
      <c r="AX119" s="689"/>
      <c r="AY119" s="5">
        <v>-19.8</v>
      </c>
      <c r="AZ119" s="5">
        <v>-19.899999999999999</v>
      </c>
      <c r="BA119" s="5">
        <v>-18.8</v>
      </c>
      <c r="BB119" s="5">
        <f>-78.6-SUM(AY119:BA119)</f>
        <v>-20.099999999999994</v>
      </c>
      <c r="BC119" s="528">
        <f>SUM(AY119:BB119)</f>
        <v>-78.599999999999994</v>
      </c>
      <c r="BD119" s="689"/>
      <c r="BE119" s="5">
        <v>-19</v>
      </c>
      <c r="BF119" s="5">
        <v>-18.899999999999999</v>
      </c>
      <c r="BG119" s="5">
        <v>-17.3</v>
      </c>
      <c r="BH119" s="5">
        <f>-71.5-SUM(BE119:BG119)</f>
        <v>-16.299999999999997</v>
      </c>
      <c r="BI119" s="528">
        <f>SUM(BE119:BH119)</f>
        <v>-71.5</v>
      </c>
      <c r="BJ119" s="689"/>
      <c r="BK119" s="5">
        <v>-17</v>
      </c>
      <c r="BL119" s="5">
        <v>-17.5</v>
      </c>
      <c r="BM119" s="5">
        <v>-17.7</v>
      </c>
      <c r="BN119" s="5">
        <f>-73.7-SUM(BK119:BM119)</f>
        <v>-21.5</v>
      </c>
      <c r="BO119" s="528">
        <f>SUM(BK119:BN119)</f>
        <v>-73.7</v>
      </c>
      <c r="BP119" s="689"/>
      <c r="BQ119" s="224">
        <f>-BQ120*BQ117/4</f>
        <v>-20.2041</v>
      </c>
      <c r="BR119" s="224">
        <f>-BR120*BR117/4</f>
        <v>-19.901038500000002</v>
      </c>
      <c r="BS119" s="224">
        <f>-BS120*BS117/4</f>
        <v>-19.602522922500004</v>
      </c>
      <c r="BT119" s="224">
        <f>-BT120*BT117/4</f>
        <v>-19.308485078662503</v>
      </c>
      <c r="BU119" s="528">
        <f>SUM(BQ119:BT119)</f>
        <v>-79.01614650116251</v>
      </c>
      <c r="BV119" s="224"/>
      <c r="BW119" s="224">
        <f>-BW120*BW117/4</f>
        <v>-20.603762619356111</v>
      </c>
      <c r="BX119" s="224">
        <f>-BX120*BX117/4</f>
        <v>-20.268951476791575</v>
      </c>
      <c r="BY119" s="224">
        <f>-BY120*BY117/4</f>
        <v>-19.939581015293715</v>
      </c>
      <c r="BZ119" s="224">
        <f>-BZ120*BZ117/4</f>
        <v>-19.615562823795191</v>
      </c>
      <c r="CA119" s="528">
        <f>SUM(BW119:BZ119)</f>
        <v>-80.427857935236588</v>
      </c>
      <c r="CB119" s="224"/>
      <c r="CC119" s="224">
        <f>-CC120*CC117/4</f>
        <v>-20.781179922363023</v>
      </c>
      <c r="CD119" s="224">
        <f>-CD120*CD117/4</f>
        <v>-20.41750927372167</v>
      </c>
      <c r="CE119" s="224">
        <f>-CE120*CE117/4</f>
        <v>-20.060202861431542</v>
      </c>
      <c r="CF119" s="224">
        <f>-CF120*CF117/4</f>
        <v>-19.709149311356491</v>
      </c>
      <c r="CG119" s="528">
        <f>SUM(CC119:CF119)</f>
        <v>-80.968041368872719</v>
      </c>
      <c r="CH119" s="224"/>
      <c r="CI119" s="224">
        <f>-CI120*CI117/4</f>
        <v>-20.747399141151156</v>
      </c>
      <c r="CJ119" s="224">
        <f>-CJ120*CJ117/4</f>
        <v>-20.358385407254573</v>
      </c>
      <c r="CK119" s="224">
        <f>-CK120*CK117/4</f>
        <v>-19.976665680868546</v>
      </c>
      <c r="CL119" s="224">
        <f>-CL120*CL117/4</f>
        <v>-19.602103199352261</v>
      </c>
      <c r="CM119" s="528">
        <f>SUM(CI119:CL119)</f>
        <v>-80.684553428626529</v>
      </c>
      <c r="CN119" s="128"/>
      <c r="CO119" s="128"/>
      <c r="CP119" s="128"/>
      <c r="CQ119" s="128"/>
      <c r="CX119" s="228"/>
    </row>
    <row r="120" spans="1:102" ht="12.75" hidden="1" customHeight="1" outlineLevel="1">
      <c r="A120" s="570" t="s">
        <v>299</v>
      </c>
      <c r="B120" s="35"/>
      <c r="C120" s="35">
        <f>-C119*4/C117</f>
        <v>0.10296494489147841</v>
      </c>
      <c r="D120" s="35">
        <f>-D119*4/D117</f>
        <v>0.10160768040111294</v>
      </c>
      <c r="E120" s="35">
        <f>-E119*4/E117</f>
        <v>0.10416239689248848</v>
      </c>
      <c r="F120" s="35">
        <f>-F119*4/F117</f>
        <v>0.12002292241059154</v>
      </c>
      <c r="G120" s="526">
        <f>-G119/G117</f>
        <v>0.10915274206043746</v>
      </c>
      <c r="H120" s="571"/>
      <c r="I120" s="35">
        <f>-I119*4/I117</f>
        <v>0.11352040550156611</v>
      </c>
      <c r="J120" s="35">
        <f>-J119*4/J117</f>
        <v>0.11579509935705377</v>
      </c>
      <c r="K120" s="35">
        <f>-K119*4/K117</f>
        <v>0.11662965122771318</v>
      </c>
      <c r="L120" s="35">
        <f>-L119*4/L117</f>
        <v>0.11653288948012196</v>
      </c>
      <c r="M120" s="526">
        <f>-M119/M117</f>
        <v>0.11602453209351243</v>
      </c>
      <c r="N120" s="571"/>
      <c r="O120" s="35">
        <f>-O119*4/O117</f>
        <v>0.11846010701191011</v>
      </c>
      <c r="P120" s="35">
        <f>-P119*4/P117</f>
        <v>0.12458480999704109</v>
      </c>
      <c r="Q120" s="35">
        <f>-Q119*4/Q117</f>
        <v>0.10605592477917801</v>
      </c>
      <c r="R120" s="35">
        <f>-R119*4/R117</f>
        <v>0.1230473605919758</v>
      </c>
      <c r="S120" s="526">
        <f>-S119/S117</f>
        <v>0.11956514532358836</v>
      </c>
      <c r="T120" s="571"/>
      <c r="U120" s="35">
        <f>-U119*4/U117</f>
        <v>0.12921443496922122</v>
      </c>
      <c r="V120" s="35">
        <f>-V119*4/V117</f>
        <v>0.13449383156227221</v>
      </c>
      <c r="W120" s="35">
        <f>-W119*4/W117</f>
        <v>0.13669141477790911</v>
      </c>
      <c r="X120" s="35">
        <f>-X119*4/X117</f>
        <v>0.14381940651738584</v>
      </c>
      <c r="Y120" s="526">
        <f>-Y119/Y117</f>
        <v>0.13712091263342183</v>
      </c>
      <c r="Z120" s="571"/>
      <c r="AA120" s="35">
        <f>-AA119*4/AA117</f>
        <v>0.15462653919405631</v>
      </c>
      <c r="AB120" s="35">
        <f>-AB119*4/AB117</f>
        <v>0.17850866645701924</v>
      </c>
      <c r="AC120" s="35">
        <f>-AC119*4/AC117</f>
        <v>0.15178563083566213</v>
      </c>
      <c r="AD120" s="35">
        <f>-AD119*4/AD117</f>
        <v>0.18739861442149461</v>
      </c>
      <c r="AE120" s="526">
        <f>-AE119/AE117</f>
        <v>0.18856895023665404</v>
      </c>
      <c r="AF120" s="571"/>
      <c r="AG120" s="35">
        <f>-AG119*4/AG117</f>
        <v>9.9152518035631423E-2</v>
      </c>
      <c r="AH120" s="35">
        <f>-AH119*4/AH117</f>
        <v>0.12085859700702767</v>
      </c>
      <c r="AI120" s="35">
        <f>-AI119*4/AI117</f>
        <v>0.13246135048588192</v>
      </c>
      <c r="AJ120" s="35">
        <f>-AJ119*4/AJ117</f>
        <v>0.1583897046691965</v>
      </c>
      <c r="AK120" s="526">
        <f>-AK119/AK117</f>
        <v>0.12091770492150174</v>
      </c>
      <c r="AL120" s="571"/>
      <c r="AM120" s="35">
        <f>-AM119*4/AM117</f>
        <v>0.16984304615390425</v>
      </c>
      <c r="AN120" s="35">
        <f>-AN119*4/AN117</f>
        <v>0.17609665574288305</v>
      </c>
      <c r="AO120" s="35">
        <f>-AO119*4/AO117</f>
        <v>0.18961158354401295</v>
      </c>
      <c r="AP120" s="35">
        <f>-AP119*4/AP117</f>
        <v>0.18694811358967384</v>
      </c>
      <c r="AQ120" s="526">
        <f>-AQ119/AQ117</f>
        <v>0.17059790413681047</v>
      </c>
      <c r="AR120" s="571"/>
      <c r="AS120" s="35">
        <f>-AS119*4/AS117</f>
        <v>0.1798318962708772</v>
      </c>
      <c r="AT120" s="35">
        <f>-AT119*4/AT117</f>
        <v>0.18817855038572037</v>
      </c>
      <c r="AU120" s="35">
        <f>-AU119*4/AU117</f>
        <v>0.19745607560842354</v>
      </c>
      <c r="AV120" s="907">
        <f>-AV119*4/AV117</f>
        <v>0.21691645689668218</v>
      </c>
      <c r="AW120" s="526">
        <f>-AW119/AW117</f>
        <v>0.18113502595399952</v>
      </c>
      <c r="AX120" s="571"/>
      <c r="AY120" s="35">
        <f>-AY119*4/AY117</f>
        <v>0.16154528673268539</v>
      </c>
      <c r="AZ120" s="35">
        <f>-AZ119*4/AZ117</f>
        <v>0.16935737810949505</v>
      </c>
      <c r="BA120" s="35">
        <f>-BA119*4/BA117</f>
        <v>0.1655472415030457</v>
      </c>
      <c r="BB120" s="907">
        <f>-BB119*4/BB117</f>
        <v>0.18951581537765264</v>
      </c>
      <c r="BC120" s="526">
        <f>-BC119/BC117</f>
        <v>0.16032145880289231</v>
      </c>
      <c r="BD120" s="571"/>
      <c r="BE120" s="35">
        <f>-BE119*4/BE117</f>
        <v>0.15484575529073311</v>
      </c>
      <c r="BF120" s="35">
        <f>-BF119*4/BF117</f>
        <v>0.15697739608553191</v>
      </c>
      <c r="BG120" s="35">
        <f>-BG119*4/BG117</f>
        <v>0.15228638643330761</v>
      </c>
      <c r="BH120" s="907">
        <f>-BH119*4/BH117</f>
        <v>0.14410177298224361</v>
      </c>
      <c r="BI120" s="526">
        <f>-BI119/BI117</f>
        <v>0.14567725662220288</v>
      </c>
      <c r="BJ120" s="571"/>
      <c r="BK120" s="35">
        <f>-BK119*4/BK117</f>
        <v>0.16181845872677431</v>
      </c>
      <c r="BL120" s="35">
        <f>-BL119*4/BL117</f>
        <v>0.15380288622101915</v>
      </c>
      <c r="BM120" s="35">
        <f>-BM119*4/BM117</f>
        <v>0.15627103754698615</v>
      </c>
      <c r="BN120" s="907">
        <f>-BN119*4/BN117</f>
        <v>0.1948235827150705</v>
      </c>
      <c r="BO120" s="526">
        <f>-BO119/BO117</f>
        <v>0.1753826530612245</v>
      </c>
      <c r="BP120" s="571"/>
      <c r="BQ120" s="217">
        <v>0.06</v>
      </c>
      <c r="BR120" s="217">
        <f>BQ120</f>
        <v>0.06</v>
      </c>
      <c r="BS120" s="217">
        <f t="shared" ref="BS120:BT120" si="96">BR120</f>
        <v>0.06</v>
      </c>
      <c r="BT120" s="217">
        <f t="shared" si="96"/>
        <v>0.06</v>
      </c>
      <c r="BU120" s="526">
        <f>-BU119/BU117</f>
        <v>5.8663449375000003E-2</v>
      </c>
      <c r="BV120" s="35"/>
      <c r="BW120" s="217">
        <v>6.5000000000000002E-2</v>
      </c>
      <c r="BX120" s="217">
        <f>BW120</f>
        <v>6.5000000000000002E-2</v>
      </c>
      <c r="BY120" s="217">
        <f t="shared" ref="BY120:BZ120" si="97">BX120</f>
        <v>6.5000000000000002E-2</v>
      </c>
      <c r="BZ120" s="217">
        <f t="shared" si="97"/>
        <v>6.5000000000000002E-2</v>
      </c>
      <c r="CA120" s="526">
        <f>-CA119/CA117</f>
        <v>6.343271933349609E-2</v>
      </c>
      <c r="CB120" s="35"/>
      <c r="CC120" s="217">
        <v>7.0000000000000007E-2</v>
      </c>
      <c r="CD120" s="217">
        <f>CC120</f>
        <v>7.0000000000000007E-2</v>
      </c>
      <c r="CE120" s="217">
        <f t="shared" ref="CE120" si="98">CD120</f>
        <v>7.0000000000000007E-2</v>
      </c>
      <c r="CF120" s="217">
        <f t="shared" ref="CF120" si="99">CE120</f>
        <v>7.0000000000000007E-2</v>
      </c>
      <c r="CG120" s="526">
        <f>-CG119/CG117</f>
        <v>6.8183843710937511E-2</v>
      </c>
      <c r="CH120" s="35"/>
      <c r="CI120" s="217">
        <v>7.4999999999999997E-2</v>
      </c>
      <c r="CJ120" s="217">
        <f>CI120</f>
        <v>7.4999999999999997E-2</v>
      </c>
      <c r="CK120" s="217">
        <f t="shared" ref="CK120" si="100">CJ120</f>
        <v>7.4999999999999997E-2</v>
      </c>
      <c r="CL120" s="217">
        <f t="shared" ref="CL120" si="101">CK120</f>
        <v>7.4999999999999997E-2</v>
      </c>
      <c r="CM120" s="526">
        <f>-CM119/CM117</f>
        <v>7.2916868591308581E-2</v>
      </c>
      <c r="CN120" s="98"/>
      <c r="CO120" s="98"/>
      <c r="CP120" s="98"/>
      <c r="CQ120" s="98"/>
      <c r="CX120" s="228"/>
    </row>
    <row r="121" spans="1:102" ht="12.75" hidden="1" customHeight="1" outlineLevel="1">
      <c r="A121" s="558" t="s">
        <v>290</v>
      </c>
      <c r="B121" s="52"/>
      <c r="C121" s="224">
        <f>+C122-C117-C118-C119</f>
        <v>27.606999999999992</v>
      </c>
      <c r="D121" s="224">
        <f>+D122-D117-D118-D119</f>
        <v>4.2090000000000156</v>
      </c>
      <c r="E121" s="224">
        <f>+E122-E117-E118-E119</f>
        <v>2.6519999999999744</v>
      </c>
      <c r="F121" s="224">
        <f>+F122-F117-F118-F119</f>
        <v>84.820000000000007</v>
      </c>
      <c r="G121" s="528">
        <f>+G122-G117-G118-G119</f>
        <v>119.28799999999998</v>
      </c>
      <c r="H121" s="687"/>
      <c r="I121" s="224">
        <f>+I122-I117-I118-I119</f>
        <v>28.366999999999997</v>
      </c>
      <c r="J121" s="224">
        <f>+J122-J117-J118-J119</f>
        <v>3.9059999999999935</v>
      </c>
      <c r="K121" s="224">
        <f>+K122-K117-K118-K119</f>
        <v>-2.6609999999999676</v>
      </c>
      <c r="L121" s="224">
        <f>+L122-L117-L118-L119</f>
        <v>-0.74800000000000999</v>
      </c>
      <c r="M121" s="528">
        <f>+M122-M117-M118-M119</f>
        <v>28.864000000000011</v>
      </c>
      <c r="N121" s="687"/>
      <c r="O121" s="224">
        <f>+O122-O117-O118-O119</f>
        <v>10.419999999999982</v>
      </c>
      <c r="P121" s="224">
        <f>+P122-P117-P118-P119</f>
        <v>20.870000000000005</v>
      </c>
      <c r="Q121" s="224">
        <f>+Q122-Q117-Q118-Q119</f>
        <v>30.350999999999978</v>
      </c>
      <c r="R121" s="224">
        <f>+R122-R117-R118-R119</f>
        <v>-17.338999999999963</v>
      </c>
      <c r="S121" s="528">
        <f>+S122-S117-S118-S119</f>
        <v>44.302</v>
      </c>
      <c r="T121" s="687"/>
      <c r="U121" s="224">
        <f>+U122-U117-U118-U119</f>
        <v>14.767999999999962</v>
      </c>
      <c r="V121" s="224">
        <f>+V122-V117-V118-V119</f>
        <v>31.186</v>
      </c>
      <c r="W121" s="224">
        <f>+W122-W117-W118-W119</f>
        <v>-4.2889999999999766</v>
      </c>
      <c r="X121" s="224">
        <f>+X122-X117-X118-X119</f>
        <v>0.60800000000000054</v>
      </c>
      <c r="Y121" s="528">
        <f>+Y122-Y117-Y118-Y119</f>
        <v>42.272999999999982</v>
      </c>
      <c r="Z121" s="687"/>
      <c r="AA121" s="224">
        <f>+AA122-AA117-AA118-AA119</f>
        <v>24.623999999999988</v>
      </c>
      <c r="AB121" s="224">
        <f>+AB122-AB117-AB118-AB119</f>
        <v>121.79300000000006</v>
      </c>
      <c r="AC121" s="224">
        <f>+AC122-AC117-AC118-AC119</f>
        <v>-2.387999999999991</v>
      </c>
      <c r="AD121" s="224">
        <f>+AD122-AD117-AD118-AD119</f>
        <v>173.32999999999993</v>
      </c>
      <c r="AE121" s="528">
        <f>SUM(AA121:AD121)</f>
        <v>317.35899999999998</v>
      </c>
      <c r="AF121" s="687"/>
      <c r="AG121" s="224">
        <f>+AG122-AG117-AG118-AG119</f>
        <v>-6.4439999999999387</v>
      </c>
      <c r="AH121" s="224">
        <f>+AH122-AH117-AH118-AH119</f>
        <v>-6.4540000000000148</v>
      </c>
      <c r="AI121" s="224">
        <f>+AI122-AI117-AI118-AI119</f>
        <v>13.391000000000005</v>
      </c>
      <c r="AJ121" s="224">
        <f>+AJ122-AJ117-AJ118-AJ119</f>
        <v>-52.199000000000069</v>
      </c>
      <c r="AK121" s="528">
        <f>SUM(AG121:AJ121)</f>
        <v>-51.706000000000017</v>
      </c>
      <c r="AL121" s="687"/>
      <c r="AM121" s="224">
        <f>+AM122-AM117-AM118-AM119</f>
        <v>-0.86099999999993315</v>
      </c>
      <c r="AN121" s="224">
        <f>+AN122-AN117-AN118-AN119</f>
        <v>3.0719999999999885</v>
      </c>
      <c r="AO121" s="224">
        <f>+AO122-AO117-AO118-AO119</f>
        <v>17.20499999999997</v>
      </c>
      <c r="AP121" s="224">
        <f>+AP122-AP117-AP118-AP119</f>
        <v>1.5130000000000337</v>
      </c>
      <c r="AQ121" s="528">
        <f>SUM(AM121:AP121)</f>
        <v>20.929000000000059</v>
      </c>
      <c r="AR121" s="687"/>
      <c r="AS121" s="224">
        <f>+AS122-AS117-AS118-AS119</f>
        <v>-1.8480000000000594</v>
      </c>
      <c r="AT121" s="224">
        <f>+AT122-AT117-AT118-AT119</f>
        <v>2.5999999999989143E-2</v>
      </c>
      <c r="AU121" s="224">
        <f>+AU122-AU117-AU118-AU119</f>
        <v>-0.24199999999998312</v>
      </c>
      <c r="AV121" s="1058">
        <f>+AV122-AV117-AV118-AV119</f>
        <v>112.49899999999998</v>
      </c>
      <c r="AW121" s="528">
        <f>SUM(AS121:AV121)</f>
        <v>110.43499999999993</v>
      </c>
      <c r="AX121" s="687"/>
      <c r="AY121" s="224">
        <f>+AY122-AY117-AY118-AY119</f>
        <v>-0.45299999999998519</v>
      </c>
      <c r="AZ121" s="224">
        <f>+AZ122-AZ117-AZ118-AZ119</f>
        <v>4.1389999999999745</v>
      </c>
      <c r="BA121" s="224">
        <f>+BA122-BA117-BA118-BA119</f>
        <v>-11.212</v>
      </c>
      <c r="BB121" s="1058">
        <f>+BB122-BB117-BB118-BB119</f>
        <v>86.671999999999997</v>
      </c>
      <c r="BC121" s="528">
        <f>SUM(AY121:BB121)</f>
        <v>79.145999999999987</v>
      </c>
      <c r="BD121" s="687"/>
      <c r="BE121" s="224">
        <f>+BE122-BE117-BE118-BE119</f>
        <v>9.7870000000000914</v>
      </c>
      <c r="BF121" s="224">
        <f>+BF122-BF117-BF118-BF119</f>
        <v>-8.2910000000000323</v>
      </c>
      <c r="BG121" s="224">
        <f>+BG122-BG117-BG118-BG119</f>
        <v>15.351000000000045</v>
      </c>
      <c r="BH121" s="1058">
        <f>+BH122-BH117-BH118-BH119</f>
        <v>-15.93400000000004</v>
      </c>
      <c r="BI121" s="528">
        <f>SUM(BE121:BH121)</f>
        <v>0.9130000000000642</v>
      </c>
      <c r="BJ121" s="687"/>
      <c r="BK121" s="224">
        <f>+BK122-BK117-BK118-BK119</f>
        <v>51.903999999999996</v>
      </c>
      <c r="BL121" s="224">
        <f>+BL122-BL117-BL118-BL119</f>
        <v>15.43100000000004</v>
      </c>
      <c r="BM121" s="224">
        <f>+BM122-BM117-BM118-BM119</f>
        <v>6.0659999999999847</v>
      </c>
      <c r="BN121" s="1058">
        <f>+BN122-BN117-BN118-BN119</f>
        <v>452.75425000000138</v>
      </c>
      <c r="BO121" s="528">
        <f>SUM(BK121:BN121)</f>
        <v>526.15525000000139</v>
      </c>
      <c r="BP121" s="687"/>
      <c r="BQ121" s="5">
        <v>0</v>
      </c>
      <c r="BR121" s="5">
        <v>0</v>
      </c>
      <c r="BS121" s="5">
        <v>0</v>
      </c>
      <c r="BT121" s="5">
        <v>0</v>
      </c>
      <c r="BU121" s="528">
        <f>SUM(BQ121:BT121)</f>
        <v>0</v>
      </c>
      <c r="BV121" s="224"/>
      <c r="BW121" s="5">
        <v>0</v>
      </c>
      <c r="BX121" s="5">
        <v>0</v>
      </c>
      <c r="BY121" s="5">
        <v>0</v>
      </c>
      <c r="BZ121" s="5">
        <v>0</v>
      </c>
      <c r="CA121" s="528">
        <f>SUM(BW121:BZ121)</f>
        <v>0</v>
      </c>
      <c r="CB121" s="224"/>
      <c r="CC121" s="5">
        <v>0</v>
      </c>
      <c r="CD121" s="5">
        <v>0</v>
      </c>
      <c r="CE121" s="5">
        <v>0</v>
      </c>
      <c r="CF121" s="5">
        <v>0</v>
      </c>
      <c r="CG121" s="528">
        <f>SUM(CC121:CF121)</f>
        <v>0</v>
      </c>
      <c r="CH121" s="224"/>
      <c r="CI121" s="5">
        <v>0</v>
      </c>
      <c r="CJ121" s="5">
        <v>0</v>
      </c>
      <c r="CK121" s="5">
        <v>0</v>
      </c>
      <c r="CL121" s="5">
        <v>0</v>
      </c>
      <c r="CM121" s="528">
        <f>SUM(CI121:CL121)</f>
        <v>0</v>
      </c>
      <c r="CN121" s="98"/>
      <c r="CO121" s="98"/>
      <c r="CP121" s="98"/>
      <c r="CQ121" s="98"/>
      <c r="CX121" s="228"/>
    </row>
    <row r="122" spans="1:102" ht="12.75" hidden="1" customHeight="1" outlineLevel="1">
      <c r="A122" s="542" t="s">
        <v>300</v>
      </c>
      <c r="B122" s="541"/>
      <c r="C122" s="482">
        <f>+C18</f>
        <v>421.22800000000001</v>
      </c>
      <c r="D122" s="482">
        <f>+D18</f>
        <v>414.73700000000002</v>
      </c>
      <c r="E122" s="482">
        <f>+E18</f>
        <v>406.589</v>
      </c>
      <c r="F122" s="482">
        <f>+F18</f>
        <v>479.209</v>
      </c>
      <c r="G122" s="647">
        <f>+G18</f>
        <v>479.209</v>
      </c>
      <c r="H122" s="685"/>
      <c r="I122" s="482">
        <f>+I18</f>
        <v>493.976</v>
      </c>
      <c r="J122" s="482">
        <f>+J18</f>
        <v>483.58199999999999</v>
      </c>
      <c r="K122" s="482">
        <f>+K18</f>
        <v>466.82100000000003</v>
      </c>
      <c r="L122" s="482">
        <f>+L18</f>
        <v>452.47300000000001</v>
      </c>
      <c r="M122" s="647">
        <f>+M18</f>
        <v>452.47300000000001</v>
      </c>
      <c r="N122" s="685"/>
      <c r="O122" s="482">
        <f>+O18</f>
        <v>449.49299999999999</v>
      </c>
      <c r="P122" s="482">
        <f>+P18</f>
        <v>456.363</v>
      </c>
      <c r="Q122" s="482">
        <f>+Q18</f>
        <v>474.61399999999998</v>
      </c>
      <c r="R122" s="482">
        <f>+R18</f>
        <v>442.67500000000001</v>
      </c>
      <c r="S122" s="647">
        <f>+S18</f>
        <v>442.67500000000001</v>
      </c>
      <c r="T122" s="685"/>
      <c r="U122" s="482">
        <f>+U18</f>
        <v>443.14299999999997</v>
      </c>
      <c r="V122" s="482">
        <f>+V18</f>
        <v>459.42899999999997</v>
      </c>
      <c r="W122" s="482">
        <f>+W18</f>
        <v>439.44</v>
      </c>
      <c r="X122" s="482">
        <f>+X18</f>
        <v>424.24799999999999</v>
      </c>
      <c r="Y122" s="647">
        <f>+Y18</f>
        <v>424.24799999999999</v>
      </c>
      <c r="Z122" s="685"/>
      <c r="AA122" s="482">
        <f>+AA18</f>
        <v>432.47199999999998</v>
      </c>
      <c r="AB122" s="482">
        <f>+AB18</f>
        <v>534.96500000000003</v>
      </c>
      <c r="AC122" s="482">
        <f>+AC18</f>
        <v>512.27700000000004</v>
      </c>
      <c r="AD122" s="482">
        <f>+AD18</f>
        <v>661.60699999999997</v>
      </c>
      <c r="AE122" s="647">
        <f>AE117+AE118+AE119+AE121</f>
        <v>661.60699999999997</v>
      </c>
      <c r="AF122" s="685"/>
      <c r="AG122" s="482">
        <f>+AG18</f>
        <v>638.76300000000003</v>
      </c>
      <c r="AH122" s="482">
        <f>+AH18</f>
        <v>613.00900000000001</v>
      </c>
      <c r="AI122" s="482">
        <f>+AI18</f>
        <v>606.1</v>
      </c>
      <c r="AJ122" s="872">
        <f>+AJ18</f>
        <v>529.90099999999995</v>
      </c>
      <c r="AK122" s="647">
        <f>AK117+AK118+AK119+AK121</f>
        <v>529.90099999999995</v>
      </c>
      <c r="AL122" s="685"/>
      <c r="AM122" s="482">
        <f>+AM18</f>
        <v>506.54</v>
      </c>
      <c r="AN122" s="482">
        <f>+AN18</f>
        <v>487.31200000000001</v>
      </c>
      <c r="AO122" s="482">
        <f>+AO18</f>
        <v>481.41699999999997</v>
      </c>
      <c r="AP122" s="482">
        <f>+AP18</f>
        <v>460.43</v>
      </c>
      <c r="AQ122" s="647">
        <f>AQ117+AQ118+AQ119+AQ121</f>
        <v>460.43000000000006</v>
      </c>
      <c r="AR122" s="685"/>
      <c r="AS122" s="482">
        <f>+AS18</f>
        <v>437.88200000000001</v>
      </c>
      <c r="AT122" s="482">
        <f>+AT18</f>
        <v>417.30799999999999</v>
      </c>
      <c r="AU122" s="482">
        <f>+AU18</f>
        <v>396.46600000000001</v>
      </c>
      <c r="AV122" s="1530">
        <f>+AV18</f>
        <v>490.26499999999999</v>
      </c>
      <c r="AW122" s="647">
        <f>AW117+AW118+AW119+AW121</f>
        <v>490.26499999999999</v>
      </c>
      <c r="AX122" s="685"/>
      <c r="AY122" s="482">
        <f>+AY18</f>
        <v>470.012</v>
      </c>
      <c r="AZ122" s="482">
        <f>+AZ18</f>
        <v>454.25099999999998</v>
      </c>
      <c r="BA122" s="482">
        <f>+BA18</f>
        <v>424.23899999999998</v>
      </c>
      <c r="BB122" s="1530">
        <f>+BB18</f>
        <v>490.81099999999998</v>
      </c>
      <c r="BC122" s="647">
        <f>BC117+BC118+BC119+BC121</f>
        <v>490.81099999999992</v>
      </c>
      <c r="BD122" s="685"/>
      <c r="BE122" s="482">
        <f>+BE18</f>
        <v>481.59800000000001</v>
      </c>
      <c r="BF122" s="482">
        <f>+BF18</f>
        <v>454.40699999999998</v>
      </c>
      <c r="BG122" s="482">
        <f>+BG18</f>
        <v>452.45800000000003</v>
      </c>
      <c r="BH122" s="1530">
        <f>+BH18</f>
        <v>420.22399999999999</v>
      </c>
      <c r="BI122" s="647">
        <f>BI117+BI118+BI119+BI121</f>
        <v>420.22399999999999</v>
      </c>
      <c r="BJ122" s="685"/>
      <c r="BK122" s="482">
        <f>+BK18</f>
        <v>455.12799999999999</v>
      </c>
      <c r="BL122" s="482">
        <f>+BL18</f>
        <v>453.05900000000003</v>
      </c>
      <c r="BM122" s="482">
        <f>+BM18</f>
        <v>441.42500000000001</v>
      </c>
      <c r="BN122" s="1530">
        <f>+BN18</f>
        <v>1346.94</v>
      </c>
      <c r="BO122" s="647">
        <f>BO117+BO118+BO119+BO121</f>
        <v>1346.94</v>
      </c>
      <c r="BP122" s="685"/>
      <c r="BQ122" s="482">
        <f>BQ117+BQ118+BQ119+BQ121</f>
        <v>1326.7359000000001</v>
      </c>
      <c r="BR122" s="482">
        <f>BR117+BR118+BR119+BR121</f>
        <v>1306.8348615000002</v>
      </c>
      <c r="BS122" s="482">
        <f>BS117+BS118+BS119+BS121</f>
        <v>1287.2323385775003</v>
      </c>
      <c r="BT122" s="482">
        <f>BT117+BT118+BT119+BT121</f>
        <v>1267.9238534988378</v>
      </c>
      <c r="BU122" s="647">
        <f>BU117+BU118+BU119+BU121</f>
        <v>1267.9238534988376</v>
      </c>
      <c r="BV122" s="224"/>
      <c r="BW122" s="482">
        <f>BW117+BW118+BW119+BW121</f>
        <v>1247.3200908794815</v>
      </c>
      <c r="BX122" s="482">
        <f>BX117+BX118+BX119+BX121</f>
        <v>1227.0511394026901</v>
      </c>
      <c r="BY122" s="482">
        <f>BY117+BY118+BY119+BY121</f>
        <v>1207.1115583873964</v>
      </c>
      <c r="BZ122" s="482">
        <f>BZ117+BZ118+BZ119+BZ121</f>
        <v>1187.4959955636011</v>
      </c>
      <c r="CA122" s="647">
        <f>CA117+CA118+CA119+CA121</f>
        <v>1187.4959955636011</v>
      </c>
      <c r="CB122" s="224"/>
      <c r="CC122" s="482">
        <f>CC117+CC118+CC119+CC121</f>
        <v>1166.7148156412381</v>
      </c>
      <c r="CD122" s="482">
        <f>CD117+CD118+CD119+CD121</f>
        <v>1146.2973063675165</v>
      </c>
      <c r="CE122" s="482">
        <f>CE117+CE118+CE119+CE121</f>
        <v>1126.2371035060851</v>
      </c>
      <c r="CF122" s="482">
        <f>CF117+CF118+CF119+CF121</f>
        <v>1106.5279541947286</v>
      </c>
      <c r="CG122" s="647">
        <f>CG117+CG118+CG119+CG121</f>
        <v>1106.5279541947284</v>
      </c>
      <c r="CH122" s="224"/>
      <c r="CI122" s="482">
        <f>CI117+CI118+CI119+CI121</f>
        <v>1085.7805550535772</v>
      </c>
      <c r="CJ122" s="482">
        <f>CJ117+CJ118+CJ119+CJ121</f>
        <v>1065.4221696463226</v>
      </c>
      <c r="CK122" s="482">
        <f>CK117+CK118+CK119+CK121</f>
        <v>1045.445503965454</v>
      </c>
      <c r="CL122" s="482">
        <f>CL117+CL118+CL119+CL121</f>
        <v>1025.8434007661017</v>
      </c>
      <c r="CM122" s="647">
        <f>CM117+CM118+CM119+CM121</f>
        <v>1025.8434007661019</v>
      </c>
      <c r="CN122" s="98"/>
      <c r="CO122" s="98"/>
      <c r="CP122" s="98"/>
      <c r="CQ122" s="98"/>
      <c r="CX122" s="228"/>
    </row>
    <row r="123" spans="1:102" collapsed="1">
      <c r="A123" s="110"/>
      <c r="B123" s="98"/>
      <c r="C123" s="98"/>
      <c r="D123" s="98"/>
      <c r="E123" s="98"/>
      <c r="F123" s="98"/>
      <c r="G123" s="98"/>
      <c r="H123" s="110"/>
      <c r="I123" s="98"/>
      <c r="J123" s="98"/>
      <c r="K123" s="98"/>
      <c r="L123" s="98"/>
      <c r="M123" s="98"/>
      <c r="N123" s="110"/>
      <c r="O123" s="98"/>
      <c r="P123" s="98"/>
      <c r="Q123" s="98"/>
      <c r="R123" s="98"/>
      <c r="S123" s="129"/>
      <c r="T123" s="110"/>
      <c r="U123" s="129"/>
      <c r="V123" s="129"/>
      <c r="W123" s="129"/>
      <c r="X123" s="129"/>
      <c r="Y123" s="128"/>
      <c r="Z123" s="110"/>
      <c r="AA123" s="129"/>
      <c r="AB123" s="129"/>
      <c r="AC123" s="129"/>
      <c r="AD123" s="129"/>
      <c r="AE123" s="129"/>
      <c r="AF123" s="110"/>
      <c r="AG123" s="129"/>
      <c r="AH123" s="129"/>
      <c r="AI123" s="129"/>
      <c r="AJ123" s="129"/>
      <c r="AK123" s="129"/>
      <c r="AL123" s="110"/>
      <c r="AM123" s="129"/>
      <c r="AN123" s="129"/>
      <c r="AO123" s="129"/>
      <c r="AP123" s="129"/>
      <c r="AQ123" s="129"/>
      <c r="AR123" s="110"/>
      <c r="AS123" s="129"/>
      <c r="AT123" s="129"/>
      <c r="AU123" s="129"/>
      <c r="AV123" s="129"/>
      <c r="AW123" s="129"/>
      <c r="AX123" s="110"/>
      <c r="AY123" s="129"/>
      <c r="AZ123" s="129"/>
      <c r="BA123" s="129"/>
      <c r="BB123" s="129"/>
      <c r="BC123" s="129"/>
      <c r="BD123" s="110"/>
      <c r="BE123" s="129"/>
      <c r="BF123" s="129"/>
      <c r="BG123" s="129"/>
      <c r="BH123" s="129"/>
      <c r="BI123" s="129"/>
      <c r="BJ123" s="110"/>
      <c r="BK123" s="129"/>
      <c r="BL123" s="129"/>
      <c r="BM123" s="129"/>
      <c r="BN123" s="129"/>
      <c r="BO123" s="129"/>
      <c r="BP123" s="110"/>
      <c r="BQ123" s="129"/>
      <c r="BR123" s="129"/>
      <c r="BS123" s="129"/>
      <c r="BT123" s="129"/>
      <c r="BU123" s="129"/>
      <c r="BV123" s="129"/>
      <c r="BW123" s="129"/>
      <c r="BX123" s="129"/>
      <c r="BY123" s="129"/>
      <c r="BZ123" s="129"/>
      <c r="CA123" s="129"/>
      <c r="CB123" s="129"/>
      <c r="CC123" s="129"/>
      <c r="CD123" s="129"/>
      <c r="CE123" s="129"/>
      <c r="CF123" s="129"/>
      <c r="CG123" s="129"/>
      <c r="CH123" s="129"/>
      <c r="CI123" s="129"/>
      <c r="CJ123" s="129"/>
      <c r="CK123" s="129"/>
      <c r="CL123" s="129"/>
      <c r="CM123" s="129"/>
      <c r="CN123" s="98"/>
      <c r="CO123" s="98"/>
      <c r="CP123" s="98"/>
      <c r="CQ123" s="98"/>
      <c r="CX123" s="228"/>
    </row>
    <row r="124" spans="1:102">
      <c r="A124" s="149" t="s">
        <v>229</v>
      </c>
      <c r="B124" s="146"/>
      <c r="C124" s="146"/>
      <c r="D124" s="146"/>
      <c r="E124" s="146"/>
      <c r="F124" s="146"/>
      <c r="G124" s="147"/>
      <c r="H124" s="148"/>
      <c r="I124" s="146"/>
      <c r="J124" s="146"/>
      <c r="K124" s="146"/>
      <c r="L124" s="146"/>
      <c r="M124" s="147"/>
      <c r="N124" s="148"/>
      <c r="O124" s="146"/>
      <c r="P124" s="146"/>
      <c r="Q124" s="146"/>
      <c r="R124" s="146"/>
      <c r="S124" s="155"/>
      <c r="T124" s="148"/>
      <c r="U124" s="151"/>
      <c r="V124" s="151"/>
      <c r="W124" s="151"/>
      <c r="X124" s="151"/>
      <c r="Y124" s="154"/>
      <c r="Z124" s="148"/>
      <c r="AA124" s="151"/>
      <c r="AB124" s="151"/>
      <c r="AC124" s="151"/>
      <c r="AD124" s="151"/>
      <c r="AE124" s="155"/>
      <c r="AF124" s="148"/>
      <c r="AG124" s="151"/>
      <c r="AH124" s="151"/>
      <c r="AI124" s="151"/>
      <c r="AJ124" s="151"/>
      <c r="AK124" s="155"/>
      <c r="AL124" s="148"/>
      <c r="AM124" s="151"/>
      <c r="AN124" s="151"/>
      <c r="AO124" s="151"/>
      <c r="AP124" s="151"/>
      <c r="AQ124" s="155"/>
      <c r="AR124" s="148"/>
      <c r="AS124" s="151"/>
      <c r="AT124" s="151"/>
      <c r="AU124" s="151"/>
      <c r="AV124" s="151"/>
      <c r="AW124" s="155"/>
      <c r="AX124" s="148"/>
      <c r="AY124" s="151"/>
      <c r="AZ124" s="151"/>
      <c r="BA124" s="151"/>
      <c r="BB124" s="151"/>
      <c r="BC124" s="155"/>
      <c r="BD124" s="148"/>
      <c r="BE124" s="151"/>
      <c r="BF124" s="151"/>
      <c r="BG124" s="151"/>
      <c r="BH124" s="151"/>
      <c r="BI124" s="155"/>
      <c r="BJ124" s="148"/>
      <c r="BK124" s="151"/>
      <c r="BL124" s="151"/>
      <c r="BM124" s="151"/>
      <c r="BN124" s="151"/>
      <c r="BO124" s="155"/>
      <c r="BP124" s="148"/>
      <c r="BQ124" s="151"/>
      <c r="BR124" s="151"/>
      <c r="BS124" s="151"/>
      <c r="BT124" s="151"/>
      <c r="BU124" s="155"/>
      <c r="BV124" s="1793"/>
      <c r="BW124" s="151"/>
      <c r="BX124" s="151"/>
      <c r="BY124" s="151"/>
      <c r="BZ124" s="151"/>
      <c r="CA124" s="155"/>
      <c r="CB124" s="1793"/>
      <c r="CC124" s="151"/>
      <c r="CD124" s="151"/>
      <c r="CE124" s="151"/>
      <c r="CF124" s="151"/>
      <c r="CG124" s="155"/>
      <c r="CH124" s="1793"/>
      <c r="CI124" s="151"/>
      <c r="CJ124" s="151"/>
      <c r="CK124" s="151"/>
      <c r="CL124" s="151"/>
      <c r="CM124" s="155"/>
      <c r="CN124" s="94"/>
      <c r="CO124" s="94"/>
      <c r="CP124" s="94"/>
      <c r="CQ124" s="94"/>
    </row>
    <row r="125" spans="1:102" ht="12.75" hidden="1" customHeight="1" outlineLevel="1">
      <c r="A125" s="194" t="s">
        <v>301</v>
      </c>
      <c r="B125" s="139"/>
      <c r="C125" s="2"/>
      <c r="D125" s="2"/>
      <c r="E125" s="2"/>
      <c r="F125" s="2"/>
      <c r="G125" s="686">
        <v>1117.7239999999999</v>
      </c>
      <c r="H125" s="646"/>
      <c r="I125" s="2"/>
      <c r="J125" s="2"/>
      <c r="K125" s="2"/>
      <c r="L125" s="2"/>
      <c r="M125" s="30">
        <f>G129</f>
        <v>1355.6559999999999</v>
      </c>
      <c r="N125" s="646"/>
      <c r="O125" s="2"/>
      <c r="P125" s="2"/>
      <c r="Q125" s="2"/>
      <c r="R125" s="2"/>
      <c r="S125" s="30">
        <f>M129</f>
        <v>1396.2919999999999</v>
      </c>
      <c r="T125" s="646"/>
      <c r="U125" s="2"/>
      <c r="V125" s="2"/>
      <c r="W125" s="2"/>
      <c r="X125" s="2"/>
      <c r="Y125" s="30">
        <f>S129</f>
        <v>1419.4849999999999</v>
      </c>
      <c r="Z125" s="646"/>
      <c r="AA125" s="2">
        <f>+Y129</f>
        <v>1504.8150000000001</v>
      </c>
      <c r="AB125" s="2">
        <f>+AA129</f>
        <v>1585.355</v>
      </c>
      <c r="AC125" s="224">
        <f>AB129</f>
        <v>1781.127</v>
      </c>
      <c r="AD125" s="224">
        <f>AC129</f>
        <v>1758.405</v>
      </c>
      <c r="AE125" s="528">
        <f>Y129</f>
        <v>1504.8150000000001</v>
      </c>
      <c r="AF125" s="646"/>
      <c r="AG125" s="2">
        <f>+AE129</f>
        <v>2093.6260000000002</v>
      </c>
      <c r="AH125" s="2">
        <f>+AG129</f>
        <v>2103.0590000000002</v>
      </c>
      <c r="AI125" s="224">
        <f>AH129</f>
        <v>2080.0309999999999</v>
      </c>
      <c r="AJ125" s="224">
        <f>AI129</f>
        <v>2092.3510000000001</v>
      </c>
      <c r="AK125" s="528">
        <f>AE129</f>
        <v>2093.6260000000002</v>
      </c>
      <c r="AL125" s="646"/>
      <c r="AM125" s="2">
        <f>+AK129</f>
        <v>2122.788</v>
      </c>
      <c r="AN125" s="224">
        <f>AM129</f>
        <v>2111.6210000000001</v>
      </c>
      <c r="AO125" s="224">
        <f>AN129</f>
        <v>2117.0619999999999</v>
      </c>
      <c r="AP125" s="224">
        <f>AO129</f>
        <v>2131.0509999999999</v>
      </c>
      <c r="AQ125" s="528">
        <f>AK129</f>
        <v>2122.788</v>
      </c>
      <c r="AR125" s="646"/>
      <c r="AS125" s="224">
        <f>AQ129</f>
        <v>2143.12</v>
      </c>
      <c r="AT125" s="224">
        <f>AS129</f>
        <v>2142.4749999999999</v>
      </c>
      <c r="AU125" s="224">
        <f>AT129</f>
        <v>2141.819</v>
      </c>
      <c r="AV125" s="1058">
        <f>AU129</f>
        <v>2123.2350000000001</v>
      </c>
      <c r="AW125" s="528">
        <f>AQ129</f>
        <v>2143.12</v>
      </c>
      <c r="AX125" s="646"/>
      <c r="AY125" s="224">
        <f>AW129</f>
        <v>2284.0770000000002</v>
      </c>
      <c r="AZ125" s="224">
        <f>AY129</f>
        <v>2253.2080000000001</v>
      </c>
      <c r="BA125" s="224">
        <f>AZ129</f>
        <v>2275.8980000000001</v>
      </c>
      <c r="BB125" s="224">
        <f>BA129</f>
        <v>2253.9430000000002</v>
      </c>
      <c r="BC125" s="528">
        <f>AW129</f>
        <v>2284.0770000000002</v>
      </c>
      <c r="BD125" s="646"/>
      <c r="BE125" s="224">
        <f>BC129</f>
        <v>2276.1489999999999</v>
      </c>
      <c r="BF125" s="224">
        <f>BE129</f>
        <v>2296.1460000000002</v>
      </c>
      <c r="BG125" s="224">
        <f>BF129</f>
        <v>2272.2020000000002</v>
      </c>
      <c r="BH125" s="224">
        <f>BG129</f>
        <v>2313.9</v>
      </c>
      <c r="BI125" s="528">
        <f>BC129</f>
        <v>2276.1489999999999</v>
      </c>
      <c r="BJ125" s="646"/>
      <c r="BK125" s="224">
        <f>BI129</f>
        <v>2247.9659999999999</v>
      </c>
      <c r="BL125" s="224">
        <f>BK129</f>
        <v>2332.5329999999999</v>
      </c>
      <c r="BM125" s="224">
        <f>BL129</f>
        <v>2356.69</v>
      </c>
      <c r="BN125" s="224">
        <f>BM129</f>
        <v>2373.009</v>
      </c>
      <c r="BO125" s="528">
        <f>BI129</f>
        <v>2247.9659999999999</v>
      </c>
      <c r="BP125" s="646"/>
      <c r="BQ125" s="224">
        <f>BO129</f>
        <v>3002.1979999999999</v>
      </c>
      <c r="BR125" s="224">
        <f>BQ129</f>
        <v>3002.1979999999999</v>
      </c>
      <c r="BS125" s="224">
        <f>BR129</f>
        <v>3002.1979999999999</v>
      </c>
      <c r="BT125" s="224">
        <f>BS129</f>
        <v>3002.1979999999999</v>
      </c>
      <c r="BU125" s="528">
        <f>BO129</f>
        <v>3002.1979999999999</v>
      </c>
      <c r="BV125" s="224"/>
      <c r="BW125" s="224">
        <f>BU129</f>
        <v>3002.1979999999999</v>
      </c>
      <c r="BX125" s="224">
        <f>BW129</f>
        <v>3002.1979999999999</v>
      </c>
      <c r="BY125" s="224">
        <f>BX129</f>
        <v>3002.1979999999999</v>
      </c>
      <c r="BZ125" s="224">
        <f>BY129</f>
        <v>3002.1979999999999</v>
      </c>
      <c r="CA125" s="528">
        <f>BU129</f>
        <v>3002.1979999999999</v>
      </c>
      <c r="CB125" s="224"/>
      <c r="CC125" s="224">
        <f>CA129</f>
        <v>3002.1979999999999</v>
      </c>
      <c r="CD125" s="224">
        <f>CC129</f>
        <v>3002.1979999999999</v>
      </c>
      <c r="CE125" s="224">
        <f>CD129</f>
        <v>3002.1979999999999</v>
      </c>
      <c r="CF125" s="224">
        <f>CE129</f>
        <v>3002.1979999999999</v>
      </c>
      <c r="CG125" s="528">
        <f>CA129</f>
        <v>3002.1979999999999</v>
      </c>
      <c r="CH125" s="224"/>
      <c r="CI125" s="224">
        <f>CG129</f>
        <v>3002.1979999999999</v>
      </c>
      <c r="CJ125" s="224">
        <f>CI129</f>
        <v>3002.1979999999999</v>
      </c>
      <c r="CK125" s="224">
        <f>CJ129</f>
        <v>3002.1979999999999</v>
      </c>
      <c r="CL125" s="224">
        <f>CK129</f>
        <v>3002.1979999999999</v>
      </c>
      <c r="CM125" s="528">
        <f>CG129</f>
        <v>3002.1979999999999</v>
      </c>
      <c r="CN125" s="94"/>
      <c r="CO125" s="94"/>
      <c r="CP125" s="94"/>
      <c r="CQ125" s="94"/>
    </row>
    <row r="126" spans="1:102" ht="12.75" hidden="1" customHeight="1" outlineLevel="1">
      <c r="A126" s="558" t="s">
        <v>302</v>
      </c>
      <c r="B126" s="137"/>
      <c r="C126" s="31"/>
      <c r="D126" s="31"/>
      <c r="E126" s="31"/>
      <c r="F126" s="31"/>
      <c r="G126" s="686">
        <v>207.60499999999999</v>
      </c>
      <c r="H126" s="689"/>
      <c r="I126" s="31"/>
      <c r="J126" s="31"/>
      <c r="K126" s="31"/>
      <c r="L126" s="31"/>
      <c r="M126" s="686">
        <v>62.231000000000002</v>
      </c>
      <c r="N126" s="689"/>
      <c r="O126" s="31"/>
      <c r="P126" s="31"/>
      <c r="Q126" s="31"/>
      <c r="R126" s="31"/>
      <c r="S126" s="686">
        <v>48.997999999999998</v>
      </c>
      <c r="T126" s="689"/>
      <c r="U126" s="31"/>
      <c r="V126" s="31"/>
      <c r="W126" s="31"/>
      <c r="X126" s="31"/>
      <c r="Y126" s="686">
        <v>116.21</v>
      </c>
      <c r="Z126" s="689"/>
      <c r="AA126" s="31"/>
      <c r="AB126" s="31"/>
      <c r="AC126" s="688"/>
      <c r="AD126" s="688"/>
      <c r="AE126" s="528">
        <f>SUM(AA126:AD126)</f>
        <v>0</v>
      </c>
      <c r="AF126" s="689"/>
      <c r="AG126" s="31"/>
      <c r="AH126" s="31"/>
      <c r="AI126" s="688"/>
      <c r="AJ126" s="688"/>
      <c r="AK126" s="528">
        <f>SUM(AG126:AJ126)</f>
        <v>0</v>
      </c>
      <c r="AL126" s="689"/>
      <c r="AM126" s="31"/>
      <c r="AN126" s="688"/>
      <c r="AO126" s="688"/>
      <c r="AP126" s="688"/>
      <c r="AQ126" s="528">
        <f>SUM(AM126:AP126)</f>
        <v>0</v>
      </c>
      <c r="AR126" s="689"/>
      <c r="AS126" s="688"/>
      <c r="AT126" s="688"/>
      <c r="AU126" s="688"/>
      <c r="AV126" s="1594"/>
      <c r="AW126" s="528"/>
      <c r="AX126" s="689"/>
      <c r="AY126" s="688"/>
      <c r="AZ126" s="688"/>
      <c r="BA126" s="688"/>
      <c r="BB126" s="693"/>
      <c r="BC126" s="528">
        <f>SUM(AY126:BB126)</f>
        <v>0</v>
      </c>
      <c r="BD126" s="689"/>
      <c r="BE126" s="688"/>
      <c r="BF126" s="688"/>
      <c r="BG126" s="688"/>
      <c r="BH126" s="693"/>
      <c r="BI126" s="528">
        <f>SUM(BE126:BH126)</f>
        <v>0</v>
      </c>
      <c r="BJ126" s="689"/>
      <c r="BK126" s="688"/>
      <c r="BL126" s="688"/>
      <c r="BM126" s="688"/>
      <c r="BN126" s="2368">
        <f>687.495-SUM(BK126:BM126)</f>
        <v>687.495</v>
      </c>
      <c r="BO126" s="615">
        <f>SUM(BK126:BN126)</f>
        <v>687.495</v>
      </c>
      <c r="BP126" s="651"/>
      <c r="BQ126" s="693">
        <f>BQ133*-CFS!BQ31</f>
        <v>0</v>
      </c>
      <c r="BR126" s="693">
        <f>BR133*-CFS!BR31</f>
        <v>0</v>
      </c>
      <c r="BS126" s="693">
        <f>BS133*-CFS!BS31</f>
        <v>0</v>
      </c>
      <c r="BT126" s="693">
        <f>BT133*-CFS!BT31</f>
        <v>0</v>
      </c>
      <c r="BU126" s="615">
        <f>SUM(BQ126:BT126)</f>
        <v>0</v>
      </c>
      <c r="BV126" s="623"/>
      <c r="BW126" s="693">
        <f>BW133*-CFS!BW31</f>
        <v>0</v>
      </c>
      <c r="BX126" s="693">
        <f>BX133*-CFS!BX31</f>
        <v>0</v>
      </c>
      <c r="BY126" s="693">
        <f>BY133*-CFS!BY31</f>
        <v>0</v>
      </c>
      <c r="BZ126" s="693">
        <f>BZ133*-CFS!BZ31</f>
        <v>0</v>
      </c>
      <c r="CA126" s="615">
        <f>SUM(BW126:BZ126)</f>
        <v>0</v>
      </c>
      <c r="CB126" s="623"/>
      <c r="CC126" s="693">
        <f>CC133*-CFS!CC31</f>
        <v>0</v>
      </c>
      <c r="CD126" s="693">
        <f>CD133*-CFS!CD31</f>
        <v>0</v>
      </c>
      <c r="CE126" s="693">
        <f>CE133*-CFS!CE31</f>
        <v>0</v>
      </c>
      <c r="CF126" s="693">
        <f>CF133*-CFS!CF31</f>
        <v>0</v>
      </c>
      <c r="CG126" s="615">
        <f>SUM(CC126:CF126)</f>
        <v>0</v>
      </c>
      <c r="CH126" s="623"/>
      <c r="CI126" s="693">
        <f>CI133*-CFS!CI31</f>
        <v>0</v>
      </c>
      <c r="CJ126" s="693">
        <f>CJ133*-CFS!CJ31</f>
        <v>0</v>
      </c>
      <c r="CK126" s="693">
        <f>CK133*-CFS!CK31</f>
        <v>0</v>
      </c>
      <c r="CL126" s="693">
        <f>CL133*-CFS!CL31</f>
        <v>0</v>
      </c>
      <c r="CM126" s="615">
        <f>SUM(CI126:CL126)</f>
        <v>0</v>
      </c>
      <c r="CN126" s="106"/>
      <c r="CO126" s="106"/>
      <c r="CP126" s="106"/>
      <c r="CQ126" s="106"/>
    </row>
    <row r="127" spans="1:102" ht="12.75" hidden="1" customHeight="1" outlineLevel="1">
      <c r="A127" s="558" t="s">
        <v>429</v>
      </c>
      <c r="B127" s="137"/>
      <c r="C127" s="31"/>
      <c r="D127" s="31"/>
      <c r="E127" s="31"/>
      <c r="F127" s="31"/>
      <c r="G127" s="686">
        <v>30.327000000000002</v>
      </c>
      <c r="H127" s="689"/>
      <c r="I127" s="31"/>
      <c r="J127" s="31"/>
      <c r="K127" s="31"/>
      <c r="L127" s="31"/>
      <c r="M127" s="686">
        <v>-21.594999999999999</v>
      </c>
      <c r="N127" s="689"/>
      <c r="O127" s="31"/>
      <c r="P127" s="31"/>
      <c r="Q127" s="31"/>
      <c r="R127" s="31"/>
      <c r="S127" s="686">
        <v>1.0209999999999999</v>
      </c>
      <c r="T127" s="689"/>
      <c r="U127" s="31"/>
      <c r="V127" s="31"/>
      <c r="W127" s="31"/>
      <c r="X127" s="31"/>
      <c r="Y127" s="686">
        <v>-30.88</v>
      </c>
      <c r="Z127" s="689"/>
      <c r="AA127" s="31"/>
      <c r="AB127" s="31"/>
      <c r="AC127" s="5"/>
      <c r="AD127" s="5"/>
      <c r="AE127" s="528">
        <f>SUM(AA127:AD127)</f>
        <v>0</v>
      </c>
      <c r="AF127" s="689"/>
      <c r="AG127" s="31"/>
      <c r="AH127" s="31"/>
      <c r="AI127" s="5"/>
      <c r="AJ127" s="5"/>
      <c r="AK127" s="528">
        <f>SUM(AG127:AJ127)</f>
        <v>0</v>
      </c>
      <c r="AL127" s="689"/>
      <c r="AM127" s="31"/>
      <c r="AN127" s="5"/>
      <c r="AO127" s="5"/>
      <c r="AP127" s="5"/>
      <c r="AQ127" s="528">
        <f>SUM(AM127:AP127)</f>
        <v>0</v>
      </c>
      <c r="AR127" s="689"/>
      <c r="AS127" s="5"/>
      <c r="AT127" s="5"/>
      <c r="AU127" s="5"/>
      <c r="AV127" s="5"/>
      <c r="AW127" s="528"/>
      <c r="AX127" s="689"/>
      <c r="AY127" s="5"/>
      <c r="AZ127" s="5"/>
      <c r="BA127" s="5"/>
      <c r="BB127" s="5"/>
      <c r="BC127" s="528">
        <f>SUM(AY127:BB127)</f>
        <v>0</v>
      </c>
      <c r="BD127" s="689"/>
      <c r="BE127" s="5"/>
      <c r="BF127" s="5"/>
      <c r="BG127" s="5"/>
      <c r="BH127" s="5"/>
      <c r="BI127" s="528">
        <f>SUM(BE127:BH127)</f>
        <v>0</v>
      </c>
      <c r="BJ127" s="689"/>
      <c r="BK127" s="5"/>
      <c r="BL127" s="5"/>
      <c r="BM127" s="5"/>
      <c r="BN127" s="5"/>
      <c r="BO127" s="528">
        <f>SUM(BK127:BN127)</f>
        <v>0</v>
      </c>
      <c r="BP127" s="689"/>
      <c r="BQ127" s="5">
        <v>0</v>
      </c>
      <c r="BR127" s="5">
        <v>0</v>
      </c>
      <c r="BS127" s="5">
        <v>0</v>
      </c>
      <c r="BT127" s="5">
        <v>0</v>
      </c>
      <c r="BU127" s="528">
        <f>SUM(BQ127:BT127)</f>
        <v>0</v>
      </c>
      <c r="BV127" s="224"/>
      <c r="BW127" s="5">
        <v>0</v>
      </c>
      <c r="BX127" s="5">
        <v>0</v>
      </c>
      <c r="BY127" s="5">
        <v>0</v>
      </c>
      <c r="BZ127" s="5">
        <v>0</v>
      </c>
      <c r="CA127" s="528">
        <f>SUM(BW127:BZ127)</f>
        <v>0</v>
      </c>
      <c r="CB127" s="224"/>
      <c r="CC127" s="5">
        <v>0</v>
      </c>
      <c r="CD127" s="5">
        <v>0</v>
      </c>
      <c r="CE127" s="5">
        <v>0</v>
      </c>
      <c r="CF127" s="5">
        <v>0</v>
      </c>
      <c r="CG127" s="528">
        <f>SUM(CC127:CF127)</f>
        <v>0</v>
      </c>
      <c r="CH127" s="224"/>
      <c r="CI127" s="5">
        <v>0</v>
      </c>
      <c r="CJ127" s="5">
        <v>0</v>
      </c>
      <c r="CK127" s="5">
        <v>0</v>
      </c>
      <c r="CL127" s="5">
        <v>0</v>
      </c>
      <c r="CM127" s="528">
        <f>SUM(CI127:CL127)</f>
        <v>0</v>
      </c>
      <c r="CN127" s="106"/>
      <c r="CO127" s="106"/>
      <c r="CP127" s="106"/>
      <c r="CQ127" s="106"/>
    </row>
    <row r="128" spans="1:102" ht="12.75" hidden="1" customHeight="1" outlineLevel="1">
      <c r="A128" s="558" t="s">
        <v>426</v>
      </c>
      <c r="B128" s="171"/>
      <c r="C128" s="690"/>
      <c r="D128" s="690"/>
      <c r="E128" s="690"/>
      <c r="F128" s="690"/>
      <c r="G128" s="30">
        <f>G129-G125-G126-G127</f>
        <v>0</v>
      </c>
      <c r="H128" s="687"/>
      <c r="I128" s="690"/>
      <c r="J128" s="690"/>
      <c r="K128" s="690"/>
      <c r="L128" s="690"/>
      <c r="M128" s="30">
        <f>M129-M125-M126-M127</f>
        <v>-3.5527136788005009E-14</v>
      </c>
      <c r="N128" s="687"/>
      <c r="O128" s="690"/>
      <c r="P128" s="690"/>
      <c r="Q128" s="690"/>
      <c r="R128" s="690"/>
      <c r="S128" s="30">
        <f>S129-S125-S126-S127</f>
        <v>-26.826000000000015</v>
      </c>
      <c r="T128" s="687"/>
      <c r="U128" s="690"/>
      <c r="V128" s="690"/>
      <c r="W128" s="690"/>
      <c r="X128" s="690"/>
      <c r="Y128" s="30">
        <f>Y129-Y125-Y126-Y127</f>
        <v>1.5987211554602254E-13</v>
      </c>
      <c r="Z128" s="687"/>
      <c r="AA128" s="690">
        <f>AA129-AA125-AA126-AA127</f>
        <v>80.539999999999964</v>
      </c>
      <c r="AB128" s="690">
        <f>AB129-AB125-AB126-AB127</f>
        <v>195.77199999999993</v>
      </c>
      <c r="AC128" s="690">
        <f>AC129-AC125-AC126-AC127</f>
        <v>-22.72199999999998</v>
      </c>
      <c r="AD128" s="690">
        <f>AD129-AD125-AD126-AD127</f>
        <v>335.22100000000023</v>
      </c>
      <c r="AE128" s="528">
        <f>SUM(AA128:AD128)</f>
        <v>588.81100000000015</v>
      </c>
      <c r="AF128" s="687"/>
      <c r="AG128" s="690">
        <f>AG129-AG125-AG126-AG127</f>
        <v>9.4329999999999927</v>
      </c>
      <c r="AH128" s="690">
        <f>AH129-AH125-AH126-AH127</f>
        <v>-23.028000000000247</v>
      </c>
      <c r="AI128" s="690">
        <f>AI129-AI125-AI126-AI127</f>
        <v>12.320000000000164</v>
      </c>
      <c r="AJ128" s="690">
        <f>AJ129-AJ125-AJ126-AJ127</f>
        <v>30.436999999999898</v>
      </c>
      <c r="AK128" s="528">
        <f>SUM(AG128:AJ128)</f>
        <v>29.161999999999807</v>
      </c>
      <c r="AL128" s="687"/>
      <c r="AM128" s="690">
        <f>AM129-AM125-AM126-AM127</f>
        <v>-11.166999999999916</v>
      </c>
      <c r="AN128" s="690">
        <f>AN129-AN125-AN126-AN127</f>
        <v>5.4409999999998035</v>
      </c>
      <c r="AO128" s="690">
        <f>AO129-AO125-AO126-AO127</f>
        <v>13.989000000000033</v>
      </c>
      <c r="AP128" s="690">
        <f>AP129-AP125-AP126-AP127</f>
        <v>12.06899999999996</v>
      </c>
      <c r="AQ128" s="528">
        <f>SUM(AM128:AP128)</f>
        <v>20.33199999999988</v>
      </c>
      <c r="AR128" s="687"/>
      <c r="AS128" s="690">
        <f>AS129-AS125-AS126-AS127</f>
        <v>-0.64499999999998181</v>
      </c>
      <c r="AT128" s="690">
        <f>AT129-AT125-AT126-AT127</f>
        <v>-0.65599999999994907</v>
      </c>
      <c r="AU128" s="690">
        <f>AU129-AU125-AU126-AU127</f>
        <v>-18.583999999999833</v>
      </c>
      <c r="AV128" s="690">
        <f>AV129-AV125-AV126-AV127</f>
        <v>160.8420000000001</v>
      </c>
      <c r="AW128" s="528">
        <f>SUM(AS128:AV128)</f>
        <v>140.95700000000033</v>
      </c>
      <c r="AX128" s="687"/>
      <c r="AY128" s="690">
        <f>AY129-AY125-AY126-AY127</f>
        <v>-30.869000000000142</v>
      </c>
      <c r="AZ128" s="690">
        <f>AZ129-AZ125-AZ126-AZ127</f>
        <v>22.690000000000055</v>
      </c>
      <c r="BA128" s="690">
        <f>BA129-BA125-BA126-BA127</f>
        <v>-21.954999999999927</v>
      </c>
      <c r="BB128" s="690">
        <f>BB129-BB125-BB126-BB127</f>
        <v>22.205999999999676</v>
      </c>
      <c r="BC128" s="528">
        <f>SUM(AY128:BB128)</f>
        <v>-7.9280000000003383</v>
      </c>
      <c r="BD128" s="687"/>
      <c r="BE128" s="690">
        <f>BE129-BE125-BE126-BE127</f>
        <v>19.997000000000298</v>
      </c>
      <c r="BF128" s="690">
        <f>BF129-BF125-BF126-BF127</f>
        <v>-23.94399999999996</v>
      </c>
      <c r="BG128" s="690">
        <f>BG129-BG125-BG126-BG127</f>
        <v>41.697999999999865</v>
      </c>
      <c r="BH128" s="690">
        <f>BH129-BH125-BH126-BH127</f>
        <v>-65.934000000000196</v>
      </c>
      <c r="BI128" s="528">
        <f>SUM(BE128:BH128)</f>
        <v>-28.182999999999993</v>
      </c>
      <c r="BJ128" s="687"/>
      <c r="BK128" s="690">
        <f>BK129-BK125-BK126-BK127</f>
        <v>84.567000000000007</v>
      </c>
      <c r="BL128" s="690">
        <f>BL129-BL125-BL126-BL127</f>
        <v>24.157000000000153</v>
      </c>
      <c r="BM128" s="690">
        <f>BM129-BM125-BM126-BM127</f>
        <v>16.31899999999996</v>
      </c>
      <c r="BN128" s="690">
        <f>BN129-BN125-BN126-BN127</f>
        <v>-58.306000000000154</v>
      </c>
      <c r="BO128" s="528">
        <f>SUM(BK128:BN128)</f>
        <v>66.736999999999966</v>
      </c>
      <c r="BP128" s="687"/>
      <c r="BQ128" s="5">
        <v>0</v>
      </c>
      <c r="BR128" s="5">
        <v>0</v>
      </c>
      <c r="BS128" s="5">
        <v>0</v>
      </c>
      <c r="BT128" s="5">
        <v>0</v>
      </c>
      <c r="BU128" s="528">
        <f>SUM(BQ128:BT128)</f>
        <v>0</v>
      </c>
      <c r="BV128" s="224"/>
      <c r="BW128" s="5">
        <v>0</v>
      </c>
      <c r="BX128" s="5">
        <v>0</v>
      </c>
      <c r="BY128" s="5">
        <v>0</v>
      </c>
      <c r="BZ128" s="5">
        <v>0</v>
      </c>
      <c r="CA128" s="528">
        <f>SUM(BW128:BZ128)</f>
        <v>0</v>
      </c>
      <c r="CB128" s="224"/>
      <c r="CC128" s="5">
        <v>0</v>
      </c>
      <c r="CD128" s="5">
        <v>0</v>
      </c>
      <c r="CE128" s="5">
        <v>0</v>
      </c>
      <c r="CF128" s="5">
        <v>0</v>
      </c>
      <c r="CG128" s="528">
        <f>SUM(CC128:CF128)</f>
        <v>0</v>
      </c>
      <c r="CH128" s="224"/>
      <c r="CI128" s="5">
        <v>0</v>
      </c>
      <c r="CJ128" s="5">
        <v>0</v>
      </c>
      <c r="CK128" s="5">
        <v>0</v>
      </c>
      <c r="CL128" s="5">
        <v>0</v>
      </c>
      <c r="CM128" s="528">
        <f>SUM(CI128:CL128)</f>
        <v>0</v>
      </c>
      <c r="CN128" s="94"/>
      <c r="CO128" s="94"/>
      <c r="CP128" s="94"/>
      <c r="CQ128" s="94"/>
    </row>
    <row r="129" spans="1:101" ht="12.75" hidden="1" customHeight="1" outlineLevel="1">
      <c r="A129" s="542" t="s">
        <v>303</v>
      </c>
      <c r="B129" s="572"/>
      <c r="C129" s="483"/>
      <c r="D129" s="483"/>
      <c r="E129" s="483"/>
      <c r="F129" s="483"/>
      <c r="G129" s="691">
        <f>+G19</f>
        <v>1355.6559999999999</v>
      </c>
      <c r="H129" s="685"/>
      <c r="I129" s="483"/>
      <c r="J129" s="483"/>
      <c r="K129" s="483"/>
      <c r="L129" s="483"/>
      <c r="M129" s="691">
        <f>+M19</f>
        <v>1396.2919999999999</v>
      </c>
      <c r="N129" s="685"/>
      <c r="O129" s="483"/>
      <c r="P129" s="483"/>
      <c r="Q129" s="483"/>
      <c r="R129" s="483"/>
      <c r="S129" s="691">
        <f>+S19</f>
        <v>1419.4849999999999</v>
      </c>
      <c r="T129" s="685"/>
      <c r="U129" s="483"/>
      <c r="V129" s="483"/>
      <c r="W129" s="483"/>
      <c r="X129" s="483"/>
      <c r="Y129" s="691">
        <f>+Y19</f>
        <v>1504.8150000000001</v>
      </c>
      <c r="Z129" s="685"/>
      <c r="AA129" s="483">
        <f>+AA19</f>
        <v>1585.355</v>
      </c>
      <c r="AB129" s="483">
        <f>+AB19</f>
        <v>1781.127</v>
      </c>
      <c r="AC129" s="483">
        <f>+AC19</f>
        <v>1758.405</v>
      </c>
      <c r="AD129" s="483">
        <f>+AD19</f>
        <v>2093.6260000000002</v>
      </c>
      <c r="AE129" s="647">
        <f>AE125+AE126+AE127+AE128</f>
        <v>2093.6260000000002</v>
      </c>
      <c r="AF129" s="685"/>
      <c r="AG129" s="483">
        <f>+AG19</f>
        <v>2103.0590000000002</v>
      </c>
      <c r="AH129" s="483">
        <f>+AH19</f>
        <v>2080.0309999999999</v>
      </c>
      <c r="AI129" s="483">
        <f>+AI19</f>
        <v>2092.3510000000001</v>
      </c>
      <c r="AJ129" s="483">
        <f>+AJ19</f>
        <v>2122.788</v>
      </c>
      <c r="AK129" s="647">
        <f>AK125+AK126+AK127+AK128</f>
        <v>2122.788</v>
      </c>
      <c r="AL129" s="685"/>
      <c r="AM129" s="483">
        <f>+AM19</f>
        <v>2111.6210000000001</v>
      </c>
      <c r="AN129" s="483">
        <f>+AN19</f>
        <v>2117.0619999999999</v>
      </c>
      <c r="AO129" s="483">
        <f>+AO19</f>
        <v>2131.0509999999999</v>
      </c>
      <c r="AP129" s="483">
        <f>+AP19</f>
        <v>2143.12</v>
      </c>
      <c r="AQ129" s="647">
        <f>AQ125+AQ126+AQ127+AQ128</f>
        <v>2143.12</v>
      </c>
      <c r="AR129" s="685"/>
      <c r="AS129" s="483">
        <f>+AS19</f>
        <v>2142.4749999999999</v>
      </c>
      <c r="AT129" s="483">
        <f>+AT19</f>
        <v>2141.819</v>
      </c>
      <c r="AU129" s="483">
        <f>+AU19</f>
        <v>2123.2350000000001</v>
      </c>
      <c r="AV129" s="483">
        <f>+AV19</f>
        <v>2284.0770000000002</v>
      </c>
      <c r="AW129" s="647">
        <f>AW125+AW126+AW127+AW128</f>
        <v>2284.0770000000002</v>
      </c>
      <c r="AX129" s="685"/>
      <c r="AY129" s="483">
        <f>+AY19</f>
        <v>2253.2080000000001</v>
      </c>
      <c r="AZ129" s="483">
        <f>+AZ19</f>
        <v>2275.8980000000001</v>
      </c>
      <c r="BA129" s="483">
        <f>+BA19</f>
        <v>2253.9430000000002</v>
      </c>
      <c r="BB129" s="483">
        <f>+BB19</f>
        <v>2276.1489999999999</v>
      </c>
      <c r="BC129" s="647">
        <f>BC125+BC126+BC127+BC128</f>
        <v>2276.1489999999999</v>
      </c>
      <c r="BD129" s="685"/>
      <c r="BE129" s="483">
        <f>+BE19</f>
        <v>2296.1460000000002</v>
      </c>
      <c r="BF129" s="483">
        <f>+BF19</f>
        <v>2272.2020000000002</v>
      </c>
      <c r="BG129" s="483">
        <f>+BG19</f>
        <v>2313.9</v>
      </c>
      <c r="BH129" s="483">
        <f>+BH19</f>
        <v>2247.9659999999999</v>
      </c>
      <c r="BI129" s="647">
        <f>BI125+BI126+BI127+BI128</f>
        <v>2247.9659999999999</v>
      </c>
      <c r="BJ129" s="685"/>
      <c r="BK129" s="483">
        <f>+BK19</f>
        <v>2332.5329999999999</v>
      </c>
      <c r="BL129" s="483">
        <f>+BL19</f>
        <v>2356.69</v>
      </c>
      <c r="BM129" s="483">
        <f>+BM19</f>
        <v>2373.009</v>
      </c>
      <c r="BN129" s="483">
        <f>+BN19</f>
        <v>3002.1979999999999</v>
      </c>
      <c r="BO129" s="647">
        <f>BO125+BO126+BO127+BO128</f>
        <v>3002.1979999999999</v>
      </c>
      <c r="BP129" s="685"/>
      <c r="BQ129" s="482">
        <f>BQ125+BQ126+BQ127+BQ128</f>
        <v>3002.1979999999999</v>
      </c>
      <c r="BR129" s="482">
        <f>BR125+BR126+BR127+BR128</f>
        <v>3002.1979999999999</v>
      </c>
      <c r="BS129" s="482">
        <f>BS125+BS126+BS127+BS128</f>
        <v>3002.1979999999999</v>
      </c>
      <c r="BT129" s="482">
        <f>BT125+BT126+BT127+BT128</f>
        <v>3002.1979999999999</v>
      </c>
      <c r="BU129" s="647">
        <f>BU125+BU126+BU127+BU128</f>
        <v>3002.1979999999999</v>
      </c>
      <c r="BV129" s="224"/>
      <c r="BW129" s="482">
        <f>BW125+BW126+BW127+BW128</f>
        <v>3002.1979999999999</v>
      </c>
      <c r="BX129" s="482">
        <f>BX125+BX126+BX127+BX128</f>
        <v>3002.1979999999999</v>
      </c>
      <c r="BY129" s="482">
        <f>BY125+BY126+BY127+BY128</f>
        <v>3002.1979999999999</v>
      </c>
      <c r="BZ129" s="482">
        <f>BZ125+BZ126+BZ127+BZ128</f>
        <v>3002.1979999999999</v>
      </c>
      <c r="CA129" s="647">
        <f>CA125+CA126+CA127+CA128</f>
        <v>3002.1979999999999</v>
      </c>
      <c r="CB129" s="224"/>
      <c r="CC129" s="482">
        <f>CC125+CC126+CC127+CC128</f>
        <v>3002.1979999999999</v>
      </c>
      <c r="CD129" s="482">
        <f>CD125+CD126+CD127+CD128</f>
        <v>3002.1979999999999</v>
      </c>
      <c r="CE129" s="482">
        <f>CE125+CE126+CE127+CE128</f>
        <v>3002.1979999999999</v>
      </c>
      <c r="CF129" s="482">
        <f>CF125+CF126+CF127+CF128</f>
        <v>3002.1979999999999</v>
      </c>
      <c r="CG129" s="647">
        <f>CG125+CG126+CG127+CG128</f>
        <v>3002.1979999999999</v>
      </c>
      <c r="CH129" s="224"/>
      <c r="CI129" s="482">
        <f>CI125+CI126+CI127+CI128</f>
        <v>3002.1979999999999</v>
      </c>
      <c r="CJ129" s="482">
        <f>CJ125+CJ126+CJ127+CJ128</f>
        <v>3002.1979999999999</v>
      </c>
      <c r="CK129" s="482">
        <f>CK125+CK126+CK127+CK128</f>
        <v>3002.1979999999999</v>
      </c>
      <c r="CL129" s="482">
        <f>CL125+CL126+CL127+CL128</f>
        <v>3002.1979999999999</v>
      </c>
      <c r="CM129" s="647">
        <f>CM125+CM126+CM127+CM128</f>
        <v>3002.1979999999999</v>
      </c>
      <c r="CN129" s="94"/>
      <c r="CO129" s="94"/>
      <c r="CP129" s="94"/>
      <c r="CQ129" s="94"/>
    </row>
    <row r="130" spans="1:101" collapsed="1">
      <c r="A130" s="555"/>
      <c r="B130" s="98"/>
      <c r="C130" s="573"/>
      <c r="D130" s="573"/>
      <c r="E130" s="573"/>
      <c r="F130" s="573"/>
      <c r="G130" s="573"/>
      <c r="H130" s="646"/>
      <c r="I130" s="573"/>
      <c r="J130" s="573"/>
      <c r="K130" s="573"/>
      <c r="L130" s="573"/>
      <c r="M130" s="573"/>
      <c r="N130" s="646"/>
      <c r="O130" s="573"/>
      <c r="P130" s="573"/>
      <c r="Q130" s="573"/>
      <c r="R130" s="573"/>
      <c r="S130" s="692"/>
      <c r="T130" s="646"/>
      <c r="U130" s="692"/>
      <c r="V130" s="692"/>
      <c r="W130" s="692"/>
      <c r="X130" s="692"/>
      <c r="Y130" s="692"/>
      <c r="Z130" s="646"/>
      <c r="AA130" s="692"/>
      <c r="AB130" s="692"/>
      <c r="AC130" s="692"/>
      <c r="AD130" s="692"/>
      <c r="AE130" s="692"/>
      <c r="AF130" s="646"/>
      <c r="AG130" s="692"/>
      <c r="AH130" s="692"/>
      <c r="AI130" s="692"/>
      <c r="AJ130" s="692"/>
      <c r="AK130" s="214"/>
      <c r="AL130" s="646"/>
      <c r="AM130" s="692"/>
      <c r="AN130" s="692"/>
      <c r="AO130" s="692"/>
      <c r="AP130" s="692"/>
      <c r="AQ130" s="214"/>
      <c r="AR130" s="646"/>
      <c r="AS130" s="692"/>
      <c r="AT130" s="692"/>
      <c r="AU130" s="692"/>
      <c r="AV130" s="692"/>
      <c r="AW130" s="214"/>
      <c r="AX130" s="646"/>
      <c r="AY130" s="692"/>
      <c r="AZ130" s="692"/>
      <c r="BA130" s="692"/>
      <c r="BB130" s="692"/>
      <c r="BC130" s="214"/>
      <c r="BD130" s="646"/>
      <c r="BE130" s="692"/>
      <c r="BF130" s="692"/>
      <c r="BG130" s="692"/>
      <c r="BH130" s="692"/>
      <c r="BI130" s="214"/>
      <c r="BJ130" s="646"/>
      <c r="BK130" s="692"/>
      <c r="BL130" s="692"/>
      <c r="BM130" s="692"/>
      <c r="BN130" s="692"/>
      <c r="BO130" s="214"/>
      <c r="BP130" s="646"/>
      <c r="BQ130" s="692"/>
      <c r="BR130" s="692"/>
      <c r="BS130" s="692"/>
      <c r="BT130" s="692"/>
      <c r="BU130" s="214"/>
      <c r="BV130" s="214"/>
      <c r="BW130" s="692"/>
      <c r="BX130" s="692"/>
      <c r="BY130" s="692"/>
      <c r="BZ130" s="692"/>
      <c r="CA130" s="214"/>
      <c r="CB130" s="214"/>
      <c r="CC130" s="692"/>
      <c r="CD130" s="692"/>
      <c r="CE130" s="692"/>
      <c r="CF130" s="692"/>
      <c r="CG130" s="214"/>
      <c r="CH130" s="214"/>
      <c r="CI130" s="692"/>
      <c r="CJ130" s="692"/>
      <c r="CK130" s="692"/>
      <c r="CL130" s="692"/>
      <c r="CM130" s="214"/>
      <c r="CN130" s="94"/>
      <c r="CO130" s="94"/>
      <c r="CP130" s="94"/>
      <c r="CQ130" s="94"/>
    </row>
    <row r="131" spans="1:101">
      <c r="A131" s="156" t="s">
        <v>304</v>
      </c>
      <c r="B131" s="146"/>
      <c r="C131" s="146"/>
      <c r="D131" s="146"/>
      <c r="E131" s="146"/>
      <c r="F131" s="146"/>
      <c r="G131" s="147"/>
      <c r="H131" s="150"/>
      <c r="I131" s="146"/>
      <c r="J131" s="146"/>
      <c r="K131" s="146"/>
      <c r="L131" s="146"/>
      <c r="M131" s="147"/>
      <c r="N131" s="150"/>
      <c r="O131" s="146"/>
      <c r="P131" s="146"/>
      <c r="Q131" s="146"/>
      <c r="R131" s="146"/>
      <c r="S131" s="155"/>
      <c r="T131" s="150"/>
      <c r="U131" s="151"/>
      <c r="V131" s="151"/>
      <c r="W131" s="151"/>
      <c r="X131" s="151"/>
      <c r="Y131" s="154"/>
      <c r="Z131" s="150"/>
      <c r="AA131" s="151"/>
      <c r="AB131" s="151"/>
      <c r="AC131" s="151"/>
      <c r="AD131" s="151"/>
      <c r="AE131" s="154"/>
      <c r="AF131" s="150"/>
      <c r="AG131" s="151"/>
      <c r="AH131" s="151"/>
      <c r="AI131" s="151"/>
      <c r="AJ131" s="151"/>
      <c r="AK131" s="153"/>
      <c r="AL131" s="150"/>
      <c r="AM131" s="151"/>
      <c r="AN131" s="151"/>
      <c r="AO131" s="151"/>
      <c r="AP131" s="151"/>
      <c r="AQ131" s="153"/>
      <c r="AR131" s="150"/>
      <c r="AS131" s="151"/>
      <c r="AT131" s="151"/>
      <c r="AU131" s="151"/>
      <c r="AV131" s="151"/>
      <c r="AW131" s="153"/>
      <c r="AX131" s="150"/>
      <c r="AY131" s="151"/>
      <c r="AZ131" s="151"/>
      <c r="BA131" s="151"/>
      <c r="BB131" s="151"/>
      <c r="BC131" s="153"/>
      <c r="BD131" s="150"/>
      <c r="BE131" s="151"/>
      <c r="BF131" s="151"/>
      <c r="BG131" s="151"/>
      <c r="BH131" s="151"/>
      <c r="BI131" s="153"/>
      <c r="BJ131" s="150"/>
      <c r="BK131" s="151"/>
      <c r="BL131" s="151"/>
      <c r="BM131" s="151"/>
      <c r="BN131" s="151"/>
      <c r="BO131" s="153"/>
      <c r="BP131" s="150"/>
      <c r="BQ131" s="151"/>
      <c r="BR131" s="151"/>
      <c r="BS131" s="151"/>
      <c r="BT131" s="151"/>
      <c r="BU131" s="153"/>
      <c r="BV131" s="1789"/>
      <c r="BW131" s="151"/>
      <c r="BX131" s="151"/>
      <c r="BY131" s="151"/>
      <c r="BZ131" s="151"/>
      <c r="CA131" s="153"/>
      <c r="CB131" s="1789"/>
      <c r="CC131" s="151"/>
      <c r="CD131" s="151"/>
      <c r="CE131" s="151"/>
      <c r="CF131" s="151"/>
      <c r="CG131" s="153"/>
      <c r="CH131" s="1789"/>
      <c r="CI131" s="151"/>
      <c r="CJ131" s="151"/>
      <c r="CK131" s="151"/>
      <c r="CL131" s="151"/>
      <c r="CM131" s="153"/>
      <c r="CN131" s="94"/>
      <c r="CO131" s="94"/>
      <c r="CP131" s="94"/>
      <c r="CQ131" s="94"/>
    </row>
    <row r="132" spans="1:101" ht="12.75" hidden="1" customHeight="1" outlineLevel="1">
      <c r="A132" s="194" t="s">
        <v>305</v>
      </c>
      <c r="B132" s="36"/>
      <c r="C132" s="36"/>
      <c r="D132" s="36"/>
      <c r="E132" s="36"/>
      <c r="F132" s="36"/>
      <c r="G132" s="145"/>
      <c r="H132" s="110"/>
      <c r="I132" s="36"/>
      <c r="J132" s="36"/>
      <c r="K132" s="36"/>
      <c r="L132" s="36"/>
      <c r="M132" s="145"/>
      <c r="N132" s="110"/>
      <c r="O132" s="36"/>
      <c r="P132" s="36"/>
      <c r="Q132" s="36"/>
      <c r="R132" s="36"/>
      <c r="S132" s="564"/>
      <c r="T132" s="110"/>
      <c r="U132" s="72"/>
      <c r="V132" s="72"/>
      <c r="W132" s="72"/>
      <c r="X132" s="72"/>
      <c r="Y132" s="164"/>
      <c r="Z132" s="110"/>
      <c r="AA132" s="72"/>
      <c r="AB132" s="72"/>
      <c r="AC132" s="72"/>
      <c r="AD132" s="72"/>
      <c r="AE132" s="164"/>
      <c r="AF132" s="110"/>
      <c r="AG132" s="72"/>
      <c r="AH132" s="72"/>
      <c r="AI132" s="72"/>
      <c r="AJ132" s="72"/>
      <c r="AK132" s="165"/>
      <c r="AL132" s="110"/>
      <c r="AM132" s="72"/>
      <c r="AN132" s="72"/>
      <c r="AO132" s="72"/>
      <c r="AP132" s="72"/>
      <c r="AQ132" s="165"/>
      <c r="AR132" s="110"/>
      <c r="AS132" s="72"/>
      <c r="AT132" s="72"/>
      <c r="AU132" s="72"/>
      <c r="AV132" s="72"/>
      <c r="AW132" s="165"/>
      <c r="AX132" s="110"/>
      <c r="AY132" s="72"/>
      <c r="AZ132" s="72"/>
      <c r="BA132" s="72"/>
      <c r="BB132" s="72"/>
      <c r="BC132" s="165"/>
      <c r="BD132" s="110"/>
      <c r="BE132" s="72"/>
      <c r="BF132" s="72"/>
      <c r="BG132" s="72"/>
      <c r="BH132" s="72"/>
      <c r="BI132" s="165"/>
      <c r="BJ132" s="110"/>
      <c r="BK132" s="72"/>
      <c r="BL132" s="72"/>
      <c r="BM132" s="72"/>
      <c r="BN132" s="72"/>
      <c r="BO132" s="165"/>
      <c r="BP132" s="110"/>
      <c r="BQ132" s="72"/>
      <c r="BR132" s="72"/>
      <c r="BS132" s="72"/>
      <c r="BT132" s="72"/>
      <c r="BU132" s="165"/>
      <c r="BV132" s="1794"/>
      <c r="BW132" s="72"/>
      <c r="BX132" s="72"/>
      <c r="BY132" s="72"/>
      <c r="BZ132" s="72"/>
      <c r="CA132" s="165"/>
      <c r="CB132" s="1794"/>
      <c r="CC132" s="72"/>
      <c r="CD132" s="72"/>
      <c r="CE132" s="72"/>
      <c r="CF132" s="72"/>
      <c r="CG132" s="165"/>
      <c r="CH132" s="1794"/>
      <c r="CI132" s="72"/>
      <c r="CJ132" s="72"/>
      <c r="CK132" s="72"/>
      <c r="CL132" s="72"/>
      <c r="CM132" s="165"/>
      <c r="CN132" s="94"/>
      <c r="CO132" s="94"/>
      <c r="CP132" s="94"/>
      <c r="CQ132" s="94"/>
    </row>
    <row r="133" spans="1:101" ht="12.75" hidden="1" customHeight="1" outlineLevel="1">
      <c r="A133" s="558" t="s">
        <v>229</v>
      </c>
      <c r="B133" s="36"/>
      <c r="C133" s="36"/>
      <c r="D133" s="36"/>
      <c r="E133" s="36"/>
      <c r="F133" s="36"/>
      <c r="G133" s="145"/>
      <c r="H133" s="563"/>
      <c r="I133" s="36"/>
      <c r="J133" s="36"/>
      <c r="K133" s="36"/>
      <c r="L133" s="36"/>
      <c r="M133" s="145"/>
      <c r="N133" s="563"/>
      <c r="O133" s="36"/>
      <c r="P133" s="36"/>
      <c r="Q133" s="36"/>
      <c r="R133" s="36"/>
      <c r="S133" s="564"/>
      <c r="T133" s="563"/>
      <c r="U133" s="72"/>
      <c r="V133" s="72"/>
      <c r="W133" s="72"/>
      <c r="X133" s="72"/>
      <c r="Y133" s="164"/>
      <c r="Z133" s="563"/>
      <c r="AA133" s="72"/>
      <c r="AB133" s="72"/>
      <c r="AC133" s="574"/>
      <c r="AD133" s="574"/>
      <c r="AE133" s="575">
        <v>0.75</v>
      </c>
      <c r="AF133" s="563"/>
      <c r="AG133" s="72"/>
      <c r="AH133" s="72"/>
      <c r="AI133" s="574"/>
      <c r="AJ133" s="574"/>
      <c r="AK133" s="575">
        <v>0.75</v>
      </c>
      <c r="AL133" s="563"/>
      <c r="AM133" s="574"/>
      <c r="AN133" s="574"/>
      <c r="AO133" s="574"/>
      <c r="AP133" s="574"/>
      <c r="AQ133" s="575">
        <v>0.75</v>
      </c>
      <c r="AR133" s="563"/>
      <c r="AS133" s="574"/>
      <c r="AT133" s="574"/>
      <c r="AU133" s="574"/>
      <c r="AV133" s="574"/>
      <c r="AW133" s="575"/>
      <c r="AX133" s="563"/>
      <c r="AY133" s="574"/>
      <c r="AZ133" s="574"/>
      <c r="BA133" s="574"/>
      <c r="BB133" s="574"/>
      <c r="BC133" s="575"/>
      <c r="BD133" s="563"/>
      <c r="BE133" s="574"/>
      <c r="BF133" s="574"/>
      <c r="BG133" s="574"/>
      <c r="BH133" s="574"/>
      <c r="BI133" s="575"/>
      <c r="BJ133" s="563"/>
      <c r="BK133" s="574"/>
      <c r="BL133" s="574"/>
      <c r="BM133" s="574"/>
      <c r="BN133" s="574"/>
      <c r="BO133" s="575">
        <v>0.75</v>
      </c>
      <c r="BP133" s="563"/>
      <c r="BQ133" s="574">
        <v>0.75</v>
      </c>
      <c r="BR133" s="574">
        <v>0.75</v>
      </c>
      <c r="BS133" s="574">
        <v>0.75</v>
      </c>
      <c r="BT133" s="574">
        <v>0.75</v>
      </c>
      <c r="BU133" s="575">
        <v>0.75</v>
      </c>
      <c r="BV133" s="574"/>
      <c r="BW133" s="574">
        <v>0.75</v>
      </c>
      <c r="BX133" s="574">
        <v>0.75</v>
      </c>
      <c r="BY133" s="574">
        <v>0.75</v>
      </c>
      <c r="BZ133" s="574">
        <v>0.75</v>
      </c>
      <c r="CA133" s="575">
        <v>0.75</v>
      </c>
      <c r="CB133" s="574"/>
      <c r="CC133" s="574">
        <v>0.75</v>
      </c>
      <c r="CD133" s="574">
        <v>0.75</v>
      </c>
      <c r="CE133" s="574">
        <v>0.75</v>
      </c>
      <c r="CF133" s="574">
        <v>0.75</v>
      </c>
      <c r="CG133" s="575">
        <v>0.75</v>
      </c>
      <c r="CH133" s="574"/>
      <c r="CI133" s="574">
        <v>0.75</v>
      </c>
      <c r="CJ133" s="574">
        <v>0.75</v>
      </c>
      <c r="CK133" s="574">
        <v>0.75</v>
      </c>
      <c r="CL133" s="574">
        <v>0.75</v>
      </c>
      <c r="CM133" s="575">
        <v>0.75</v>
      </c>
      <c r="CN133" s="94"/>
      <c r="CO133" s="94"/>
      <c r="CP133" s="94"/>
      <c r="CQ133" s="94"/>
    </row>
    <row r="134" spans="1:101" ht="12.75" hidden="1" customHeight="1" outlineLevel="1">
      <c r="A134" s="558" t="s">
        <v>297</v>
      </c>
      <c r="B134" s="36"/>
      <c r="C134" s="36"/>
      <c r="D134" s="36"/>
      <c r="E134" s="36"/>
      <c r="F134" s="36"/>
      <c r="G134" s="145"/>
      <c r="H134" s="563"/>
      <c r="I134" s="36"/>
      <c r="J134" s="36"/>
      <c r="K134" s="36"/>
      <c r="L134" s="36"/>
      <c r="M134" s="145"/>
      <c r="N134" s="563"/>
      <c r="O134" s="36"/>
      <c r="P134" s="36"/>
      <c r="Q134" s="36"/>
      <c r="R134" s="36"/>
      <c r="S134" s="564"/>
      <c r="T134" s="563"/>
      <c r="U134" s="72"/>
      <c r="V134" s="72"/>
      <c r="W134" s="72"/>
      <c r="X134" s="72"/>
      <c r="Y134" s="164"/>
      <c r="Z134" s="563"/>
      <c r="AA134" s="72"/>
      <c r="AB134" s="72"/>
      <c r="AC134" s="574"/>
      <c r="AD134" s="574"/>
      <c r="AE134" s="575">
        <v>0.15</v>
      </c>
      <c r="AF134" s="563"/>
      <c r="AG134" s="72"/>
      <c r="AH134" s="72"/>
      <c r="AI134" s="574"/>
      <c r="AJ134" s="574"/>
      <c r="AK134" s="575">
        <v>0.15</v>
      </c>
      <c r="AL134" s="563"/>
      <c r="AM134" s="574"/>
      <c r="AN134" s="574"/>
      <c r="AO134" s="574"/>
      <c r="AP134" s="574"/>
      <c r="AQ134" s="575">
        <v>0.15</v>
      </c>
      <c r="AR134" s="563"/>
      <c r="AS134" s="574"/>
      <c r="AT134" s="574"/>
      <c r="AU134" s="574"/>
      <c r="AV134" s="574"/>
      <c r="AW134" s="575"/>
      <c r="AX134" s="563"/>
      <c r="AY134" s="574"/>
      <c r="AZ134" s="574"/>
      <c r="BA134" s="574"/>
      <c r="BB134" s="574"/>
      <c r="BC134" s="575"/>
      <c r="BD134" s="563"/>
      <c r="BE134" s="574"/>
      <c r="BF134" s="574"/>
      <c r="BG134" s="574"/>
      <c r="BH134" s="574"/>
      <c r="BI134" s="575"/>
      <c r="BJ134" s="563"/>
      <c r="BK134" s="574"/>
      <c r="BL134" s="574"/>
      <c r="BM134" s="574"/>
      <c r="BN134" s="574"/>
      <c r="BO134" s="575">
        <v>0.15</v>
      </c>
      <c r="BP134" s="563"/>
      <c r="BQ134" s="574">
        <v>0.15</v>
      </c>
      <c r="BR134" s="574">
        <v>0.15</v>
      </c>
      <c r="BS134" s="574">
        <v>0.15</v>
      </c>
      <c r="BT134" s="574">
        <v>0.15</v>
      </c>
      <c r="BU134" s="575">
        <v>0.15</v>
      </c>
      <c r="BV134" s="574"/>
      <c r="BW134" s="574">
        <v>0.15</v>
      </c>
      <c r="BX134" s="574">
        <v>0.15</v>
      </c>
      <c r="BY134" s="574">
        <v>0.15</v>
      </c>
      <c r="BZ134" s="574">
        <v>0.15</v>
      </c>
      <c r="CA134" s="575">
        <v>0.15</v>
      </c>
      <c r="CB134" s="574"/>
      <c r="CC134" s="574">
        <v>0.15</v>
      </c>
      <c r="CD134" s="574">
        <v>0.15</v>
      </c>
      <c r="CE134" s="574">
        <v>0.15</v>
      </c>
      <c r="CF134" s="574">
        <v>0.15</v>
      </c>
      <c r="CG134" s="575">
        <v>0.15</v>
      </c>
      <c r="CH134" s="574"/>
      <c r="CI134" s="574">
        <v>0.15</v>
      </c>
      <c r="CJ134" s="574">
        <v>0.15</v>
      </c>
      <c r="CK134" s="574">
        <v>0.15</v>
      </c>
      <c r="CL134" s="574">
        <v>0.15</v>
      </c>
      <c r="CM134" s="575">
        <v>0.15</v>
      </c>
      <c r="CN134" s="94"/>
      <c r="CO134" s="94"/>
      <c r="CP134" s="94"/>
      <c r="CQ134" s="94"/>
    </row>
    <row r="135" spans="1:101" ht="12.75" hidden="1" customHeight="1" outlineLevel="1">
      <c r="A135" s="576" t="s">
        <v>285</v>
      </c>
      <c r="B135" s="144"/>
      <c r="C135" s="144"/>
      <c r="D135" s="144"/>
      <c r="E135" s="144"/>
      <c r="F135" s="144"/>
      <c r="G135" s="143"/>
      <c r="H135" s="577"/>
      <c r="I135" s="144"/>
      <c r="J135" s="144"/>
      <c r="K135" s="144"/>
      <c r="L135" s="144"/>
      <c r="M135" s="143"/>
      <c r="N135" s="577"/>
      <c r="O135" s="144"/>
      <c r="P135" s="144"/>
      <c r="Q135" s="144"/>
      <c r="R135" s="144"/>
      <c r="S135" s="566"/>
      <c r="T135" s="577"/>
      <c r="U135" s="567"/>
      <c r="V135" s="567"/>
      <c r="W135" s="567"/>
      <c r="X135" s="567"/>
      <c r="Y135" s="568"/>
      <c r="Z135" s="577"/>
      <c r="AA135" s="567"/>
      <c r="AB135" s="567"/>
      <c r="AC135" s="578"/>
      <c r="AD135" s="578"/>
      <c r="AE135" s="579">
        <v>0.1</v>
      </c>
      <c r="AF135" s="577"/>
      <c r="AG135" s="567"/>
      <c r="AH135" s="567"/>
      <c r="AI135" s="578"/>
      <c r="AJ135" s="578"/>
      <c r="AK135" s="579">
        <v>0.1</v>
      </c>
      <c r="AL135" s="577"/>
      <c r="AM135" s="578"/>
      <c r="AN135" s="578"/>
      <c r="AO135" s="578"/>
      <c r="AP135" s="578"/>
      <c r="AQ135" s="579">
        <v>0.1</v>
      </c>
      <c r="AR135" s="577"/>
      <c r="AS135" s="578"/>
      <c r="AT135" s="578"/>
      <c r="AU135" s="578"/>
      <c r="AV135" s="578"/>
      <c r="AW135" s="579"/>
      <c r="AX135" s="577"/>
      <c r="AY135" s="578"/>
      <c r="AZ135" s="578"/>
      <c r="BA135" s="578"/>
      <c r="BB135" s="578"/>
      <c r="BC135" s="579"/>
      <c r="BD135" s="577"/>
      <c r="BE135" s="578"/>
      <c r="BF135" s="578"/>
      <c r="BG135" s="578"/>
      <c r="BH135" s="578"/>
      <c r="BI135" s="579"/>
      <c r="BJ135" s="577"/>
      <c r="BK135" s="578"/>
      <c r="BL135" s="578"/>
      <c r="BM135" s="578"/>
      <c r="BN135" s="578"/>
      <c r="BO135" s="579">
        <v>0.1</v>
      </c>
      <c r="BP135" s="577"/>
      <c r="BQ135" s="578">
        <v>0.1</v>
      </c>
      <c r="BR135" s="578">
        <v>0.1</v>
      </c>
      <c r="BS135" s="578">
        <v>0.1</v>
      </c>
      <c r="BT135" s="578">
        <v>0.1</v>
      </c>
      <c r="BU135" s="579">
        <v>0.1</v>
      </c>
      <c r="BV135" s="574"/>
      <c r="BW135" s="578">
        <v>0.1</v>
      </c>
      <c r="BX135" s="578">
        <v>0.1</v>
      </c>
      <c r="BY135" s="578">
        <v>0.1</v>
      </c>
      <c r="BZ135" s="578">
        <v>0.1</v>
      </c>
      <c r="CA135" s="579">
        <v>0.1</v>
      </c>
      <c r="CB135" s="574"/>
      <c r="CC135" s="578">
        <v>0.1</v>
      </c>
      <c r="CD135" s="578">
        <v>0.1</v>
      </c>
      <c r="CE135" s="578">
        <v>0.1</v>
      </c>
      <c r="CF135" s="578">
        <v>0.1</v>
      </c>
      <c r="CG135" s="579">
        <v>0.1</v>
      </c>
      <c r="CH135" s="574"/>
      <c r="CI135" s="578">
        <v>0.1</v>
      </c>
      <c r="CJ135" s="578">
        <v>0.1</v>
      </c>
      <c r="CK135" s="578">
        <v>0.1</v>
      </c>
      <c r="CL135" s="578">
        <v>0.1</v>
      </c>
      <c r="CM135" s="579">
        <v>0.1</v>
      </c>
      <c r="CN135" s="94"/>
      <c r="CO135" s="94"/>
      <c r="CP135" s="94"/>
      <c r="CQ135" s="94"/>
    </row>
    <row r="136" spans="1:101" collapsed="1">
      <c r="A136" s="580"/>
      <c r="B136" s="98"/>
      <c r="C136" s="98"/>
      <c r="D136" s="98"/>
      <c r="E136" s="98"/>
      <c r="F136" s="98"/>
      <c r="G136" s="98"/>
      <c r="H136" s="580"/>
      <c r="I136" s="98"/>
      <c r="J136" s="98"/>
      <c r="K136" s="98"/>
      <c r="L136" s="98"/>
      <c r="M136" s="98"/>
      <c r="N136" s="580"/>
      <c r="O136" s="98"/>
      <c r="P136" s="98"/>
      <c r="Q136" s="98"/>
      <c r="R136" s="98"/>
      <c r="S136" s="129"/>
      <c r="T136" s="580"/>
      <c r="U136" s="129"/>
      <c r="V136" s="129"/>
      <c r="W136" s="129"/>
      <c r="X136" s="129"/>
      <c r="Y136" s="128"/>
      <c r="Z136" s="580"/>
      <c r="AA136" s="129"/>
      <c r="AB136" s="129"/>
      <c r="AC136" s="129"/>
      <c r="AD136" s="129"/>
      <c r="AE136" s="128"/>
      <c r="AF136" s="580"/>
      <c r="AG136" s="129"/>
      <c r="AH136" s="129"/>
      <c r="AI136" s="129"/>
      <c r="AJ136" s="129"/>
      <c r="AK136" s="162"/>
      <c r="AL136" s="580"/>
      <c r="AM136" s="129"/>
      <c r="AN136" s="129"/>
      <c r="AO136" s="129"/>
      <c r="AP136" s="129"/>
      <c r="AQ136" s="162"/>
      <c r="AR136" s="580"/>
      <c r="AS136" s="129"/>
      <c r="AT136" s="129"/>
      <c r="AU136" s="129"/>
      <c r="AV136" s="129"/>
      <c r="AW136" s="162"/>
      <c r="AX136" s="580"/>
      <c r="AY136" s="129"/>
      <c r="AZ136" s="129"/>
      <c r="BA136" s="129"/>
      <c r="BB136" s="129"/>
      <c r="BC136" s="162"/>
      <c r="BD136" s="580"/>
      <c r="BE136" s="129"/>
      <c r="BF136" s="129"/>
      <c r="BG136" s="129"/>
      <c r="BH136" s="129"/>
      <c r="BI136" s="162"/>
      <c r="BJ136" s="580"/>
      <c r="BK136" s="129"/>
      <c r="BL136" s="129"/>
      <c r="BM136" s="129"/>
      <c r="BN136" s="129"/>
      <c r="BO136" s="162"/>
      <c r="BP136" s="580"/>
      <c r="BQ136" s="129"/>
      <c r="BR136" s="129"/>
      <c r="BS136" s="129"/>
      <c r="BT136" s="129"/>
      <c r="BU136" s="162"/>
      <c r="BV136" s="162"/>
      <c r="BW136" s="129"/>
      <c r="BX136" s="129"/>
      <c r="BY136" s="129"/>
      <c r="BZ136" s="129"/>
      <c r="CA136" s="162"/>
      <c r="CB136" s="162"/>
      <c r="CC136" s="129"/>
      <c r="CD136" s="129"/>
      <c r="CE136" s="129"/>
      <c r="CF136" s="129"/>
      <c r="CG136" s="162"/>
      <c r="CH136" s="162"/>
      <c r="CI136" s="129"/>
      <c r="CJ136" s="129"/>
      <c r="CK136" s="129"/>
      <c r="CL136" s="129"/>
      <c r="CM136" s="162"/>
      <c r="CN136" s="94"/>
      <c r="CO136" s="94"/>
      <c r="CP136" s="94"/>
      <c r="CQ136" s="94"/>
    </row>
    <row r="137" spans="1:101">
      <c r="A137" s="2271" t="s">
        <v>717</v>
      </c>
      <c r="B137" s="2272"/>
      <c r="C137" s="2272"/>
      <c r="D137" s="2272"/>
      <c r="E137" s="2272"/>
      <c r="F137" s="2272"/>
      <c r="G137" s="2272"/>
      <c r="H137" s="2273"/>
      <c r="I137" s="2272"/>
      <c r="J137" s="2272"/>
      <c r="K137" s="2272"/>
      <c r="L137" s="2272"/>
      <c r="M137" s="2272"/>
      <c r="N137" s="2273"/>
      <c r="O137" s="2272"/>
      <c r="P137" s="2272"/>
      <c r="Q137" s="2272"/>
      <c r="R137" s="2272"/>
      <c r="S137" s="2274"/>
      <c r="T137" s="2273"/>
      <c r="U137" s="2274"/>
      <c r="V137" s="2274"/>
      <c r="W137" s="2274"/>
      <c r="X137" s="2274"/>
      <c r="Y137" s="2275"/>
      <c r="Z137" s="2273"/>
      <c r="AA137" s="2274"/>
      <c r="AB137" s="2274"/>
      <c r="AC137" s="2274"/>
      <c r="AD137" s="2274"/>
      <c r="AE137" s="2275"/>
      <c r="AF137" s="2273"/>
      <c r="AG137" s="2274"/>
      <c r="AH137" s="2274"/>
      <c r="AI137" s="2274"/>
      <c r="AJ137" s="2274"/>
      <c r="AK137" s="2276"/>
      <c r="AL137" s="2273"/>
      <c r="AM137" s="2274"/>
      <c r="AN137" s="2274"/>
      <c r="AO137" s="2274"/>
      <c r="AP137" s="2274"/>
      <c r="AQ137" s="2276"/>
      <c r="AR137" s="2273"/>
      <c r="AS137" s="2274"/>
      <c r="AT137" s="2274"/>
      <c r="AU137" s="2274"/>
      <c r="AV137" s="2274"/>
      <c r="AW137" s="2276"/>
      <c r="AX137" s="2273"/>
      <c r="AY137" s="2274"/>
      <c r="AZ137" s="2274"/>
      <c r="BA137" s="2274"/>
      <c r="BB137" s="2274"/>
      <c r="BC137" s="2276"/>
      <c r="BD137" s="2273"/>
      <c r="BE137" s="2274"/>
      <c r="BF137" s="2274"/>
      <c r="BG137" s="2274"/>
      <c r="BH137" s="2274"/>
      <c r="BI137" s="2276"/>
      <c r="BJ137" s="2273"/>
      <c r="BK137" s="2274"/>
      <c r="BL137" s="2274"/>
      <c r="BM137" s="2274"/>
      <c r="BN137" s="2274"/>
      <c r="BO137" s="2276"/>
      <c r="BP137" s="2273"/>
      <c r="BQ137" s="2274"/>
      <c r="BR137" s="2274"/>
      <c r="BS137" s="2274"/>
      <c r="BT137" s="2274"/>
      <c r="BU137" s="2276"/>
      <c r="BV137" s="2276"/>
      <c r="BW137" s="2274"/>
      <c r="BX137" s="2274"/>
      <c r="BY137" s="2274"/>
      <c r="BZ137" s="2274"/>
      <c r="CA137" s="2276"/>
      <c r="CB137" s="2276"/>
      <c r="CC137" s="2274"/>
      <c r="CD137" s="2274"/>
      <c r="CE137" s="2274"/>
      <c r="CF137" s="2274"/>
      <c r="CG137" s="2276"/>
      <c r="CH137" s="2276"/>
      <c r="CI137" s="2274"/>
      <c r="CJ137" s="2274"/>
      <c r="CK137" s="2274"/>
      <c r="CL137" s="2274"/>
      <c r="CM137" s="2276"/>
      <c r="CN137" s="94"/>
      <c r="CO137" s="94"/>
      <c r="CP137" s="94"/>
      <c r="CQ137" s="94"/>
    </row>
    <row r="138" spans="1:101" s="228" customFormat="1" ht="11.25" hidden="1" customHeight="1" outlineLevel="1">
      <c r="A138" s="196" t="s">
        <v>718</v>
      </c>
      <c r="B138" s="111"/>
      <c r="C138" s="112"/>
      <c r="D138" s="112">
        <f>D144*D159</f>
        <v>9.6624450199409309E-2</v>
      </c>
      <c r="E138" s="112">
        <f>E144*E159</f>
        <v>0.11180027094456364</v>
      </c>
      <c r="F138" s="112">
        <f>F144*F159</f>
        <v>0.13465633836559665</v>
      </c>
      <c r="G138" s="191"/>
      <c r="H138" s="111"/>
      <c r="I138" s="112">
        <f>I144*I159</f>
        <v>7.497630834817702E-2</v>
      </c>
      <c r="J138" s="112">
        <f>J144*J159</f>
        <v>8.7004762486963982E-2</v>
      </c>
      <c r="K138" s="112">
        <f>K144*K159</f>
        <v>9.3943777684204033E-2</v>
      </c>
      <c r="L138" s="112">
        <f>L144*L159</f>
        <v>0.12522587107494654</v>
      </c>
      <c r="M138" s="191">
        <f>M144*M159</f>
        <v>9.9992565702962319E-2</v>
      </c>
      <c r="N138" s="111"/>
      <c r="O138" s="112">
        <f>O144*O159</f>
        <v>7.0604212312582487E-2</v>
      </c>
      <c r="P138" s="112">
        <f>P144*P159</f>
        <v>7.7625788485174096E-2</v>
      </c>
      <c r="Q138" s="112">
        <f>Q144*Q159</f>
        <v>6.8426663053548942E-2</v>
      </c>
      <c r="R138" s="112">
        <f>R144*R159</f>
        <v>6.8345900726792516E-2</v>
      </c>
      <c r="S138" s="191">
        <f>S144*S159</f>
        <v>7.2649543857404714E-2</v>
      </c>
      <c r="T138" s="111"/>
      <c r="U138" s="112">
        <f>U144*U159</f>
        <v>7.5484786417235453E-2</v>
      </c>
      <c r="V138" s="112">
        <f>V144*V159</f>
        <v>8.7000980908251646E-2</v>
      </c>
      <c r="W138" s="112">
        <f>W144*W159</f>
        <v>8.5891045887999035E-2</v>
      </c>
      <c r="X138" s="112">
        <f>X144*X159</f>
        <v>0.12126966482843653</v>
      </c>
      <c r="Y138" s="191">
        <f>Y144*Y159</f>
        <v>9.7875207285174973E-2</v>
      </c>
      <c r="Z138" s="111"/>
      <c r="AA138" s="112">
        <f>AA144*AA159</f>
        <v>0.142726738698158</v>
      </c>
      <c r="AB138" s="112">
        <f>AB144*AB159</f>
        <v>0.1542491091662713</v>
      </c>
      <c r="AC138" s="112">
        <f>AC144*AC159</f>
        <v>0.13351058416865938</v>
      </c>
      <c r="AD138" s="112">
        <f>AD144*AD159</f>
        <v>0.1308419264582559</v>
      </c>
      <c r="AE138" s="191">
        <f>AE144*AE159</f>
        <v>0.18051811721794037</v>
      </c>
      <c r="AF138" s="111"/>
      <c r="AG138" s="112">
        <f>AG144*AG159</f>
        <v>8.5125599057323004E-2</v>
      </c>
      <c r="AH138" s="112">
        <f>AH144*AH159</f>
        <v>9.5773476742481503E-2</v>
      </c>
      <c r="AI138" s="112">
        <f>AI144*AI159</f>
        <v>8.5035126413957524E-2</v>
      </c>
      <c r="AJ138" s="112">
        <f>AJ144*AJ159</f>
        <v>0.12458959104206493</v>
      </c>
      <c r="AK138" s="191">
        <f>AK144*AK159</f>
        <v>0.10379048239872454</v>
      </c>
      <c r="AL138" s="111"/>
      <c r="AM138" s="112">
        <f>AM144*AM159</f>
        <v>7.57919006317017E-2</v>
      </c>
      <c r="AN138" s="112">
        <f>AN144*AN159</f>
        <v>9.7600266261399365E-2</v>
      </c>
      <c r="AO138" s="112">
        <f>AO144*AO159</f>
        <v>9.5003811393805246E-2</v>
      </c>
      <c r="AP138" s="112">
        <f>AP144*AP159</f>
        <v>0.13671385956080576</v>
      </c>
      <c r="AQ138" s="191">
        <f>AQ144*AQ159</f>
        <v>0.10212047892052585</v>
      </c>
      <c r="AR138" s="111"/>
      <c r="AS138" s="112">
        <f>AS144*AS159</f>
        <v>8.9826065714605594E-2</v>
      </c>
      <c r="AT138" s="112">
        <f>AT144*AT159</f>
        <v>0.10833570645833709</v>
      </c>
      <c r="AU138" s="112">
        <f>AU144*AU159</f>
        <v>0.10547668940398573</v>
      </c>
      <c r="AV138" s="112">
        <f>AV144*AV159</f>
        <v>0.13114606075060825</v>
      </c>
      <c r="AW138" s="191">
        <f>AW144*AW159</f>
        <v>0.10721846824724655</v>
      </c>
      <c r="AX138" s="111"/>
      <c r="AY138" s="112">
        <f>AY144*AY159</f>
        <v>7.6979454899458857E-2</v>
      </c>
      <c r="AZ138" s="112">
        <f>AZ144*AZ159</f>
        <v>9.5072157524246539E-2</v>
      </c>
      <c r="BA138" s="112">
        <f>BA144*BA159</f>
        <v>9.7015517774059035E-2</v>
      </c>
      <c r="BB138" s="112">
        <f>BB144*BB159</f>
        <v>0.13653087812677001</v>
      </c>
      <c r="BC138" s="191">
        <f>BC144*BC159</f>
        <v>0.10092739652036813</v>
      </c>
      <c r="BD138" s="111"/>
      <c r="BE138" s="112">
        <f>BE144*BE159</f>
        <v>8.8244665450317478E-2</v>
      </c>
      <c r="BF138" s="112">
        <f>BF144*BF159</f>
        <v>9.7313695494241695E-2</v>
      </c>
      <c r="BG138" s="112">
        <f>BG144*BG159</f>
        <v>0.10893208642338546</v>
      </c>
      <c r="BH138" s="112">
        <f>BH144*BH159</f>
        <v>0.13723422142392672</v>
      </c>
      <c r="BI138" s="191">
        <f>BI144*BI159</f>
        <v>0.10946902868298679</v>
      </c>
      <c r="BJ138" s="111"/>
      <c r="BK138" s="112">
        <f>BK144*BK159</f>
        <v>0.10153644846187819</v>
      </c>
      <c r="BL138" s="112">
        <f>BL144*BL159</f>
        <v>0.1074214833603766</v>
      </c>
      <c r="BM138" s="112">
        <f>BM144*BM159</f>
        <v>0.11724028744224907</v>
      </c>
      <c r="BN138" s="112">
        <f>BN144*BN159</f>
        <v>0.16819440801203345</v>
      </c>
      <c r="BO138" s="191">
        <f>BO144*BO159</f>
        <v>0.12932458050217135</v>
      </c>
      <c r="BP138" s="111"/>
      <c r="BQ138" s="112">
        <f>BQ144*BQ159</f>
        <v>7.6647084151197878E-2</v>
      </c>
      <c r="BR138" s="112">
        <f>BR144*BR159</f>
        <v>0.10402922633292976</v>
      </c>
      <c r="BS138" s="112">
        <f>BS144*BS159</f>
        <v>0.10870950670954271</v>
      </c>
      <c r="BT138" s="112">
        <f>BT144*BT159</f>
        <v>0.13455191424919488</v>
      </c>
      <c r="BU138" s="191">
        <f>BU144*BU159</f>
        <v>0.10467222631557861</v>
      </c>
      <c r="BV138" s="112"/>
      <c r="BW138" s="112">
        <f>BW144*BW159</f>
        <v>8.8352928642953868E-2</v>
      </c>
      <c r="BX138" s="112">
        <f>BX144*BX159</f>
        <v>0.11798974045192004</v>
      </c>
      <c r="BY138" s="112">
        <f>BY144*BY159</f>
        <v>0.12339456363988872</v>
      </c>
      <c r="BZ138" s="112">
        <f>BZ144*BZ159</f>
        <v>0.15226671599345093</v>
      </c>
      <c r="CA138" s="191">
        <f>CA144*CA159</f>
        <v>0.12024505327268298</v>
      </c>
      <c r="CB138" s="112"/>
      <c r="CC138" s="112">
        <f>CC144*CC159</f>
        <v>0.10024121050312804</v>
      </c>
      <c r="CD138" s="112">
        <f>CD144*CD159</f>
        <v>0.13328789999007032</v>
      </c>
      <c r="CE138" s="112">
        <f>CE144*CE159</f>
        <v>0.13847629326467448</v>
      </c>
      <c r="CF138" s="112">
        <f>CF144*CF159</f>
        <v>0.1695455965785917</v>
      </c>
      <c r="CG138" s="191">
        <f>CG144*CG159</f>
        <v>0.13497302433510136</v>
      </c>
      <c r="CH138" s="112"/>
      <c r="CI138" s="112">
        <f>CI144*CI159</f>
        <v>0.11137361524999861</v>
      </c>
      <c r="CJ138" s="112">
        <f>CJ144*CJ159</f>
        <v>0.14744801071119143</v>
      </c>
      <c r="CK138" s="112">
        <f>CK144*CK159</f>
        <v>0.15314199692815539</v>
      </c>
      <c r="CL138" s="112">
        <f>CL144*CL159</f>
        <v>0.18672149264594534</v>
      </c>
      <c r="CM138" s="191">
        <f>CM144*CM159</f>
        <v>0.1489603743468183</v>
      </c>
      <c r="CN138" s="98"/>
      <c r="CO138" s="98"/>
      <c r="CP138" s="98"/>
      <c r="CQ138" s="98"/>
      <c r="CR138"/>
      <c r="CS138"/>
      <c r="CT138"/>
      <c r="CU138"/>
      <c r="CV138"/>
      <c r="CW138"/>
    </row>
    <row r="139" spans="1:101" s="228" customFormat="1" ht="11.25" hidden="1" customHeight="1" outlineLevel="1">
      <c r="A139" s="194" t="s">
        <v>307</v>
      </c>
      <c r="B139" s="2277"/>
      <c r="C139" s="2277">
        <f>IS!C11</f>
        <v>402.9</v>
      </c>
      <c r="D139" s="2277">
        <f>IS!D11</f>
        <v>437.28999999999996</v>
      </c>
      <c r="E139" s="2277">
        <f>IS!E11</f>
        <v>435.66800000000001</v>
      </c>
      <c r="F139" s="2277">
        <f>IS!F11</f>
        <v>480.69500000000005</v>
      </c>
      <c r="G139" s="254">
        <f>IS!G11</f>
        <v>1756.5529999999999</v>
      </c>
      <c r="H139" s="2277"/>
      <c r="I139" s="2277">
        <f>IS!I11</f>
        <v>458.71999999999997</v>
      </c>
      <c r="J139" s="2277">
        <f>IS!J11</f>
        <v>504.96500000000003</v>
      </c>
      <c r="K139" s="2277">
        <f>IS!K11</f>
        <v>478.74700000000001</v>
      </c>
      <c r="L139" s="2277">
        <f>IS!L11</f>
        <v>499.87</v>
      </c>
      <c r="M139" s="254">
        <f>IS!M11</f>
        <v>1942.3019999999999</v>
      </c>
      <c r="N139" s="2277"/>
      <c r="O139" s="2277">
        <f>IS!O11</f>
        <v>435.15699999999998</v>
      </c>
      <c r="P139" s="2277">
        <f>IS!P11</f>
        <v>438.27</v>
      </c>
      <c r="Q139" s="2277">
        <f>IS!Q11</f>
        <v>377.036</v>
      </c>
      <c r="R139" s="2277">
        <f>IS!R11</f>
        <v>300.30299999999994</v>
      </c>
      <c r="S139" s="254">
        <f>IS!S11</f>
        <v>1550.7660000000001</v>
      </c>
      <c r="T139" s="2277"/>
      <c r="U139" s="2277">
        <f>IS!U11</f>
        <v>393.62</v>
      </c>
      <c r="V139" s="2277">
        <f>IS!V11</f>
        <v>421.79500000000002</v>
      </c>
      <c r="W139" s="2277">
        <f>IS!W11</f>
        <v>419.32500000000005</v>
      </c>
      <c r="X139" s="2277">
        <f>IS!X11</f>
        <v>470.33999999999992</v>
      </c>
      <c r="Y139" s="254">
        <f>IS!Y11</f>
        <v>1705.08</v>
      </c>
      <c r="Z139" s="2277"/>
      <c r="AA139" s="2277">
        <f>IS!AA11</f>
        <v>483.18900000000002</v>
      </c>
      <c r="AB139" s="2277">
        <f>IS!AB11</f>
        <v>523.59300000000007</v>
      </c>
      <c r="AC139" s="2277">
        <f>IS!AC11</f>
        <v>499.80200000000002</v>
      </c>
      <c r="AD139" s="2277">
        <f>IS!AD11</f>
        <v>553.85699999999997</v>
      </c>
      <c r="AE139" s="254">
        <f>IS!AE11</f>
        <v>2060.4409999999998</v>
      </c>
      <c r="AF139" s="2277"/>
      <c r="AG139" s="2277">
        <f>IS!AG11</f>
        <v>517.36300000000006</v>
      </c>
      <c r="AH139" s="2277">
        <f>IS!AH11</f>
        <v>532.25300000000004</v>
      </c>
      <c r="AI139" s="2277">
        <f>IS!AI11</f>
        <v>514.84100000000001</v>
      </c>
      <c r="AJ139" s="2277">
        <f>IS!AJ11</f>
        <v>576.99700000000007</v>
      </c>
      <c r="AK139" s="254">
        <f>IS!AK11</f>
        <v>2141.4539999999997</v>
      </c>
      <c r="AL139" s="2277"/>
      <c r="AM139" s="2277">
        <f>IS!AM11</f>
        <v>507.31000000000006</v>
      </c>
      <c r="AN139" s="2277">
        <f>IS!AN11</f>
        <v>544.47200000000009</v>
      </c>
      <c r="AO139" s="2277">
        <f>IS!AO11</f>
        <v>522.99487066000006</v>
      </c>
      <c r="AP139" s="2277">
        <f>IS!AP11</f>
        <v>594.01900000000012</v>
      </c>
      <c r="AQ139" s="254">
        <f>IS!AQ11</f>
        <v>2168.7958706600002</v>
      </c>
      <c r="AR139" s="2277"/>
      <c r="AS139" s="2277">
        <f>IS!AS11</f>
        <v>532.0830480000003</v>
      </c>
      <c r="AT139" s="2277">
        <f>IS!AT11</f>
        <v>556.594607</v>
      </c>
      <c r="AU139" s="2277">
        <f>IS!AU11</f>
        <v>542.89734620000013</v>
      </c>
      <c r="AV139" s="2277">
        <f>IS!AV11</f>
        <v>608.62328611680016</v>
      </c>
      <c r="AW139" s="254">
        <f>IS!AW11</f>
        <v>2240.1982873168008</v>
      </c>
      <c r="AX139" s="2277"/>
      <c r="AY139" s="2277">
        <f>IS!AY11</f>
        <v>484.41200000000003</v>
      </c>
      <c r="AZ139" s="2277">
        <f>IS!AZ11</f>
        <v>525.46299999999997</v>
      </c>
      <c r="BA139" s="2277">
        <f>IS!BA11</f>
        <v>525.673</v>
      </c>
      <c r="BB139" s="2277">
        <f>IS!BB11</f>
        <v>570.072</v>
      </c>
      <c r="BC139" s="254">
        <f>IS!BC11</f>
        <v>2105.62</v>
      </c>
      <c r="BD139" s="2277"/>
      <c r="BE139" s="2277">
        <f>IS!BE11</f>
        <v>498.19100000000003</v>
      </c>
      <c r="BF139" s="2277">
        <f>IS!BF11</f>
        <v>536.41800000000001</v>
      </c>
      <c r="BG139" s="2277">
        <f>IS!BG11</f>
        <v>514.66499999999996</v>
      </c>
      <c r="BH139" s="2277">
        <f>IS!BH11</f>
        <v>566.95399999999995</v>
      </c>
      <c r="BI139" s="254">
        <f>IS!BI11</f>
        <v>2116.2280000000001</v>
      </c>
      <c r="BJ139" s="2277"/>
      <c r="BK139" s="2277">
        <f>IS!BK11</f>
        <v>514.29999999999995</v>
      </c>
      <c r="BL139" s="2277">
        <f>IS!BL11</f>
        <v>547.14800000000002</v>
      </c>
      <c r="BM139" s="2277">
        <f>IS!BM11</f>
        <v>554.46</v>
      </c>
      <c r="BN139" s="2277">
        <f>IS!BN11</f>
        <v>641.81899999999996</v>
      </c>
      <c r="BO139" s="254">
        <f>IS!BO11</f>
        <v>2257.7269999999999</v>
      </c>
      <c r="BP139" s="2277"/>
      <c r="BQ139" s="2277">
        <f>IS!BQ11</f>
        <v>623.65968539215214</v>
      </c>
      <c r="BR139" s="2277">
        <f>IS!BR11</f>
        <v>685.87265029598109</v>
      </c>
      <c r="BS139" s="2277">
        <f>IS!BS11</f>
        <v>682.86766192760922</v>
      </c>
      <c r="BT139" s="2277">
        <f>IS!BT11</f>
        <v>766.00272890127144</v>
      </c>
      <c r="BU139" s="254">
        <f>IS!BU11</f>
        <v>2758.4027265170139</v>
      </c>
      <c r="BV139" s="52"/>
      <c r="BW139" s="2277">
        <f>IS!BW11</f>
        <v>663.39730441106917</v>
      </c>
      <c r="BX139" s="2277">
        <f>IS!BX11</f>
        <v>734.03669203030097</v>
      </c>
      <c r="BY139" s="2277">
        <f>IS!BY11</f>
        <v>734.56515858406124</v>
      </c>
      <c r="BZ139" s="2277">
        <f>IS!BZ11</f>
        <v>824.77400147482808</v>
      </c>
      <c r="CA139" s="254">
        <f>IS!CA11</f>
        <v>2956.7731565002596</v>
      </c>
      <c r="CB139" s="52"/>
      <c r="CC139" s="2277">
        <f>IS!CC11</f>
        <v>711.22700533691716</v>
      </c>
      <c r="CD139" s="2277">
        <f>IS!CD11</f>
        <v>788.46222375207776</v>
      </c>
      <c r="CE139" s="2277">
        <f>IS!CE11</f>
        <v>787.26249003012572</v>
      </c>
      <c r="CF139" s="2277">
        <f>IS!CF11</f>
        <v>879.75225636117523</v>
      </c>
      <c r="CG139" s="254">
        <f>IS!CG11</f>
        <v>3166.7039754802959</v>
      </c>
      <c r="CH139" s="52"/>
      <c r="CI139" s="2277">
        <f>IS!CI11</f>
        <v>749.40231176765747</v>
      </c>
      <c r="CJ139" s="2277">
        <f>IS!CJ11</f>
        <v>830.86438726510255</v>
      </c>
      <c r="CK139" s="2277">
        <f>IS!CK11</f>
        <v>832.62791892981545</v>
      </c>
      <c r="CL139" s="2277">
        <f>IS!CL11</f>
        <v>929.72940333262727</v>
      </c>
      <c r="CM139" s="254">
        <f>IS!CM11</f>
        <v>3342.6240212952025</v>
      </c>
      <c r="CN139" s="98"/>
      <c r="CO139" s="98"/>
      <c r="CP139" s="98"/>
      <c r="CQ139" s="98"/>
      <c r="CR139"/>
      <c r="CS139"/>
      <c r="CT139"/>
      <c r="CU139"/>
      <c r="CV139"/>
      <c r="CW139"/>
    </row>
    <row r="140" spans="1:101" s="228" customFormat="1" ht="11.25" hidden="1" customHeight="1" outlineLevel="1">
      <c r="A140" s="194" t="s">
        <v>451</v>
      </c>
      <c r="B140" s="2277"/>
      <c r="C140" s="2277">
        <f>IS!C18</f>
        <v>43.086999999999975</v>
      </c>
      <c r="D140" s="2277">
        <f>IS!D18</f>
        <v>50.774999999999977</v>
      </c>
      <c r="E140" s="2277">
        <f>IS!E18</f>
        <v>58.006000000000029</v>
      </c>
      <c r="F140" s="2277">
        <f>IS!F18</f>
        <v>71.664000000000044</v>
      </c>
      <c r="G140" s="254">
        <f>IS!G18</f>
        <v>223.53199999999993</v>
      </c>
      <c r="H140" s="2277"/>
      <c r="I140" s="2277">
        <f>IS!I18</f>
        <v>48.370999999999981</v>
      </c>
      <c r="J140" s="2277">
        <f>IS!J18</f>
        <v>59.649000000000058</v>
      </c>
      <c r="K140" s="2277">
        <f>IS!K18</f>
        <v>64.183999999999997</v>
      </c>
      <c r="L140" s="2277">
        <f>IS!L18</f>
        <v>85.837000000000018</v>
      </c>
      <c r="M140" s="254">
        <f>IS!M18</f>
        <v>258.04100000000005</v>
      </c>
      <c r="N140" s="2277"/>
      <c r="O140" s="2277">
        <f>IS!O18</f>
        <v>47.991000000000014</v>
      </c>
      <c r="P140" s="2277">
        <f>IS!P18</f>
        <v>52.500999999999948</v>
      </c>
      <c r="Q140" s="2277">
        <f>IS!Q18</f>
        <v>47.546999999999997</v>
      </c>
      <c r="R140" s="2277">
        <f>IS!R18</f>
        <v>49.485999999999876</v>
      </c>
      <c r="S140" s="254">
        <f>IS!S18</f>
        <v>197.52499999999986</v>
      </c>
      <c r="T140" s="2277"/>
      <c r="U140" s="2277">
        <f>IS!U18</f>
        <v>45.820999999999998</v>
      </c>
      <c r="V140" s="2277">
        <f>IS!V18</f>
        <v>55.926999999999992</v>
      </c>
      <c r="W140" s="2277">
        <f>IS!W18</f>
        <v>57.50800000000001</v>
      </c>
      <c r="X140" s="2277">
        <f>IS!X18</f>
        <v>78.394000000000062</v>
      </c>
      <c r="Y140" s="254">
        <f>IS!Y18</f>
        <v>237.65000000000009</v>
      </c>
      <c r="Z140" s="2277"/>
      <c r="AA140" s="2277">
        <f>IS!AA18</f>
        <v>96.935000000000059</v>
      </c>
      <c r="AB140" s="2277">
        <f>IS!AB18</f>
        <v>108.64400000000009</v>
      </c>
      <c r="AC140" s="2277">
        <f>IS!AC18</f>
        <v>104.52699999999999</v>
      </c>
      <c r="AD140" s="2277">
        <f>IS!AD18</f>
        <v>101.19199999999975</v>
      </c>
      <c r="AE140" s="254">
        <f>IS!AE18</f>
        <v>411.29799999999966</v>
      </c>
      <c r="AF140" s="2277"/>
      <c r="AG140" s="2277">
        <f>IS!AG18</f>
        <v>78.957000000000079</v>
      </c>
      <c r="AH140" s="2277">
        <f>IS!AH18</f>
        <v>89.733000000000033</v>
      </c>
      <c r="AI140" s="2277">
        <f>IS!AI18</f>
        <v>78.273000000000025</v>
      </c>
      <c r="AJ140" s="2277">
        <f>IS!AJ18</f>
        <v>105.58800000000011</v>
      </c>
      <c r="AK140" s="254">
        <f>IS!AK18</f>
        <v>352.5509999999997</v>
      </c>
      <c r="AL140" s="2277"/>
      <c r="AM140" s="2277">
        <f>IS!AM18</f>
        <v>63.893000000000001</v>
      </c>
      <c r="AN140" s="2277">
        <f>IS!AN18</f>
        <v>85.432000000000073</v>
      </c>
      <c r="AO140" s="2277">
        <f>IS!AO18</f>
        <v>82.062870660000073</v>
      </c>
      <c r="AP140" s="2277">
        <f>IS!AP18</f>
        <v>114.06600000000009</v>
      </c>
      <c r="AQ140" s="254">
        <f>IS!AQ18</f>
        <v>345.45387065999989</v>
      </c>
      <c r="AR140" s="2277"/>
      <c r="AS140" s="2277">
        <f>IS!AS18</f>
        <v>79.464048000000304</v>
      </c>
      <c r="AT140" s="2277">
        <f>IS!AT18</f>
        <v>93.241607000000016</v>
      </c>
      <c r="AU140" s="2277">
        <f>IS!AU18</f>
        <v>91.35734620000008</v>
      </c>
      <c r="AV140" s="2277">
        <f>IS!AV18</f>
        <v>130.59428611680019</v>
      </c>
      <c r="AW140" s="254">
        <f>IS!AW18</f>
        <v>394.65728731680076</v>
      </c>
      <c r="AX140" s="2277"/>
      <c r="AY140" s="2277">
        <f>IS!AY18</f>
        <v>71.900000000000034</v>
      </c>
      <c r="AZ140" s="2277">
        <f>IS!AZ18</f>
        <v>86.5</v>
      </c>
      <c r="BA140" s="2277">
        <f>IS!BA18</f>
        <v>86.700000000000017</v>
      </c>
      <c r="BB140" s="2277">
        <f>IS!BB18</f>
        <v>118.1</v>
      </c>
      <c r="BC140" s="254">
        <f>IS!BC18</f>
        <v>363.19999999999982</v>
      </c>
      <c r="BD140" s="2277"/>
      <c r="BE140" s="2277">
        <f>IS!BE18</f>
        <v>81.199999999999989</v>
      </c>
      <c r="BF140" s="2277">
        <f>IS!BF18</f>
        <v>94.000000000000028</v>
      </c>
      <c r="BG140" s="2277">
        <f>IS!BG18</f>
        <v>97.699999999999989</v>
      </c>
      <c r="BH140" s="2277">
        <f>IS!BH18</f>
        <v>120.69999999999999</v>
      </c>
      <c r="BI140" s="254">
        <f>IS!BI18</f>
        <v>393.59999999999991</v>
      </c>
      <c r="BJ140" s="2277"/>
      <c r="BK140" s="2277">
        <f>IS!BK18</f>
        <v>84.064999999999941</v>
      </c>
      <c r="BL140" s="2277">
        <f>IS!BL18</f>
        <v>99.569000000000045</v>
      </c>
      <c r="BM140" s="2277">
        <f>IS!BM18</f>
        <v>107.00700000000006</v>
      </c>
      <c r="BN140" s="2277">
        <f>IS!BN18</f>
        <v>137</v>
      </c>
      <c r="BO140" s="254">
        <f>IS!BO18</f>
        <v>427.64099999999985</v>
      </c>
      <c r="BP140" s="2277"/>
      <c r="BQ140" s="2277">
        <f>IS!BQ18</f>
        <v>101.31674757202813</v>
      </c>
      <c r="BR140" s="2277">
        <f>IS!BR18</f>
        <v>135.10194983858617</v>
      </c>
      <c r="BS140" s="2277">
        <f>IS!BS18</f>
        <v>142.03181826889846</v>
      </c>
      <c r="BT140" s="2277">
        <f>IS!BT18</f>
        <v>174.99778043558149</v>
      </c>
      <c r="BU140" s="254">
        <f>IS!BU18</f>
        <v>553.44829611509419</v>
      </c>
      <c r="BV140" s="52"/>
      <c r="BW140" s="2277">
        <f>IS!BW18</f>
        <v>114.73800139038173</v>
      </c>
      <c r="BX140" s="2277">
        <f>IS!BX18</f>
        <v>152.29660063095443</v>
      </c>
      <c r="BY140" s="2277">
        <f>IS!BY18</f>
        <v>160.49747929378475</v>
      </c>
      <c r="BZ140" s="2277">
        <f>IS!BZ18</f>
        <v>197.0845466335401</v>
      </c>
      <c r="CA140" s="254">
        <f>IS!CA18</f>
        <v>624.61662794866095</v>
      </c>
      <c r="CB140" s="52"/>
      <c r="CC140" s="2277">
        <f>IS!CC18</f>
        <v>129.76705256017624</v>
      </c>
      <c r="CD140" s="2277">
        <f>IS!CD18</f>
        <v>171.07910229923755</v>
      </c>
      <c r="CE140" s="2277">
        <f>IS!CE18</f>
        <v>179.49048060893006</v>
      </c>
      <c r="CF140" s="2277">
        <f>IS!CF18</f>
        <v>218.57956696727985</v>
      </c>
      <c r="CG140" s="254">
        <f>IS!CG18</f>
        <v>698.91620243562352</v>
      </c>
      <c r="CH140" s="52"/>
      <c r="CI140" s="2277">
        <f>IS!CI18</f>
        <v>143.85165699707974</v>
      </c>
      <c r="CJ140" s="2277">
        <f>IS!CJ18</f>
        <v>188.17265845999083</v>
      </c>
      <c r="CK140" s="2277">
        <f>IS!CK18</f>
        <v>197.74345435162149</v>
      </c>
      <c r="CL140" s="2277">
        <f>IS!CL18</f>
        <v>239.82910925806286</v>
      </c>
      <c r="CM140" s="254">
        <f>IS!CM18</f>
        <v>769.59687906675458</v>
      </c>
      <c r="CN140" s="98"/>
      <c r="CO140" s="98"/>
      <c r="CP140" s="98"/>
      <c r="CQ140" s="98"/>
      <c r="CR140"/>
      <c r="CS140"/>
      <c r="CT140"/>
      <c r="CU140"/>
      <c r="CV140"/>
      <c r="CW140"/>
    </row>
    <row r="141" spans="1:101" s="228" customFormat="1" ht="11.25" hidden="1" customHeight="1" outlineLevel="1">
      <c r="A141" s="195" t="s">
        <v>308</v>
      </c>
      <c r="B141" s="187"/>
      <c r="C141" s="188">
        <f>IS!C85</f>
        <v>0.24099853037230567</v>
      </c>
      <c r="D141" s="188">
        <f>IS!D85</f>
        <v>0.24099853037230567</v>
      </c>
      <c r="E141" s="188">
        <f>IS!E85</f>
        <v>0.24099853037230567</v>
      </c>
      <c r="F141" s="188">
        <f>IS!F85</f>
        <v>0.24099853037230567</v>
      </c>
      <c r="G141" s="189">
        <f>IS!G85</f>
        <v>0.24099853037230567</v>
      </c>
      <c r="H141" s="187"/>
      <c r="I141" s="188">
        <f>IS!I85</f>
        <v>0.27441150974713235</v>
      </c>
      <c r="J141" s="188">
        <f>IS!J85</f>
        <v>0.27441150974713235</v>
      </c>
      <c r="K141" s="188">
        <f>IS!K85</f>
        <v>0.27441150974713235</v>
      </c>
      <c r="L141" s="188">
        <f>IS!L85</f>
        <v>0.27441150974713235</v>
      </c>
      <c r="M141" s="189">
        <f>IS!M85</f>
        <v>0.27441150974713235</v>
      </c>
      <c r="N141" s="187"/>
      <c r="O141" s="188">
        <f>IS!O85</f>
        <v>0.30100343901634707</v>
      </c>
      <c r="P141" s="188">
        <f>IS!P85</f>
        <v>0.30100343901634707</v>
      </c>
      <c r="Q141" s="188">
        <f>IS!Q85</f>
        <v>0.30100343901634707</v>
      </c>
      <c r="R141" s="188">
        <f>IS!R85</f>
        <v>0.30100343901634707</v>
      </c>
      <c r="S141" s="189">
        <f>IS!S85</f>
        <v>0.30100343901634707</v>
      </c>
      <c r="T141" s="187"/>
      <c r="U141" s="188">
        <f>IS!U85</f>
        <v>0.23444908139075463</v>
      </c>
      <c r="V141" s="188">
        <f>IS!V85</f>
        <v>0.23444908139075463</v>
      </c>
      <c r="W141" s="188">
        <f>IS!W85</f>
        <v>0.23444908139075463</v>
      </c>
      <c r="X141" s="188">
        <f>IS!X85</f>
        <v>0.23444908139075463</v>
      </c>
      <c r="Y141" s="189">
        <f>IS!Y85</f>
        <v>0.23444908139075463</v>
      </c>
      <c r="Z141" s="187"/>
      <c r="AA141" s="188">
        <f>IS!AA85</f>
        <v>0.28711502004537404</v>
      </c>
      <c r="AB141" s="188">
        <f>IS!AB85</f>
        <v>0.28711502004537404</v>
      </c>
      <c r="AC141" s="188">
        <f>IS!AC85</f>
        <v>0.28711502004537404</v>
      </c>
      <c r="AD141" s="188">
        <f>IS!AD85</f>
        <v>0.28711502004537404</v>
      </c>
      <c r="AE141" s="189">
        <v>0.15</v>
      </c>
      <c r="AF141" s="187"/>
      <c r="AG141" s="188">
        <f>IS!AG85</f>
        <v>0.28711502004537404</v>
      </c>
      <c r="AH141" s="188">
        <f>IS!AH85</f>
        <v>0.28711502004537404</v>
      </c>
      <c r="AI141" s="188">
        <f>IS!AI85</f>
        <v>0.28711502004537404</v>
      </c>
      <c r="AJ141" s="188">
        <f>IS!AJ85</f>
        <v>0.20243363491218722</v>
      </c>
      <c r="AK141" s="189">
        <f>IS!AK85</f>
        <v>0.22134425357376278</v>
      </c>
      <c r="AL141" s="187"/>
      <c r="AM141" s="188">
        <f>IS!AM85</f>
        <v>0.19668094176920836</v>
      </c>
      <c r="AN141" s="188">
        <f>IS!AN85</f>
        <v>0.21724202601144266</v>
      </c>
      <c r="AO141" s="188">
        <f>IS!AO85</f>
        <v>0.20384821314066623</v>
      </c>
      <c r="AP141" s="188">
        <f>IS!AP85</f>
        <v>0.18428361961859291</v>
      </c>
      <c r="AQ141" s="189">
        <f>IS!AQ85</f>
        <v>0.19924193069190566</v>
      </c>
      <c r="AR141" s="187"/>
      <c r="AS141" s="188">
        <f>IS!AS85</f>
        <v>0.22081835744202238</v>
      </c>
      <c r="AT141" s="188">
        <f>IS!AT85</f>
        <v>0.20528141708635803</v>
      </c>
      <c r="AU141" s="188">
        <f>IS!AU85</f>
        <v>0.20802554587702571</v>
      </c>
      <c r="AV141" s="188">
        <f>IS!AV85</f>
        <v>0.31783063901689296</v>
      </c>
      <c r="AW141" s="189">
        <f>IS!AW85</f>
        <v>0.25094021470263772</v>
      </c>
      <c r="AX141" s="187"/>
      <c r="AY141" s="188">
        <f>IS!AY85</f>
        <v>0.21820966439126355</v>
      </c>
      <c r="AZ141" s="188">
        <f>IS!AZ85</f>
        <v>0.20116251622801842</v>
      </c>
      <c r="BA141" s="188">
        <f>IS!BA85</f>
        <v>0.18380632290589821</v>
      </c>
      <c r="BB141" s="188">
        <f>IS!BB85</f>
        <v>0.1652772629749957</v>
      </c>
      <c r="BC141" s="189">
        <f>IS!BC85</f>
        <v>0.18835227003735608</v>
      </c>
      <c r="BD141" s="187"/>
      <c r="BE141" s="188">
        <f>IS!BE85</f>
        <v>0.21592984611947383</v>
      </c>
      <c r="BF141" s="188">
        <f>IS!BF85</f>
        <v>0.23380087733910818</v>
      </c>
      <c r="BG141" s="188">
        <f>IS!BG85</f>
        <v>0.19197004727561345</v>
      </c>
      <c r="BH141" s="188">
        <f>IS!BH85</f>
        <v>0.15934801365839335</v>
      </c>
      <c r="BI141" s="189">
        <f>IS!BI85</f>
        <v>0.19736395927728373</v>
      </c>
      <c r="BJ141" s="187"/>
      <c r="BK141" s="188">
        <f>IS!BK85</f>
        <v>0.16801832507692965</v>
      </c>
      <c r="BL141" s="188">
        <f>IS!BL85</f>
        <v>0.21790937221821874</v>
      </c>
      <c r="BM141" s="188">
        <f>IS!BM85</f>
        <v>0.20010075634389327</v>
      </c>
      <c r="BN141" s="188">
        <f>IS!BN85</f>
        <v>9.7870877181325727E-2</v>
      </c>
      <c r="BO141" s="189">
        <f>IS!BO85</f>
        <v>0.16676262387688076</v>
      </c>
      <c r="BP141" s="187"/>
      <c r="BQ141" s="188">
        <f>IS!BQ85</f>
        <v>0.185</v>
      </c>
      <c r="BR141" s="188">
        <f>IS!BR85</f>
        <v>0.185</v>
      </c>
      <c r="BS141" s="188">
        <f>IS!BS85</f>
        <v>0.185</v>
      </c>
      <c r="BT141" s="188">
        <f>IS!BT85</f>
        <v>0.185</v>
      </c>
      <c r="BU141" s="189">
        <f>IS!BU85</f>
        <v>0.18500000000000003</v>
      </c>
      <c r="BV141" s="188"/>
      <c r="BW141" s="188">
        <f>IS!BW85</f>
        <v>0.185</v>
      </c>
      <c r="BX141" s="188">
        <f>IS!BX85</f>
        <v>0.185</v>
      </c>
      <c r="BY141" s="188">
        <f>IS!BY85</f>
        <v>0.185</v>
      </c>
      <c r="BZ141" s="188">
        <f>IS!BZ85</f>
        <v>0.185</v>
      </c>
      <c r="CA141" s="189">
        <f>IS!CA85</f>
        <v>0.18500000000000003</v>
      </c>
      <c r="CB141" s="188"/>
      <c r="CC141" s="188">
        <f>IS!CC85</f>
        <v>0.185</v>
      </c>
      <c r="CD141" s="188">
        <f>IS!CD85</f>
        <v>0.185</v>
      </c>
      <c r="CE141" s="188">
        <f>IS!CE85</f>
        <v>0.185</v>
      </c>
      <c r="CF141" s="188">
        <f>IS!CF85</f>
        <v>0.185</v>
      </c>
      <c r="CG141" s="189">
        <f>IS!CG85</f>
        <v>0.18500000000000003</v>
      </c>
      <c r="CH141" s="188"/>
      <c r="CI141" s="188">
        <f>IS!CI85</f>
        <v>0.185</v>
      </c>
      <c r="CJ141" s="188">
        <f>IS!CJ85</f>
        <v>0.185</v>
      </c>
      <c r="CK141" s="188">
        <f>IS!CK85</f>
        <v>0.185</v>
      </c>
      <c r="CL141" s="188">
        <f>IS!CL85</f>
        <v>0.185</v>
      </c>
      <c r="CM141" s="189">
        <f>IS!CM85</f>
        <v>0.18500000000000008</v>
      </c>
      <c r="CN141" s="814"/>
      <c r="CO141" s="814"/>
      <c r="CP141" s="814"/>
      <c r="CQ141" s="814"/>
      <c r="CR141"/>
      <c r="CS141"/>
      <c r="CT141"/>
      <c r="CU141"/>
      <c r="CV141"/>
      <c r="CW141"/>
    </row>
    <row r="142" spans="1:101" s="228" customFormat="1" ht="11.25" hidden="1" customHeight="1" outlineLevel="1">
      <c r="A142" s="194" t="s">
        <v>309</v>
      </c>
      <c r="B142" s="110"/>
      <c r="C142" s="61">
        <f>C140*C141</f>
        <v>10.383903678151528</v>
      </c>
      <c r="D142" s="61">
        <f>D140*D141</f>
        <v>12.236700379653815</v>
      </c>
      <c r="E142" s="61">
        <f>E140*E141</f>
        <v>13.979360752775969</v>
      </c>
      <c r="F142" s="61">
        <f>F140*F141</f>
        <v>17.270918680600925</v>
      </c>
      <c r="G142" s="190">
        <f>G140*G141</f>
        <v>53.870883491182212</v>
      </c>
      <c r="H142" s="110"/>
      <c r="I142" s="61">
        <f>I140*I141</f>
        <v>13.273559137978534</v>
      </c>
      <c r="J142" s="61">
        <f>J140*J141</f>
        <v>16.368372144906715</v>
      </c>
      <c r="K142" s="61">
        <f>K140*K141</f>
        <v>17.612828341609941</v>
      </c>
      <c r="L142" s="61">
        <f>L140*L141</f>
        <v>23.554660762164605</v>
      </c>
      <c r="M142" s="190">
        <f>M140*M141</f>
        <v>70.809420386659795</v>
      </c>
      <c r="N142" s="110"/>
      <c r="O142" s="61">
        <f>O140*O141</f>
        <v>14.445456041833516</v>
      </c>
      <c r="P142" s="61">
        <f>P140*P141</f>
        <v>15.802981551797222</v>
      </c>
      <c r="Q142" s="61">
        <f>Q140*Q141</f>
        <v>14.311810514910253</v>
      </c>
      <c r="R142" s="61">
        <f>R140*R141</f>
        <v>14.895456183162914</v>
      </c>
      <c r="S142" s="190">
        <f>S140*S141</f>
        <v>59.455704291703917</v>
      </c>
      <c r="T142" s="110"/>
      <c r="U142" s="61">
        <f>U140*U141</f>
        <v>10.742691358405768</v>
      </c>
      <c r="V142" s="61">
        <f>V140*V141</f>
        <v>13.112033774940732</v>
      </c>
      <c r="W142" s="61">
        <f>W140*W141</f>
        <v>13.482697772619519</v>
      </c>
      <c r="X142" s="61">
        <f>X140*X141</f>
        <v>18.379401286546834</v>
      </c>
      <c r="Y142" s="190">
        <f>Y140*Y141</f>
        <v>55.71682419251286</v>
      </c>
      <c r="Z142" s="110"/>
      <c r="AA142" s="61">
        <f>AA140*AA141</f>
        <v>27.831494468098349</v>
      </c>
      <c r="AB142" s="61">
        <f>AB140*AB141</f>
        <v>31.193324237809644</v>
      </c>
      <c r="AC142" s="61">
        <f>AC140*AC141</f>
        <v>30.011271700282808</v>
      </c>
      <c r="AD142" s="61">
        <f>AD140*AD141</f>
        <v>29.053743108431419</v>
      </c>
      <c r="AE142" s="190">
        <f>AE140*AE141</f>
        <v>61.694699999999948</v>
      </c>
      <c r="AF142" s="110"/>
      <c r="AG142" s="61">
        <f>AG140*AG141</f>
        <v>22.669740637722619</v>
      </c>
      <c r="AH142" s="61">
        <f>AH140*AH141</f>
        <v>25.763692093731557</v>
      </c>
      <c r="AI142" s="61">
        <f>AI140*AI141</f>
        <v>22.473353964011569</v>
      </c>
      <c r="AJ142" s="61">
        <f>AJ140*AJ141</f>
        <v>21.374562643108046</v>
      </c>
      <c r="AK142" s="190">
        <f>AK140*AK141</f>
        <v>78.035137941683573</v>
      </c>
      <c r="AL142" s="110"/>
      <c r="AM142" s="61">
        <f>AM140*AM141</f>
        <v>12.566535412460031</v>
      </c>
      <c r="AN142" s="61">
        <f>AN140*AN141</f>
        <v>18.559420766209584</v>
      </c>
      <c r="AO142" s="61">
        <f>AO140*AO141</f>
        <v>16.728369549234621</v>
      </c>
      <c r="AP142" s="61">
        <f>AP140*AP141</f>
        <v>21.020495355414436</v>
      </c>
      <c r="AQ142" s="190">
        <f>AQ140*AQ141</f>
        <v>68.828896155290238</v>
      </c>
      <c r="AR142" s="110"/>
      <c r="AS142" s="61">
        <f>AS140*AS141</f>
        <v>17.547120555054089</v>
      </c>
      <c r="AT142" s="61">
        <f>AT140*AT141</f>
        <v>19.140769216369282</v>
      </c>
      <c r="AU142" s="61">
        <f>AU140*AU141</f>
        <v>19.004661813131438</v>
      </c>
      <c r="AV142" s="61">
        <f>AV140*AV141</f>
        <v>41.506865408457557</v>
      </c>
      <c r="AW142" s="190">
        <f>AW140*AW141</f>
        <v>99.03538441323856</v>
      </c>
      <c r="AX142" s="110"/>
      <c r="AY142" s="61">
        <f>AY140*AY141</f>
        <v>15.689274869731856</v>
      </c>
      <c r="AZ142" s="61">
        <f>AZ140*AZ141</f>
        <v>17.400557653723595</v>
      </c>
      <c r="BA142" s="61">
        <f>BA140*BA141</f>
        <v>15.936008195941378</v>
      </c>
      <c r="BB142" s="61">
        <f>BB140*BB141</f>
        <v>19.519244757346993</v>
      </c>
      <c r="BC142" s="190">
        <f>BC140*BC141</f>
        <v>68.409544477567692</v>
      </c>
      <c r="BD142" s="110"/>
      <c r="BE142" s="61">
        <f>BE140*BE141</f>
        <v>17.533503504901272</v>
      </c>
      <c r="BF142" s="61">
        <f>BF140*BF141</f>
        <v>21.977282469876176</v>
      </c>
      <c r="BG142" s="61">
        <f>BG140*BG141</f>
        <v>18.75547361882743</v>
      </c>
      <c r="BH142" s="61">
        <f>BH140*BH141</f>
        <v>19.233305248568076</v>
      </c>
      <c r="BI142" s="190">
        <f>BI140*BI141</f>
        <v>77.682454371538853</v>
      </c>
      <c r="BJ142" s="110"/>
      <c r="BK142" s="61">
        <f>BK140*BK141</f>
        <v>14.124460497592082</v>
      </c>
      <c r="BL142" s="61">
        <f>BL140*BL141</f>
        <v>21.697018282395831</v>
      </c>
      <c r="BM142" s="61">
        <f>BM140*BM141</f>
        <v>21.412181634090999</v>
      </c>
      <c r="BN142" s="61">
        <f>BN140*BN141</f>
        <v>13.408310173841624</v>
      </c>
      <c r="BO142" s="190">
        <f>BO140*BO141</f>
        <v>71.314535237333146</v>
      </c>
      <c r="BP142" s="110"/>
      <c r="BQ142" s="61">
        <f>BQ140*BQ141</f>
        <v>18.743598300825205</v>
      </c>
      <c r="BR142" s="61">
        <f>BR140*BR141</f>
        <v>24.993860720138439</v>
      </c>
      <c r="BS142" s="61">
        <f>BS140*BS141</f>
        <v>26.275886379746215</v>
      </c>
      <c r="BT142" s="61">
        <f>BT140*BT141</f>
        <v>32.374589380582577</v>
      </c>
      <c r="BU142" s="190">
        <f>BU140*BU141</f>
        <v>102.38793478129244</v>
      </c>
      <c r="BV142" s="61"/>
      <c r="BW142" s="61">
        <f>BW140*BW141</f>
        <v>21.22653025722062</v>
      </c>
      <c r="BX142" s="61">
        <f>BX140*BX141</f>
        <v>28.174871116726568</v>
      </c>
      <c r="BY142" s="61">
        <f>BY140*BY141</f>
        <v>29.692033669350177</v>
      </c>
      <c r="BZ142" s="61">
        <f>BZ140*BZ141</f>
        <v>36.460641127204916</v>
      </c>
      <c r="CA142" s="190">
        <f>CA140*CA141</f>
        <v>115.55407617050228</v>
      </c>
      <c r="CB142" s="61"/>
      <c r="CC142" s="61">
        <f>CC140*CC141</f>
        <v>24.006904723632605</v>
      </c>
      <c r="CD142" s="61">
        <f>CD140*CD141</f>
        <v>31.649633925358945</v>
      </c>
      <c r="CE142" s="61">
        <f>CE140*CE141</f>
        <v>33.205738912652059</v>
      </c>
      <c r="CF142" s="61">
        <f>CF140*CF141</f>
        <v>40.437219888946771</v>
      </c>
      <c r="CG142" s="190">
        <f>CG140*CG141</f>
        <v>129.29949745059037</v>
      </c>
      <c r="CH142" s="61"/>
      <c r="CI142" s="61">
        <f>CI140*CI141</f>
        <v>26.612556544459753</v>
      </c>
      <c r="CJ142" s="61">
        <f>CJ140*CJ141</f>
        <v>34.811941815098301</v>
      </c>
      <c r="CK142" s="61">
        <f>CK140*CK141</f>
        <v>36.582539055049978</v>
      </c>
      <c r="CL142" s="61">
        <f>CL140*CL141</f>
        <v>44.368385212741629</v>
      </c>
      <c r="CM142" s="190">
        <f>CM140*CM141</f>
        <v>142.37542262734965</v>
      </c>
      <c r="CN142" s="98"/>
      <c r="CO142" s="98"/>
      <c r="CP142" s="98"/>
      <c r="CQ142" s="98"/>
      <c r="CR142"/>
      <c r="CS142"/>
      <c r="CT142"/>
      <c r="CU142"/>
      <c r="CV142"/>
      <c r="CW142"/>
    </row>
    <row r="143" spans="1:101" s="228" customFormat="1" ht="11.25" hidden="1" customHeight="1" outlineLevel="1">
      <c r="A143" s="194" t="s">
        <v>310</v>
      </c>
      <c r="B143" s="110"/>
      <c r="C143" s="61">
        <f>C140-C142</f>
        <v>32.703096321848449</v>
      </c>
      <c r="D143" s="61">
        <f>D140-D142</f>
        <v>38.538299620346166</v>
      </c>
      <c r="E143" s="61">
        <f>E140-E142</f>
        <v>44.026639247224061</v>
      </c>
      <c r="F143" s="61">
        <f>F140-F142</f>
        <v>54.393081319399116</v>
      </c>
      <c r="G143" s="190">
        <f>G140-G142</f>
        <v>169.66111650881771</v>
      </c>
      <c r="H143" s="110"/>
      <c r="I143" s="61">
        <f>I140-I142</f>
        <v>35.097440862021443</v>
      </c>
      <c r="J143" s="61">
        <f>J140-J142</f>
        <v>43.280627855093343</v>
      </c>
      <c r="K143" s="61">
        <f>K140-K142</f>
        <v>46.571171658390057</v>
      </c>
      <c r="L143" s="61">
        <f>L140-L142</f>
        <v>62.282339237835416</v>
      </c>
      <c r="M143" s="190">
        <f>M140-M142</f>
        <v>187.23157961334027</v>
      </c>
      <c r="N143" s="110"/>
      <c r="O143" s="61">
        <f>O140-O142</f>
        <v>33.545543958166498</v>
      </c>
      <c r="P143" s="61">
        <f>P140-P142</f>
        <v>36.698018448202724</v>
      </c>
      <c r="Q143" s="61">
        <f>Q140-Q142</f>
        <v>33.235189485089748</v>
      </c>
      <c r="R143" s="61">
        <f>R140-R142</f>
        <v>34.590543816836963</v>
      </c>
      <c r="S143" s="190">
        <f>S140-S142</f>
        <v>138.06929570829595</v>
      </c>
      <c r="T143" s="110"/>
      <c r="U143" s="61">
        <f>U140-U142</f>
        <v>35.078308641594234</v>
      </c>
      <c r="V143" s="61">
        <f>V140-V142</f>
        <v>42.814966225059258</v>
      </c>
      <c r="W143" s="61">
        <f>W140-W142</f>
        <v>44.025302227380493</v>
      </c>
      <c r="X143" s="61">
        <f>X140-X142</f>
        <v>60.014598713453225</v>
      </c>
      <c r="Y143" s="190">
        <f>Y140-Y142</f>
        <v>181.93317580748723</v>
      </c>
      <c r="Z143" s="110"/>
      <c r="AA143" s="61">
        <f>AA140-AA142</f>
        <v>69.103505531901703</v>
      </c>
      <c r="AB143" s="61">
        <f>AB140-AB142</f>
        <v>77.450675762190443</v>
      </c>
      <c r="AC143" s="61">
        <f>AC140-AC142</f>
        <v>74.515728299717182</v>
      </c>
      <c r="AD143" s="61">
        <f>AD140-AD142</f>
        <v>72.138256891568332</v>
      </c>
      <c r="AE143" s="190">
        <f>AE140-AE142</f>
        <v>349.60329999999971</v>
      </c>
      <c r="AF143" s="110"/>
      <c r="AG143" s="61">
        <f>AG140-AG142</f>
        <v>56.28725936227746</v>
      </c>
      <c r="AH143" s="61">
        <f>AH140-AH142</f>
        <v>63.969307906268476</v>
      </c>
      <c r="AI143" s="61">
        <f>AI140-AI142</f>
        <v>55.799646035988459</v>
      </c>
      <c r="AJ143" s="61">
        <f>AJ140-AJ142</f>
        <v>84.213437356892058</v>
      </c>
      <c r="AK143" s="190">
        <f>AK140-AK142</f>
        <v>274.51586205831615</v>
      </c>
      <c r="AL143" s="110"/>
      <c r="AM143" s="61">
        <f>AM140-AM142</f>
        <v>51.326464587539974</v>
      </c>
      <c r="AN143" s="61">
        <f>AN140-AN142</f>
        <v>66.872579233790489</v>
      </c>
      <c r="AO143" s="61">
        <f>AO140-AO142</f>
        <v>65.334501110765444</v>
      </c>
      <c r="AP143" s="61">
        <f>AP140-AP142</f>
        <v>93.045504644585648</v>
      </c>
      <c r="AQ143" s="190">
        <f>AQ140-AQ142</f>
        <v>276.62497450470966</v>
      </c>
      <c r="AR143" s="110"/>
      <c r="AS143" s="61">
        <f>AS140-AS142</f>
        <v>61.916927444946211</v>
      </c>
      <c r="AT143" s="61">
        <f>AT140-AT142</f>
        <v>74.100837783630737</v>
      </c>
      <c r="AU143" s="61">
        <f>AU140-AU142</f>
        <v>72.352684386868646</v>
      </c>
      <c r="AV143" s="61">
        <f>AV140-AV142</f>
        <v>89.087420708342634</v>
      </c>
      <c r="AW143" s="190">
        <f>AW140-AW142</f>
        <v>295.62190290356222</v>
      </c>
      <c r="AX143" s="110"/>
      <c r="AY143" s="61">
        <f>AY140-AY142</f>
        <v>56.21072513026818</v>
      </c>
      <c r="AZ143" s="61">
        <f>AZ140-AZ142</f>
        <v>69.099442346276405</v>
      </c>
      <c r="BA143" s="61">
        <f>BA140-BA142</f>
        <v>70.763991804058634</v>
      </c>
      <c r="BB143" s="61">
        <f>BB140-BB142</f>
        <v>98.580755242652998</v>
      </c>
      <c r="BC143" s="190">
        <f>BC140-BC142</f>
        <v>294.79045552243213</v>
      </c>
      <c r="BD143" s="110"/>
      <c r="BE143" s="61">
        <f>BE140-BE142</f>
        <v>63.666496495098713</v>
      </c>
      <c r="BF143" s="61">
        <f>BF140-BF142</f>
        <v>72.022717530123856</v>
      </c>
      <c r="BG143" s="61">
        <f>BG140-BG142</f>
        <v>78.944526381172551</v>
      </c>
      <c r="BH143" s="61">
        <f>BH140-BH142</f>
        <v>101.46669475143192</v>
      </c>
      <c r="BI143" s="190">
        <f>BI140-BI142</f>
        <v>315.91754562846108</v>
      </c>
      <c r="BJ143" s="110"/>
      <c r="BK143" s="61">
        <f>BK140-BK142</f>
        <v>69.940539502407859</v>
      </c>
      <c r="BL143" s="61">
        <f>BL140-BL142</f>
        <v>77.871981717604214</v>
      </c>
      <c r="BM143" s="61">
        <f>BM140-BM142</f>
        <v>85.594818365909063</v>
      </c>
      <c r="BN143" s="61">
        <f>BN140-BN142</f>
        <v>123.59168982615837</v>
      </c>
      <c r="BO143" s="190">
        <f>BO140-BO142</f>
        <v>356.32646476266672</v>
      </c>
      <c r="BP143" s="110"/>
      <c r="BQ143" s="61">
        <f>BQ140-BQ142</f>
        <v>82.573149271202936</v>
      </c>
      <c r="BR143" s="61">
        <f>BR140-BR142</f>
        <v>110.10808911844772</v>
      </c>
      <c r="BS143" s="61">
        <f>BS140-BS142</f>
        <v>115.75593188915225</v>
      </c>
      <c r="BT143" s="61">
        <f>BT140-BT142</f>
        <v>142.62319105499893</v>
      </c>
      <c r="BU143" s="190">
        <f>BU140-BU142</f>
        <v>451.06036133380178</v>
      </c>
      <c r="BV143" s="61"/>
      <c r="BW143" s="61">
        <f>BW140-BW142</f>
        <v>93.511471133161109</v>
      </c>
      <c r="BX143" s="61">
        <f>BX140-BX142</f>
        <v>124.12172951422787</v>
      </c>
      <c r="BY143" s="61">
        <f>BY140-BY142</f>
        <v>130.80544562443458</v>
      </c>
      <c r="BZ143" s="61">
        <f>BZ140-BZ142</f>
        <v>160.62390550633518</v>
      </c>
      <c r="CA143" s="190">
        <f>CA140-CA142</f>
        <v>509.06255177815865</v>
      </c>
      <c r="CB143" s="61"/>
      <c r="CC143" s="61">
        <f>CC140-CC142</f>
        <v>105.76014783654364</v>
      </c>
      <c r="CD143" s="61">
        <f>CD140-CD142</f>
        <v>139.42946837387859</v>
      </c>
      <c r="CE143" s="61">
        <f>CE140-CE142</f>
        <v>146.28474169627799</v>
      </c>
      <c r="CF143" s="61">
        <f>CF140-CF142</f>
        <v>178.14234707833307</v>
      </c>
      <c r="CG143" s="190">
        <f>CG140-CG142</f>
        <v>569.61670498503315</v>
      </c>
      <c r="CH143" s="61"/>
      <c r="CI143" s="61">
        <f>CI140-CI142</f>
        <v>117.23910045261999</v>
      </c>
      <c r="CJ143" s="61">
        <f>CJ140-CJ142</f>
        <v>153.36071664489253</v>
      </c>
      <c r="CK143" s="61">
        <f>CK140-CK142</f>
        <v>161.16091529657152</v>
      </c>
      <c r="CL143" s="61">
        <f>CL140-CL142</f>
        <v>195.46072404532123</v>
      </c>
      <c r="CM143" s="190">
        <f>CM140-CM142</f>
        <v>627.22145643940496</v>
      </c>
      <c r="CN143" s="98"/>
      <c r="CO143" s="98"/>
      <c r="CP143" s="98"/>
      <c r="CQ143" s="98"/>
      <c r="CR143"/>
      <c r="CS143"/>
      <c r="CT143"/>
      <c r="CU143"/>
      <c r="CV143"/>
      <c r="CW143"/>
    </row>
    <row r="144" spans="1:101" s="228" customFormat="1" ht="11.25" hidden="1" customHeight="1" outlineLevel="1">
      <c r="A144" s="196" t="s">
        <v>311</v>
      </c>
      <c r="B144" s="111"/>
      <c r="C144" s="112">
        <f>C143/C139</f>
        <v>8.1169263643207867E-2</v>
      </c>
      <c r="D144" s="112">
        <f>D143/D139</f>
        <v>8.8129844314633693E-2</v>
      </c>
      <c r="E144" s="112">
        <f>E143/E139</f>
        <v>0.10105548088733637</v>
      </c>
      <c r="F144" s="112">
        <f>F143/F139</f>
        <v>0.11315508028874673</v>
      </c>
      <c r="G144" s="191">
        <f>G143/G139</f>
        <v>9.6587530526444532E-2</v>
      </c>
      <c r="H144" s="111"/>
      <c r="I144" s="112">
        <f>I143/I139</f>
        <v>7.6511686567015708E-2</v>
      </c>
      <c r="J144" s="112">
        <f>J143/J139</f>
        <v>8.5710153882137055E-2</v>
      </c>
      <c r="K144" s="112">
        <f>K143/K139</f>
        <v>9.7277208334235102E-2</v>
      </c>
      <c r="L144" s="112">
        <f>L143/L139</f>
        <v>0.12459707371483669</v>
      </c>
      <c r="M144" s="191">
        <f>M143/M139</f>
        <v>9.6396739339886531E-2</v>
      </c>
      <c r="N144" s="111"/>
      <c r="O144" s="112">
        <f>O143/O139</f>
        <v>7.7088370308110638E-2</v>
      </c>
      <c r="P144" s="112">
        <f>P143/P139</f>
        <v>8.3733813512681055E-2</v>
      </c>
      <c r="Q144" s="112">
        <f>Q143/Q139</f>
        <v>8.8148583915301851E-2</v>
      </c>
      <c r="R144" s="112">
        <f>R143/R139</f>
        <v>0.11518547539264333</v>
      </c>
      <c r="S144" s="191">
        <f>S143/S139</f>
        <v>8.9032965455972043E-2</v>
      </c>
      <c r="T144" s="111"/>
      <c r="U144" s="112">
        <f>U143/U139</f>
        <v>8.9117190797200943E-2</v>
      </c>
      <c r="V144" s="112">
        <f>V143/V139</f>
        <v>0.10150657600270098</v>
      </c>
      <c r="W144" s="112">
        <f>W143/W139</f>
        <v>0.10499088350892623</v>
      </c>
      <c r="X144" s="112">
        <f>X143/X139</f>
        <v>0.12759833038536642</v>
      </c>
      <c r="Y144" s="191">
        <f>Y143/Y139</f>
        <v>0.10670066847742465</v>
      </c>
      <c r="Z144" s="111"/>
      <c r="AA144" s="112">
        <f>AA143/AA139</f>
        <v>0.14301547744650997</v>
      </c>
      <c r="AB144" s="112">
        <f>AB143/AB139</f>
        <v>0.1479215263805865</v>
      </c>
      <c r="AC144" s="112">
        <f>AC143/AC139</f>
        <v>0.14909049643602301</v>
      </c>
      <c r="AD144" s="112">
        <f>AD143/AD139</f>
        <v>0.13024707982668512</v>
      </c>
      <c r="AE144" s="191">
        <f>AE143/AE139</f>
        <v>0.16967401638775376</v>
      </c>
      <c r="AF144" s="111"/>
      <c r="AG144" s="112">
        <f>AG143/AG139</f>
        <v>0.10879645309439881</v>
      </c>
      <c r="AH144" s="112">
        <f>AH143/AH139</f>
        <v>0.12018590389583238</v>
      </c>
      <c r="AI144" s="112">
        <f>AI143/AI139</f>
        <v>0.1083822889707472</v>
      </c>
      <c r="AJ144" s="112">
        <f>AJ143/AJ139</f>
        <v>0.14595125686423335</v>
      </c>
      <c r="AK144" s="191">
        <f>AK143/AK139</f>
        <v>0.12819134198461241</v>
      </c>
      <c r="AL144" s="111"/>
      <c r="AM144" s="112">
        <f>AM143/AM139</f>
        <v>0.10117376867702188</v>
      </c>
      <c r="AN144" s="112">
        <f>AN143/AN139</f>
        <v>0.12282097010276098</v>
      </c>
      <c r="AO144" s="112">
        <f>AO143/AO139</f>
        <v>0.12492378945957106</v>
      </c>
      <c r="AP144" s="112">
        <f>AP143/AP139</f>
        <v>0.15663725342890653</v>
      </c>
      <c r="AQ144" s="191">
        <f>AQ143/AQ139</f>
        <v>0.12754772279261492</v>
      </c>
      <c r="AR144" s="111"/>
      <c r="AS144" s="112">
        <f>AS143/AS139</f>
        <v>0.11636703645733547</v>
      </c>
      <c r="AT144" s="112">
        <f>AT143/AT139</f>
        <v>0.13313251125990652</v>
      </c>
      <c r="AU144" s="112">
        <f>AU143/AU139</f>
        <v>0.13327139079477901</v>
      </c>
      <c r="AV144" s="112">
        <f>AV143/AV139</f>
        <v>0.14637530758434697</v>
      </c>
      <c r="AW144" s="191">
        <f>AW143/AW139</f>
        <v>0.13196238233787938</v>
      </c>
      <c r="AX144" s="111"/>
      <c r="AY144" s="112">
        <f>AY143/AY139</f>
        <v>0.11603908476723983</v>
      </c>
      <c r="AZ144" s="112">
        <f>AZ143/AZ139</f>
        <v>0.13150201316986432</v>
      </c>
      <c r="BA144" s="112">
        <f>BA143/BA139</f>
        <v>0.13461599093744331</v>
      </c>
      <c r="BB144" s="112">
        <f>BB143/BB139</f>
        <v>0.17292685001658212</v>
      </c>
      <c r="BC144" s="191">
        <f>BC143/BC139</f>
        <v>0.14000173607888988</v>
      </c>
      <c r="BD144" s="111"/>
      <c r="BE144" s="112">
        <f>BE143/BE139</f>
        <v>0.12779535659034127</v>
      </c>
      <c r="BF144" s="112">
        <f>BF143/BF139</f>
        <v>0.13426603419371433</v>
      </c>
      <c r="BG144" s="112">
        <f>BG143/BG139</f>
        <v>0.15339012052727999</v>
      </c>
      <c r="BH144" s="112">
        <f>BH143/BH139</f>
        <v>0.17896812572348361</v>
      </c>
      <c r="BI144" s="191">
        <f>BI143/BI139</f>
        <v>0.14928332184833631</v>
      </c>
      <c r="BJ144" s="111"/>
      <c r="BK144" s="112">
        <f>BK143/BK139</f>
        <v>0.13599171592923948</v>
      </c>
      <c r="BL144" s="112">
        <f>BL143/BL139</f>
        <v>0.14232343299729544</v>
      </c>
      <c r="BM144" s="112">
        <f>BM143/BM139</f>
        <v>0.15437510075732977</v>
      </c>
      <c r="BN144" s="112">
        <f>BN143/BN139</f>
        <v>0.192564710340701</v>
      </c>
      <c r="BO144" s="191">
        <f>BO143/BO139</f>
        <v>0.15782531048380372</v>
      </c>
      <c r="BP144" s="111"/>
      <c r="BQ144" s="112">
        <f>BQ143/BQ139</f>
        <v>0.13240097316741198</v>
      </c>
      <c r="BR144" s="112">
        <f>BR143/BR139</f>
        <v>0.16053722082507846</v>
      </c>
      <c r="BS144" s="112">
        <f>BS143/BS139</f>
        <v>0.16951444378314043</v>
      </c>
      <c r="BT144" s="112">
        <f>BT143/BT139</f>
        <v>0.18619149211070415</v>
      </c>
      <c r="BU144" s="191">
        <f>BU143/BU139</f>
        <v>0.16352230114829813</v>
      </c>
      <c r="BV144" s="112"/>
      <c r="BW144" s="112">
        <f>BW143/BW139</f>
        <v>0.14095847316741195</v>
      </c>
      <c r="BX144" s="112">
        <f>BX143/BX139</f>
        <v>0.16909472082507851</v>
      </c>
      <c r="BY144" s="112">
        <f>BY143/BY139</f>
        <v>0.17807194378314042</v>
      </c>
      <c r="BZ144" s="112">
        <f>BZ143/BZ139</f>
        <v>0.19474899211070415</v>
      </c>
      <c r="CA144" s="191">
        <f>CA143/CA139</f>
        <v>0.17216828103942303</v>
      </c>
      <c r="CB144" s="112"/>
      <c r="CC144" s="112">
        <f>CC143/CC139</f>
        <v>0.1487009731674119</v>
      </c>
      <c r="CD144" s="112">
        <f>CD143/CD139</f>
        <v>0.17683722082507844</v>
      </c>
      <c r="CE144" s="112">
        <f>CE143/CE139</f>
        <v>0.18581444378314049</v>
      </c>
      <c r="CF144" s="112">
        <f>CF143/CF139</f>
        <v>0.20249149211070414</v>
      </c>
      <c r="CG144" s="191">
        <f>CG143/CG139</f>
        <v>0.17987684020848177</v>
      </c>
      <c r="CH144" s="112"/>
      <c r="CI144" s="112">
        <f>CI143/CI139</f>
        <v>0.15644347316741194</v>
      </c>
      <c r="CJ144" s="112">
        <f>CJ143/CJ139</f>
        <v>0.18457972082507851</v>
      </c>
      <c r="CK144" s="112">
        <f>CK143/CK139</f>
        <v>0.19355694378314045</v>
      </c>
      <c r="CL144" s="112">
        <f>CL143/CL139</f>
        <v>0.21023399211070415</v>
      </c>
      <c r="CM144" s="191">
        <f>CM143/CM139</f>
        <v>0.18764343594837468</v>
      </c>
      <c r="CN144" s="98"/>
      <c r="CO144" s="98"/>
      <c r="CP144" s="98"/>
      <c r="CQ144" s="98"/>
      <c r="CR144"/>
      <c r="CS144"/>
      <c r="CT144"/>
      <c r="CU144"/>
      <c r="CV144"/>
      <c r="CW144"/>
    </row>
    <row r="145" spans="1:101" s="228" customFormat="1" ht="11.25" hidden="1" customHeight="1" outlineLevel="1">
      <c r="A145" s="194" t="s">
        <v>312</v>
      </c>
      <c r="B145" s="110"/>
      <c r="C145" s="61">
        <f t="shared" ref="C145:AW145" si="102">C11</f>
        <v>267.62799999999999</v>
      </c>
      <c r="D145" s="61">
        <f t="shared" si="102"/>
        <v>271.47000000000003</v>
      </c>
      <c r="E145" s="61">
        <f t="shared" si="102"/>
        <v>287.08100000000002</v>
      </c>
      <c r="F145" s="61">
        <f t="shared" si="102"/>
        <v>314.42500000000001</v>
      </c>
      <c r="G145" s="190">
        <f t="shared" si="102"/>
        <v>314.42500000000001</v>
      </c>
      <c r="H145" s="110"/>
      <c r="I145" s="61">
        <f t="shared" si="102"/>
        <v>353.48700000000002</v>
      </c>
      <c r="J145" s="61">
        <f t="shared" si="102"/>
        <v>349.68799999999999</v>
      </c>
      <c r="K145" s="61">
        <f t="shared" si="102"/>
        <v>345.25099999999998</v>
      </c>
      <c r="L145" s="61">
        <f t="shared" si="102"/>
        <v>330.91500000000002</v>
      </c>
      <c r="M145" s="190">
        <f t="shared" si="102"/>
        <v>330.91500000000002</v>
      </c>
      <c r="N145" s="110"/>
      <c r="O145" s="61">
        <f t="shared" si="102"/>
        <v>292.10500000000002</v>
      </c>
      <c r="P145" s="61">
        <f t="shared" si="102"/>
        <v>328.22800000000001</v>
      </c>
      <c r="Q145" s="61">
        <f t="shared" si="102"/>
        <v>348.399</v>
      </c>
      <c r="R145" s="61">
        <f t="shared" si="102"/>
        <v>320.18</v>
      </c>
      <c r="S145" s="190">
        <f t="shared" si="102"/>
        <v>320.18</v>
      </c>
      <c r="T145" s="110"/>
      <c r="U145" s="61">
        <f t="shared" si="102"/>
        <v>359.58499999999998</v>
      </c>
      <c r="V145" s="61">
        <f t="shared" si="102"/>
        <v>365.17500000000001</v>
      </c>
      <c r="W145" s="61">
        <f t="shared" si="102"/>
        <v>323.536</v>
      </c>
      <c r="X145" s="61">
        <f t="shared" si="102"/>
        <v>356.76299999999998</v>
      </c>
      <c r="Y145" s="190">
        <f t="shared" si="102"/>
        <v>356.76299999999998</v>
      </c>
      <c r="Z145" s="110"/>
      <c r="AA145" s="61">
        <f t="shared" si="102"/>
        <v>345.49200000000002</v>
      </c>
      <c r="AB145" s="61">
        <f t="shared" si="102"/>
        <v>382.71699999999998</v>
      </c>
      <c r="AC145" s="61">
        <f t="shared" si="102"/>
        <v>359.67200000000003</v>
      </c>
      <c r="AD145" s="61">
        <f t="shared" si="102"/>
        <v>409.88799999999998</v>
      </c>
      <c r="AE145" s="190">
        <f t="shared" si="102"/>
        <v>409.88799999999998</v>
      </c>
      <c r="AF145" s="110"/>
      <c r="AG145" s="61">
        <f t="shared" ref="AG145:AI147" si="103">AG11</f>
        <v>407.86700000000002</v>
      </c>
      <c r="AH145" s="61">
        <f t="shared" si="103"/>
        <v>389.46600000000001</v>
      </c>
      <c r="AI145" s="61">
        <f t="shared" si="103"/>
        <v>394.93700000000001</v>
      </c>
      <c r="AJ145" s="61">
        <f t="shared" si="102"/>
        <v>457.01100000000002</v>
      </c>
      <c r="AK145" s="190">
        <f t="shared" si="102"/>
        <v>457.01100000000002</v>
      </c>
      <c r="AL145" s="110"/>
      <c r="AM145" s="61">
        <f t="shared" si="102"/>
        <v>410.78199999999998</v>
      </c>
      <c r="AN145" s="61">
        <f t="shared" si="102"/>
        <v>434.798</v>
      </c>
      <c r="AO145" s="61">
        <f t="shared" si="102"/>
        <v>428.53100000000001</v>
      </c>
      <c r="AP145" s="61">
        <f t="shared" si="102"/>
        <v>470.02800000000002</v>
      </c>
      <c r="AQ145" s="190">
        <f t="shared" si="102"/>
        <v>470.02800000000002</v>
      </c>
      <c r="AR145" s="110"/>
      <c r="AS145" s="61">
        <f t="shared" si="102"/>
        <v>442.976</v>
      </c>
      <c r="AT145" s="61">
        <f t="shared" si="102"/>
        <v>443.72199999999998</v>
      </c>
      <c r="AU145" s="61">
        <f t="shared" si="102"/>
        <v>427.00799999999998</v>
      </c>
      <c r="AV145" s="61">
        <f t="shared" si="102"/>
        <v>470.56299999999999</v>
      </c>
      <c r="AW145" s="190">
        <f t="shared" si="102"/>
        <v>470.56299999999999</v>
      </c>
      <c r="AX145" s="110"/>
      <c r="AY145" s="61">
        <f t="shared" ref="AY145:BC147" si="104">AY11</f>
        <v>415.37799999999999</v>
      </c>
      <c r="AZ145" s="61">
        <f t="shared" si="104"/>
        <v>425.69799999999998</v>
      </c>
      <c r="BA145" s="61">
        <f t="shared" si="104"/>
        <v>414.19299999999998</v>
      </c>
      <c r="BB145" s="61">
        <f t="shared" si="104"/>
        <v>439.01499999999999</v>
      </c>
      <c r="BC145" s="190">
        <f t="shared" si="104"/>
        <v>439.01499999999999</v>
      </c>
      <c r="BD145" s="110"/>
      <c r="BE145" s="61">
        <f t="shared" ref="BE145:BI147" si="105">BE11</f>
        <v>436.755</v>
      </c>
      <c r="BF145" s="61">
        <f t="shared" si="105"/>
        <v>435.822</v>
      </c>
      <c r="BG145" s="61">
        <f t="shared" si="105"/>
        <v>443.27499999999998</v>
      </c>
      <c r="BH145" s="61">
        <f t="shared" si="105"/>
        <v>425.58800000000002</v>
      </c>
      <c r="BI145" s="190">
        <f t="shared" si="105"/>
        <v>425.58800000000002</v>
      </c>
      <c r="BJ145" s="110"/>
      <c r="BK145" s="61">
        <f t="shared" ref="BK145:BO147" si="106">BK11</f>
        <v>411.084</v>
      </c>
      <c r="BL145" s="61">
        <f t="shared" si="106"/>
        <v>440.41199999999998</v>
      </c>
      <c r="BM145" s="61">
        <f t="shared" si="106"/>
        <v>440.649</v>
      </c>
      <c r="BN145" s="61">
        <f t="shared" si="106"/>
        <v>552.30399999999997</v>
      </c>
      <c r="BO145" s="190">
        <f t="shared" si="106"/>
        <v>552.30399999999997</v>
      </c>
      <c r="BP145" s="110"/>
      <c r="BQ145" s="61">
        <f t="shared" ref="BQ145:BU147" si="107">BQ11</f>
        <v>456.9187368525541</v>
      </c>
      <c r="BR145" s="61">
        <f t="shared" si="107"/>
        <v>506.34981590211521</v>
      </c>
      <c r="BS145" s="61">
        <f t="shared" si="107"/>
        <v>497.17460611269871</v>
      </c>
      <c r="BT145" s="61">
        <f t="shared" si="107"/>
        <v>608.10087810692551</v>
      </c>
      <c r="BU145" s="190">
        <f t="shared" si="107"/>
        <v>608.10087810692551</v>
      </c>
      <c r="BV145" s="61"/>
      <c r="BW145" s="61">
        <f t="shared" ref="BW145:CA147" si="108">BW11</f>
        <v>489.71769154761449</v>
      </c>
      <c r="BX145" s="61">
        <f t="shared" si="108"/>
        <v>545.98520552838283</v>
      </c>
      <c r="BY145" s="61">
        <f t="shared" si="108"/>
        <v>538.8948555107645</v>
      </c>
      <c r="BZ145" s="61">
        <f t="shared" si="108"/>
        <v>659.33926808476576</v>
      </c>
      <c r="CA145" s="190">
        <f t="shared" si="108"/>
        <v>659.33926808476576</v>
      </c>
      <c r="CB145" s="61"/>
      <c r="CC145" s="61">
        <f t="shared" ref="CC145:CG145" si="109">CC11</f>
        <v>528.97667939916255</v>
      </c>
      <c r="CD145" s="61">
        <f t="shared" si="109"/>
        <v>590.84790781432866</v>
      </c>
      <c r="CE145" s="61">
        <f t="shared" si="109"/>
        <v>581.92857928084413</v>
      </c>
      <c r="CF145" s="61">
        <f t="shared" si="109"/>
        <v>708.17739287573227</v>
      </c>
      <c r="CG145" s="190">
        <f t="shared" si="109"/>
        <v>708.17739287573227</v>
      </c>
      <c r="CH145" s="61"/>
      <c r="CI145" s="61">
        <f t="shared" ref="CI145:CM145" si="110">CI11</f>
        <v>561.53299530155641</v>
      </c>
      <c r="CJ145" s="61">
        <f t="shared" si="110"/>
        <v>627.23862124330526</v>
      </c>
      <c r="CK145" s="61">
        <f t="shared" si="110"/>
        <v>620.0875014464757</v>
      </c>
      <c r="CL145" s="61">
        <f t="shared" si="110"/>
        <v>753.57284309493207</v>
      </c>
      <c r="CM145" s="190">
        <f t="shared" si="110"/>
        <v>753.57284309493207</v>
      </c>
      <c r="CN145" s="98"/>
      <c r="CO145" s="98"/>
      <c r="CP145" s="98"/>
      <c r="CQ145" s="98"/>
      <c r="CR145"/>
      <c r="CS145"/>
      <c r="CT145"/>
      <c r="CU145"/>
      <c r="CV145"/>
      <c r="CW145"/>
    </row>
    <row r="146" spans="1:101" s="228" customFormat="1" ht="11.25" hidden="1" customHeight="1" outlineLevel="1">
      <c r="A146" s="194" t="s">
        <v>313</v>
      </c>
      <c r="B146" s="110"/>
      <c r="C146" s="61">
        <f t="shared" ref="C146:AW146" si="111">C12</f>
        <v>204.59700000000001</v>
      </c>
      <c r="D146" s="61">
        <f t="shared" si="111"/>
        <v>204.059</v>
      </c>
      <c r="E146" s="61">
        <f t="shared" si="111"/>
        <v>210.56</v>
      </c>
      <c r="F146" s="61">
        <f t="shared" si="111"/>
        <v>192.708</v>
      </c>
      <c r="G146" s="190">
        <f t="shared" si="111"/>
        <v>192.708</v>
      </c>
      <c r="H146" s="110"/>
      <c r="I146" s="61">
        <f t="shared" si="111"/>
        <v>223.465</v>
      </c>
      <c r="J146" s="61">
        <f t="shared" si="111"/>
        <v>222.636</v>
      </c>
      <c r="K146" s="61">
        <f t="shared" si="111"/>
        <v>218.86799999999999</v>
      </c>
      <c r="L146" s="61">
        <f t="shared" si="111"/>
        <v>200.18700000000001</v>
      </c>
      <c r="M146" s="190">
        <f t="shared" si="111"/>
        <v>200.18700000000001</v>
      </c>
      <c r="N146" s="110"/>
      <c r="O146" s="61">
        <f t="shared" si="111"/>
        <v>204.172</v>
      </c>
      <c r="P146" s="61">
        <f t="shared" si="111"/>
        <v>216.32</v>
      </c>
      <c r="Q146" s="61">
        <f t="shared" si="111"/>
        <v>224.42699999999999</v>
      </c>
      <c r="R146" s="61">
        <f t="shared" si="111"/>
        <v>178.666</v>
      </c>
      <c r="S146" s="190">
        <f t="shared" si="111"/>
        <v>178.666</v>
      </c>
      <c r="T146" s="110"/>
      <c r="U146" s="61">
        <f t="shared" si="111"/>
        <v>226.614</v>
      </c>
      <c r="V146" s="61">
        <f t="shared" si="111"/>
        <v>232.476</v>
      </c>
      <c r="W146" s="61">
        <f t="shared" si="111"/>
        <v>210.15799999999999</v>
      </c>
      <c r="X146" s="61">
        <f t="shared" si="111"/>
        <v>207.27799999999999</v>
      </c>
      <c r="Y146" s="190">
        <f t="shared" si="111"/>
        <v>207.27799999999999</v>
      </c>
      <c r="Z146" s="110"/>
      <c r="AA146" s="61">
        <f t="shared" si="111"/>
        <v>224.83199999999999</v>
      </c>
      <c r="AB146" s="61">
        <f t="shared" si="111"/>
        <v>222.238</v>
      </c>
      <c r="AC146" s="61">
        <f t="shared" si="111"/>
        <v>228.54900000000001</v>
      </c>
      <c r="AD146" s="61">
        <f t="shared" si="111"/>
        <v>240.76300000000001</v>
      </c>
      <c r="AE146" s="190">
        <f t="shared" si="111"/>
        <v>240.76300000000001</v>
      </c>
      <c r="AF146" s="110"/>
      <c r="AG146" s="61">
        <f t="shared" si="103"/>
        <v>251.858</v>
      </c>
      <c r="AH146" s="61">
        <f t="shared" si="103"/>
        <v>244.43600000000001</v>
      </c>
      <c r="AI146" s="61">
        <f t="shared" si="103"/>
        <v>261.39999999999998</v>
      </c>
      <c r="AJ146" s="61">
        <f t="shared" si="111"/>
        <v>247.68799999999999</v>
      </c>
      <c r="AK146" s="190">
        <f t="shared" si="111"/>
        <v>247.68799999999999</v>
      </c>
      <c r="AL146" s="110"/>
      <c r="AM146" s="61">
        <f t="shared" si="111"/>
        <v>259.762</v>
      </c>
      <c r="AN146" s="61">
        <f t="shared" si="111"/>
        <v>259.47000000000003</v>
      </c>
      <c r="AO146" s="61">
        <f t="shared" si="111"/>
        <v>278.351</v>
      </c>
      <c r="AP146" s="61">
        <f t="shared" si="111"/>
        <v>261.036</v>
      </c>
      <c r="AQ146" s="190">
        <f t="shared" si="111"/>
        <v>261.036</v>
      </c>
      <c r="AR146" s="110"/>
      <c r="AS146" s="61">
        <f t="shared" si="111"/>
        <v>279.03100000000001</v>
      </c>
      <c r="AT146" s="61">
        <f t="shared" si="111"/>
        <v>277.99099999999999</v>
      </c>
      <c r="AU146" s="61">
        <f t="shared" si="111"/>
        <v>281.61700000000002</v>
      </c>
      <c r="AV146" s="61">
        <f t="shared" si="111"/>
        <v>285.45699999999999</v>
      </c>
      <c r="AW146" s="190">
        <f t="shared" si="111"/>
        <v>285.45699999999999</v>
      </c>
      <c r="AX146" s="110"/>
      <c r="AY146" s="61">
        <f t="shared" si="104"/>
        <v>291.12</v>
      </c>
      <c r="AZ146" s="61">
        <f t="shared" si="104"/>
        <v>304.75400000000002</v>
      </c>
      <c r="BA146" s="61">
        <f t="shared" si="104"/>
        <v>313.04700000000003</v>
      </c>
      <c r="BB146" s="61">
        <f t="shared" si="104"/>
        <v>288.02800000000002</v>
      </c>
      <c r="BC146" s="190">
        <f t="shared" si="104"/>
        <v>288.02800000000002</v>
      </c>
      <c r="BD146" s="110"/>
      <c r="BE146" s="61">
        <f t="shared" si="105"/>
        <v>314.06</v>
      </c>
      <c r="BF146" s="61">
        <f t="shared" si="105"/>
        <v>300.262</v>
      </c>
      <c r="BG146" s="61">
        <f t="shared" si="105"/>
        <v>306.041</v>
      </c>
      <c r="BH146" s="61">
        <f t="shared" si="105"/>
        <v>246.84700000000001</v>
      </c>
      <c r="BI146" s="190">
        <f t="shared" si="105"/>
        <v>246.84700000000001</v>
      </c>
      <c r="BJ146" s="110"/>
      <c r="BK146" s="61">
        <f t="shared" si="106"/>
        <v>264.63299999999998</v>
      </c>
      <c r="BL146" s="61">
        <f t="shared" si="106"/>
        <v>275.08499999999998</v>
      </c>
      <c r="BM146" s="61">
        <f t="shared" si="106"/>
        <v>295.17599999999999</v>
      </c>
      <c r="BN146" s="61">
        <f t="shared" si="106"/>
        <v>351.67500000000001</v>
      </c>
      <c r="BO146" s="190">
        <f t="shared" si="106"/>
        <v>351.67500000000001</v>
      </c>
      <c r="BP146" s="110"/>
      <c r="BQ146" s="61">
        <f t="shared" si="107"/>
        <v>294.23460765033172</v>
      </c>
      <c r="BR146" s="61">
        <f t="shared" si="107"/>
        <v>309.48256310439353</v>
      </c>
      <c r="BS146" s="61">
        <f t="shared" si="107"/>
        <v>327.78782615351798</v>
      </c>
      <c r="BT146" s="61">
        <f t="shared" si="107"/>
        <v>379.10039524864328</v>
      </c>
      <c r="BU146" s="190">
        <f t="shared" si="107"/>
        <v>379.10039524864328</v>
      </c>
      <c r="BV146" s="61"/>
      <c r="BW146" s="61">
        <f t="shared" si="108"/>
        <v>311.12215981258322</v>
      </c>
      <c r="BX146" s="61">
        <f t="shared" si="108"/>
        <v>329.17567332493911</v>
      </c>
      <c r="BY146" s="61">
        <f t="shared" si="108"/>
        <v>350.17024777842187</v>
      </c>
      <c r="BZ146" s="61">
        <f t="shared" si="108"/>
        <v>405.35377933971535</v>
      </c>
      <c r="CA146" s="190">
        <f t="shared" si="108"/>
        <v>405.35377933971535</v>
      </c>
      <c r="CB146" s="61"/>
      <c r="CC146" s="61">
        <f t="shared" ref="CC146:CG146" si="112">CC12</f>
        <v>332.18186028400424</v>
      </c>
      <c r="CD146" s="61">
        <f t="shared" si="112"/>
        <v>352.06886134059198</v>
      </c>
      <c r="CE146" s="61">
        <f t="shared" si="112"/>
        <v>373.42211031044161</v>
      </c>
      <c r="CF146" s="61">
        <f t="shared" si="112"/>
        <v>430.19842919726068</v>
      </c>
      <c r="CG146" s="190">
        <f t="shared" si="112"/>
        <v>430.19842919726068</v>
      </c>
      <c r="CH146" s="61"/>
      <c r="CI146" s="61">
        <f t="shared" ref="CI146:CM146" si="113">CI12</f>
        <v>348.52493437673121</v>
      </c>
      <c r="CJ146" s="61">
        <f t="shared" si="113"/>
        <v>369.36125135091311</v>
      </c>
      <c r="CK146" s="61">
        <f t="shared" si="113"/>
        <v>392.91714798519592</v>
      </c>
      <c r="CL146" s="61">
        <f t="shared" si="113"/>
        <v>452.28633027774572</v>
      </c>
      <c r="CM146" s="190">
        <f t="shared" si="113"/>
        <v>452.28633027774572</v>
      </c>
      <c r="CN146" s="98"/>
      <c r="CO146" s="98"/>
      <c r="CP146" s="98"/>
      <c r="CQ146" s="98"/>
      <c r="CR146"/>
      <c r="CS146"/>
      <c r="CT146"/>
      <c r="CU146"/>
      <c r="CV146"/>
      <c r="CW146"/>
    </row>
    <row r="147" spans="1:101" s="228" customFormat="1" ht="11.25" hidden="1" customHeight="1" outlineLevel="1">
      <c r="A147" s="194" t="s">
        <v>306</v>
      </c>
      <c r="B147" s="110"/>
      <c r="C147" s="61">
        <f t="shared" ref="C147:AW147" si="114">C13</f>
        <v>82.378</v>
      </c>
      <c r="D147" s="61">
        <f t="shared" si="114"/>
        <v>86.138999999999996</v>
      </c>
      <c r="E147" s="61">
        <f t="shared" si="114"/>
        <v>95.98</v>
      </c>
      <c r="F147" s="61">
        <f t="shared" si="114"/>
        <v>98.12</v>
      </c>
      <c r="G147" s="190">
        <f t="shared" si="114"/>
        <v>98.12</v>
      </c>
      <c r="H147" s="110"/>
      <c r="I147" s="61">
        <f t="shared" si="114"/>
        <v>113.306</v>
      </c>
      <c r="J147" s="61">
        <f t="shared" si="114"/>
        <v>116.283</v>
      </c>
      <c r="K147" s="61">
        <f t="shared" si="114"/>
        <v>111.48</v>
      </c>
      <c r="L147" s="61">
        <f t="shared" si="114"/>
        <v>111.33</v>
      </c>
      <c r="M147" s="190">
        <f t="shared" si="114"/>
        <v>111.33</v>
      </c>
      <c r="N147" s="110"/>
      <c r="O147" s="61">
        <f t="shared" si="114"/>
        <v>107.81699999999999</v>
      </c>
      <c r="P147" s="61">
        <f t="shared" si="114"/>
        <v>107.447</v>
      </c>
      <c r="Q147" s="61">
        <f t="shared" si="114"/>
        <v>110.489</v>
      </c>
      <c r="R147" s="61">
        <f t="shared" si="114"/>
        <v>108.93</v>
      </c>
      <c r="S147" s="190">
        <f t="shared" si="114"/>
        <v>108.93</v>
      </c>
      <c r="T147" s="110"/>
      <c r="U147" s="61">
        <f t="shared" si="114"/>
        <v>111.846</v>
      </c>
      <c r="V147" s="61">
        <f t="shared" si="114"/>
        <v>108.417</v>
      </c>
      <c r="W147" s="61">
        <f t="shared" si="114"/>
        <v>90.200999999999993</v>
      </c>
      <c r="X147" s="61">
        <f t="shared" si="114"/>
        <v>100.685</v>
      </c>
      <c r="Y147" s="190">
        <f t="shared" si="114"/>
        <v>100.685</v>
      </c>
      <c r="Z147" s="110"/>
      <c r="AA147" s="61">
        <f t="shared" si="114"/>
        <v>101.297</v>
      </c>
      <c r="AB147" s="61">
        <f t="shared" si="114"/>
        <v>75.777000000000001</v>
      </c>
      <c r="AC147" s="61">
        <f t="shared" si="114"/>
        <v>93.296000000000006</v>
      </c>
      <c r="AD147" s="61">
        <f t="shared" si="114"/>
        <v>69.022999999999996</v>
      </c>
      <c r="AE147" s="190">
        <f t="shared" si="114"/>
        <v>69.022999999999996</v>
      </c>
      <c r="AF147" s="110"/>
      <c r="AG147" s="61">
        <f t="shared" si="103"/>
        <v>103.38</v>
      </c>
      <c r="AH147" s="61">
        <f t="shared" si="103"/>
        <v>92.293000000000006</v>
      </c>
      <c r="AI147" s="61">
        <f t="shared" si="103"/>
        <v>113.627</v>
      </c>
      <c r="AJ147" s="61">
        <f t="shared" si="114"/>
        <v>95.611000000000004</v>
      </c>
      <c r="AK147" s="190">
        <f t="shared" si="114"/>
        <v>95.611000000000004</v>
      </c>
      <c r="AL147" s="110"/>
      <c r="AM147" s="61">
        <f t="shared" si="114"/>
        <v>100.277</v>
      </c>
      <c r="AN147" s="61">
        <f t="shared" si="114"/>
        <v>99.766999999999996</v>
      </c>
      <c r="AO147" s="61">
        <f t="shared" si="114"/>
        <v>109.239</v>
      </c>
      <c r="AP147" s="61">
        <f t="shared" si="114"/>
        <v>140.53200000000001</v>
      </c>
      <c r="AQ147" s="190">
        <f t="shared" si="114"/>
        <v>140.53200000000001</v>
      </c>
      <c r="AR147" s="110"/>
      <c r="AS147" s="61">
        <f t="shared" si="114"/>
        <v>151.46199999999999</v>
      </c>
      <c r="AT147" s="61">
        <f t="shared" si="114"/>
        <v>151.715</v>
      </c>
      <c r="AU147" s="61">
        <f t="shared" si="114"/>
        <v>161.38900000000001</v>
      </c>
      <c r="AV147" s="61">
        <f t="shared" si="114"/>
        <v>137.71</v>
      </c>
      <c r="AW147" s="190">
        <f t="shared" si="114"/>
        <v>137.71</v>
      </c>
      <c r="AX147" s="110"/>
      <c r="AY147" s="61">
        <f t="shared" si="104"/>
        <v>147.113</v>
      </c>
      <c r="AZ147" s="61">
        <f t="shared" si="104"/>
        <v>147.70599999999999</v>
      </c>
      <c r="BA147" s="61">
        <f t="shared" si="104"/>
        <v>151.53100000000001</v>
      </c>
      <c r="BB147" s="61">
        <f t="shared" si="104"/>
        <v>68.186000000000007</v>
      </c>
      <c r="BC147" s="190">
        <f t="shared" si="104"/>
        <v>68.186000000000007</v>
      </c>
      <c r="BD147" s="110"/>
      <c r="BE147" s="61">
        <f t="shared" si="105"/>
        <v>88.274000000000001</v>
      </c>
      <c r="BF147" s="61">
        <f t="shared" si="105"/>
        <v>94.78</v>
      </c>
      <c r="BG147" s="61">
        <f t="shared" si="105"/>
        <v>92.587000000000003</v>
      </c>
      <c r="BH147" s="61">
        <f t="shared" si="105"/>
        <v>99.245999999999995</v>
      </c>
      <c r="BI147" s="190">
        <f t="shared" si="105"/>
        <v>99.245999999999995</v>
      </c>
      <c r="BJ147" s="110"/>
      <c r="BK147" s="61">
        <f t="shared" si="106"/>
        <v>96.796000000000006</v>
      </c>
      <c r="BL147" s="61">
        <f t="shared" si="106"/>
        <v>102.021</v>
      </c>
      <c r="BM147" s="61">
        <f t="shared" si="106"/>
        <v>100.34699999999999</v>
      </c>
      <c r="BN147" s="61">
        <f t="shared" si="106"/>
        <v>93.841999999999999</v>
      </c>
      <c r="BO147" s="190">
        <f t="shared" si="106"/>
        <v>93.841999999999999</v>
      </c>
      <c r="BP147" s="110"/>
      <c r="BQ147" s="61">
        <f t="shared" si="107"/>
        <v>117.37850069457276</v>
      </c>
      <c r="BR147" s="61">
        <f t="shared" si="107"/>
        <v>127.88754350897067</v>
      </c>
      <c r="BS147" s="61">
        <f t="shared" si="107"/>
        <v>123.58641069049126</v>
      </c>
      <c r="BT147" s="61">
        <f t="shared" si="107"/>
        <v>111.99922109746379</v>
      </c>
      <c r="BU147" s="190">
        <f t="shared" si="107"/>
        <v>111.99922109746379</v>
      </c>
      <c r="BV147" s="61"/>
      <c r="BW147" s="61">
        <f t="shared" si="108"/>
        <v>124.8574868321483</v>
      </c>
      <c r="BX147" s="61">
        <f t="shared" si="108"/>
        <v>136.86819170978114</v>
      </c>
      <c r="BY147" s="61">
        <f t="shared" si="108"/>
        <v>132.94270094945492</v>
      </c>
      <c r="BZ147" s="61">
        <f t="shared" si="108"/>
        <v>120.59231940220033</v>
      </c>
      <c r="CA147" s="190">
        <f t="shared" si="108"/>
        <v>120.59231940220033</v>
      </c>
      <c r="CB147" s="61"/>
      <c r="CC147" s="61">
        <f t="shared" ref="CC147:CG147" si="115">CC13</f>
        <v>133.85947736455813</v>
      </c>
      <c r="CD147" s="61">
        <f t="shared" si="115"/>
        <v>147.01635486086164</v>
      </c>
      <c r="CE147" s="61">
        <f t="shared" si="115"/>
        <v>142.47994280390472</v>
      </c>
      <c r="CF147" s="61">
        <f t="shared" si="115"/>
        <v>128.63083087513053</v>
      </c>
      <c r="CG147" s="190">
        <f t="shared" si="115"/>
        <v>128.63083087513053</v>
      </c>
      <c r="CH147" s="61"/>
      <c r="CI147" s="61">
        <f t="shared" ref="CI147:CM147" si="116">CI13</f>
        <v>141.04442187412442</v>
      </c>
      <c r="CJ147" s="61">
        <f t="shared" si="116"/>
        <v>154.92264552401366</v>
      </c>
      <c r="CK147" s="61">
        <f t="shared" si="116"/>
        <v>150.6902459705843</v>
      </c>
      <c r="CL147" s="61">
        <f t="shared" si="116"/>
        <v>135.938117549559</v>
      </c>
      <c r="CM147" s="190">
        <f t="shared" si="116"/>
        <v>135.938117549559</v>
      </c>
      <c r="CN147" s="98"/>
      <c r="CO147" s="98"/>
      <c r="CP147" s="98"/>
      <c r="CQ147" s="98"/>
      <c r="CR147"/>
      <c r="CS147"/>
      <c r="CT147"/>
      <c r="CU147"/>
      <c r="CV147"/>
      <c r="CW147"/>
    </row>
    <row r="148" spans="1:101" s="228" customFormat="1" ht="11.25" hidden="1" customHeight="1" outlineLevel="1">
      <c r="A148" s="194" t="s">
        <v>314</v>
      </c>
      <c r="B148" s="110"/>
      <c r="C148" s="61">
        <f t="shared" ref="C148:AW148" si="117">C16</f>
        <v>188.35599999999999</v>
      </c>
      <c r="D148" s="61">
        <f t="shared" si="117"/>
        <v>190.738</v>
      </c>
      <c r="E148" s="61">
        <f t="shared" si="117"/>
        <v>194.61699999999999</v>
      </c>
      <c r="F148" s="61">
        <f t="shared" si="117"/>
        <v>196.535</v>
      </c>
      <c r="G148" s="190">
        <f t="shared" si="117"/>
        <v>196.535</v>
      </c>
      <c r="H148" s="110"/>
      <c r="I148" s="61">
        <f t="shared" si="117"/>
        <v>203.49799999999999</v>
      </c>
      <c r="J148" s="61">
        <f t="shared" si="117"/>
        <v>207.03100000000006</v>
      </c>
      <c r="K148" s="61">
        <f t="shared" si="117"/>
        <v>209.11500000000001</v>
      </c>
      <c r="L148" s="61">
        <f t="shared" si="117"/>
        <v>205.047</v>
      </c>
      <c r="M148" s="190">
        <f t="shared" si="117"/>
        <v>205.047</v>
      </c>
      <c r="N148" s="110"/>
      <c r="O148" s="61">
        <f t="shared" si="117"/>
        <v>198.34399999999999</v>
      </c>
      <c r="P148" s="61">
        <f t="shared" si="117"/>
        <v>200.87</v>
      </c>
      <c r="Q148" s="61">
        <f t="shared" si="117"/>
        <v>211.35499999999999</v>
      </c>
      <c r="R148" s="61">
        <f t="shared" si="117"/>
        <v>153.02600000000001</v>
      </c>
      <c r="S148" s="190">
        <f t="shared" si="117"/>
        <v>153.02600000000001</v>
      </c>
      <c r="T148" s="110"/>
      <c r="U148" s="61">
        <f t="shared" si="117"/>
        <v>202.60400000000004</v>
      </c>
      <c r="V148" s="61">
        <f t="shared" si="117"/>
        <v>205.58899999999994</v>
      </c>
      <c r="W148" s="61">
        <f t="shared" si="117"/>
        <v>161.05000000000001</v>
      </c>
      <c r="X148" s="61">
        <f t="shared" si="117"/>
        <v>161.82</v>
      </c>
      <c r="Y148" s="190">
        <f t="shared" si="117"/>
        <v>161.82</v>
      </c>
      <c r="Z148" s="110"/>
      <c r="AA148" s="61">
        <f t="shared" si="117"/>
        <v>165.10499999999999</v>
      </c>
      <c r="AB148" s="61">
        <f t="shared" si="117"/>
        <v>167.25100000000003</v>
      </c>
      <c r="AC148" s="61">
        <f t="shared" si="117"/>
        <v>165.858</v>
      </c>
      <c r="AD148" s="61">
        <f t="shared" si="117"/>
        <v>174.56700000000001</v>
      </c>
      <c r="AE148" s="190">
        <f t="shared" si="117"/>
        <v>174.56700000000001</v>
      </c>
      <c r="AF148" s="110"/>
      <c r="AG148" s="61">
        <f>AG16</f>
        <v>171.68299999999999</v>
      </c>
      <c r="AH148" s="61">
        <f>AH16</f>
        <v>167.17699999999999</v>
      </c>
      <c r="AI148" s="61">
        <f>AI16</f>
        <v>201.648</v>
      </c>
      <c r="AJ148" s="61">
        <f t="shared" si="117"/>
        <v>210.51599999999999</v>
      </c>
      <c r="AK148" s="190">
        <f t="shared" si="117"/>
        <v>210.51599999999999</v>
      </c>
      <c r="AL148" s="110"/>
      <c r="AM148" s="61">
        <f t="shared" si="117"/>
        <v>212.672</v>
      </c>
      <c r="AN148" s="61">
        <f t="shared" si="117"/>
        <v>214.12899999999999</v>
      </c>
      <c r="AO148" s="61">
        <f t="shared" si="117"/>
        <v>194.69499999999999</v>
      </c>
      <c r="AP148" s="61">
        <f t="shared" si="117"/>
        <v>185.37299999999999</v>
      </c>
      <c r="AQ148" s="190">
        <f t="shared" si="117"/>
        <v>185.37299999999999</v>
      </c>
      <c r="AR148" s="110"/>
      <c r="AS148" s="61">
        <f t="shared" si="117"/>
        <v>182.66800000000001</v>
      </c>
      <c r="AT148" s="61">
        <f t="shared" si="117"/>
        <v>179.67599999999999</v>
      </c>
      <c r="AU148" s="61">
        <f t="shared" si="117"/>
        <v>177.32400000000001</v>
      </c>
      <c r="AV148" s="61">
        <f t="shared" si="117"/>
        <v>176.19399999999999</v>
      </c>
      <c r="AW148" s="190">
        <f t="shared" si="117"/>
        <v>176.19399999999999</v>
      </c>
      <c r="AX148" s="110"/>
      <c r="AY148" s="61">
        <f>AY16</f>
        <v>168.499</v>
      </c>
      <c r="AZ148" s="61">
        <f>AZ16</f>
        <v>166.31700000000001</v>
      </c>
      <c r="BA148" s="61">
        <f>BA16</f>
        <v>164.17699999999999</v>
      </c>
      <c r="BB148" s="61">
        <f>BB16</f>
        <v>167.029</v>
      </c>
      <c r="BC148" s="190">
        <f>BC16</f>
        <v>167.029</v>
      </c>
      <c r="BD148" s="110"/>
      <c r="BE148" s="61">
        <f>BE16</f>
        <v>168.125</v>
      </c>
      <c r="BF148" s="61">
        <f>BF16</f>
        <v>167.196</v>
      </c>
      <c r="BG148" s="61">
        <f>BG16</f>
        <v>175.226</v>
      </c>
      <c r="BH148" s="61">
        <f>BH16</f>
        <v>145.494</v>
      </c>
      <c r="BI148" s="190">
        <f>BI16</f>
        <v>145.494</v>
      </c>
      <c r="BJ148" s="110"/>
      <c r="BK148" s="61">
        <f>BK16</f>
        <v>153.93700000000001</v>
      </c>
      <c r="BL148" s="61">
        <f>BL16</f>
        <v>154.15600000000001</v>
      </c>
      <c r="BM148" s="61">
        <f>BM16</f>
        <v>157.66499999999999</v>
      </c>
      <c r="BN148" s="61">
        <f>BN16</f>
        <v>298.06599999999997</v>
      </c>
      <c r="BO148" s="190">
        <f>BO16</f>
        <v>298.06599999999997</v>
      </c>
      <c r="BP148" s="110"/>
      <c r="BQ148" s="61">
        <f>BQ16</f>
        <v>294.82066356740182</v>
      </c>
      <c r="BR148" s="61">
        <f>BR16</f>
        <v>292.21656363992201</v>
      </c>
      <c r="BS148" s="61">
        <f>BS16</f>
        <v>289.42486671558538</v>
      </c>
      <c r="BT148" s="61">
        <f>BT16</f>
        <v>287.52298082737275</v>
      </c>
      <c r="BU148" s="190">
        <f>BU16</f>
        <v>287.52298082737275</v>
      </c>
      <c r="BV148" s="61"/>
      <c r="BW148" s="61">
        <f>BW16</f>
        <v>282.50746645088208</v>
      </c>
      <c r="BX148" s="61">
        <f>BX16</f>
        <v>278.20909509352884</v>
      </c>
      <c r="BY148" s="61">
        <f>BY16</f>
        <v>273.73382039509005</v>
      </c>
      <c r="BZ148" s="61">
        <f>BZ16</f>
        <v>270.20251494313976</v>
      </c>
      <c r="CA148" s="190">
        <f>CA16</f>
        <v>270.20251494313976</v>
      </c>
      <c r="CB148" s="61"/>
      <c r="CC148" s="61">
        <f>CC16</f>
        <v>265.04567853909674</v>
      </c>
      <c r="CD148" s="61">
        <f>CD16</f>
        <v>260.67647561390913</v>
      </c>
      <c r="CE148" s="61">
        <f>CE16</f>
        <v>256.09516046125913</v>
      </c>
      <c r="CF148" s="61">
        <f>CF16</f>
        <v>252.47315176523966</v>
      </c>
      <c r="CG148" s="190">
        <f>CG16</f>
        <v>252.47315176523966</v>
      </c>
      <c r="CH148" s="61"/>
      <c r="CI148" s="61">
        <f>CI16</f>
        <v>247.00183069771106</v>
      </c>
      <c r="CJ148" s="61">
        <f>CJ16</f>
        <v>242.36143499595846</v>
      </c>
      <c r="CK148" s="61">
        <f>CK16</f>
        <v>237.53536734319857</v>
      </c>
      <c r="CL148" s="61">
        <f>CL16</f>
        <v>233.71491126574142</v>
      </c>
      <c r="CM148" s="190">
        <f>CM16</f>
        <v>233.71491126574142</v>
      </c>
      <c r="CN148" s="98"/>
      <c r="CO148" s="98"/>
      <c r="CP148" s="98"/>
      <c r="CQ148" s="98"/>
      <c r="CR148"/>
      <c r="CS148"/>
      <c r="CT148"/>
      <c r="CU148"/>
      <c r="CV148"/>
      <c r="CW148"/>
    </row>
    <row r="149" spans="1:101" s="228" customFormat="1" ht="11.25" hidden="1" customHeight="1" outlineLevel="1">
      <c r="A149" s="194" t="s">
        <v>315</v>
      </c>
      <c r="B149" s="110"/>
      <c r="C149" s="61">
        <f t="shared" ref="C149:AW149" si="118">C20</f>
        <v>51.128999999999998</v>
      </c>
      <c r="D149" s="61">
        <f t="shared" si="118"/>
        <v>49.970999999999997</v>
      </c>
      <c r="E149" s="61">
        <f t="shared" si="118"/>
        <v>51.015999999999998</v>
      </c>
      <c r="F149" s="61">
        <f t="shared" si="118"/>
        <v>59.412999999999997</v>
      </c>
      <c r="G149" s="190">
        <f t="shared" si="118"/>
        <v>59.412999999999997</v>
      </c>
      <c r="H149" s="110"/>
      <c r="I149" s="61">
        <f t="shared" si="118"/>
        <v>56.984999999999999</v>
      </c>
      <c r="J149" s="61">
        <f t="shared" si="118"/>
        <v>55.012999999999998</v>
      </c>
      <c r="K149" s="61">
        <f t="shared" si="118"/>
        <v>55.756999999999998</v>
      </c>
      <c r="L149" s="61">
        <f t="shared" si="118"/>
        <v>38.76</v>
      </c>
      <c r="M149" s="190">
        <f t="shared" si="118"/>
        <v>38.76</v>
      </c>
      <c r="N149" s="110"/>
      <c r="O149" s="61">
        <f t="shared" si="118"/>
        <v>36.286000000000001</v>
      </c>
      <c r="P149" s="61">
        <f t="shared" si="118"/>
        <v>35.747</v>
      </c>
      <c r="Q149" s="61">
        <f t="shared" si="118"/>
        <v>41.37</v>
      </c>
      <c r="R149" s="61">
        <f t="shared" si="118"/>
        <v>43.625</v>
      </c>
      <c r="S149" s="190">
        <f t="shared" si="118"/>
        <v>43.625</v>
      </c>
      <c r="T149" s="110"/>
      <c r="U149" s="61">
        <f t="shared" si="118"/>
        <v>44.237000000000002</v>
      </c>
      <c r="V149" s="61">
        <f t="shared" si="118"/>
        <v>30.917000000000002</v>
      </c>
      <c r="W149" s="61">
        <f t="shared" si="118"/>
        <v>31.687999999999999</v>
      </c>
      <c r="X149" s="61">
        <f t="shared" si="118"/>
        <v>32.100999999999999</v>
      </c>
      <c r="Y149" s="190">
        <f t="shared" si="118"/>
        <v>32.100999999999999</v>
      </c>
      <c r="Z149" s="110"/>
      <c r="AA149" s="61">
        <f t="shared" si="118"/>
        <v>34.079000000000001</v>
      </c>
      <c r="AB149" s="61">
        <f t="shared" si="118"/>
        <v>35.167999999999999</v>
      </c>
      <c r="AC149" s="61">
        <f t="shared" si="118"/>
        <v>34.549999999999997</v>
      </c>
      <c r="AD149" s="61">
        <f t="shared" si="118"/>
        <v>41.075000000000003</v>
      </c>
      <c r="AE149" s="190">
        <f t="shared" si="118"/>
        <v>41.075000000000003</v>
      </c>
      <c r="AF149" s="110"/>
      <c r="AG149" s="61">
        <f>AG20</f>
        <v>41.555999999999997</v>
      </c>
      <c r="AH149" s="61">
        <f>AH20</f>
        <v>41.817999999999998</v>
      </c>
      <c r="AI149" s="61">
        <f>AI20</f>
        <v>47.734000000000002</v>
      </c>
      <c r="AJ149" s="61">
        <f t="shared" si="118"/>
        <v>65.653999999999996</v>
      </c>
      <c r="AK149" s="190">
        <f t="shared" si="118"/>
        <v>65.653999999999996</v>
      </c>
      <c r="AL149" s="110"/>
      <c r="AM149" s="61">
        <f t="shared" si="118"/>
        <v>79.441000000000003</v>
      </c>
      <c r="AN149" s="61">
        <f t="shared" si="118"/>
        <v>85.137</v>
      </c>
      <c r="AO149" s="61">
        <f t="shared" si="118"/>
        <v>94.718999999999994</v>
      </c>
      <c r="AP149" s="61">
        <f t="shared" si="118"/>
        <v>111.63200000000001</v>
      </c>
      <c r="AQ149" s="190">
        <f t="shared" si="118"/>
        <v>111.63200000000001</v>
      </c>
      <c r="AR149" s="110"/>
      <c r="AS149" s="61">
        <f t="shared" si="118"/>
        <v>109.17100000000001</v>
      </c>
      <c r="AT149" s="61">
        <f t="shared" si="118"/>
        <v>113.714</v>
      </c>
      <c r="AU149" s="61">
        <f t="shared" si="118"/>
        <v>111.898</v>
      </c>
      <c r="AV149" s="61">
        <f t="shared" si="118"/>
        <v>113.42</v>
      </c>
      <c r="AW149" s="190">
        <f t="shared" si="118"/>
        <v>113.42</v>
      </c>
      <c r="AX149" s="110"/>
      <c r="AY149" s="61">
        <f>AY20</f>
        <v>112.419</v>
      </c>
      <c r="AZ149" s="61">
        <f>AZ20</f>
        <v>114.32899999999999</v>
      </c>
      <c r="BA149" s="61">
        <f>BA20</f>
        <v>113.89700000000001</v>
      </c>
      <c r="BB149" s="61">
        <f>BB20</f>
        <v>197.559</v>
      </c>
      <c r="BC149" s="190">
        <f>BC20</f>
        <v>197.559</v>
      </c>
      <c r="BD149" s="110"/>
      <c r="BE149" s="61">
        <f>BE20</f>
        <v>213.65299999999999</v>
      </c>
      <c r="BF149" s="61">
        <f>BF20</f>
        <v>219.79599999999999</v>
      </c>
      <c r="BG149" s="61">
        <f>BG20</f>
        <v>207.86699999999999</v>
      </c>
      <c r="BH149" s="61">
        <f>BH20</f>
        <v>204.679</v>
      </c>
      <c r="BI149" s="190">
        <f>BI20</f>
        <v>204.679</v>
      </c>
      <c r="BJ149" s="110"/>
      <c r="BK149" s="61">
        <f>BK20</f>
        <v>215.99600000000001</v>
      </c>
      <c r="BL149" s="61">
        <f>BL20</f>
        <v>207.37299999999999</v>
      </c>
      <c r="BM149" s="61">
        <f>BM20</f>
        <v>221.196</v>
      </c>
      <c r="BN149" s="61">
        <f>BN20</f>
        <v>244.304</v>
      </c>
      <c r="BO149" s="190">
        <f>BO20</f>
        <v>244.304</v>
      </c>
      <c r="BP149" s="110"/>
      <c r="BQ149" s="61">
        <f>BQ20</f>
        <v>244.304</v>
      </c>
      <c r="BR149" s="61">
        <f>BR20</f>
        <v>244.304</v>
      </c>
      <c r="BS149" s="61">
        <f>BS20</f>
        <v>244.304</v>
      </c>
      <c r="BT149" s="61">
        <f>BT20</f>
        <v>244.304</v>
      </c>
      <c r="BU149" s="190">
        <f>BU20</f>
        <v>244.304</v>
      </c>
      <c r="BV149" s="61"/>
      <c r="BW149" s="61">
        <f>BW20</f>
        <v>244.304</v>
      </c>
      <c r="BX149" s="61">
        <f>BX20</f>
        <v>244.304</v>
      </c>
      <c r="BY149" s="61">
        <f>BY20</f>
        <v>244.304</v>
      </c>
      <c r="BZ149" s="61">
        <f>BZ20</f>
        <v>244.304</v>
      </c>
      <c r="CA149" s="190">
        <f>CA20</f>
        <v>244.304</v>
      </c>
      <c r="CB149" s="61"/>
      <c r="CC149" s="61">
        <f>CC20</f>
        <v>244.304</v>
      </c>
      <c r="CD149" s="61">
        <f>CD20</f>
        <v>244.304</v>
      </c>
      <c r="CE149" s="61">
        <f>CE20</f>
        <v>244.304</v>
      </c>
      <c r="CF149" s="61">
        <f>CF20</f>
        <v>244.304</v>
      </c>
      <c r="CG149" s="190">
        <f>CG20</f>
        <v>244.304</v>
      </c>
      <c r="CH149" s="61"/>
      <c r="CI149" s="61">
        <f>CI20</f>
        <v>244.304</v>
      </c>
      <c r="CJ149" s="61">
        <f>CJ20</f>
        <v>244.304</v>
      </c>
      <c r="CK149" s="61">
        <f>CK20</f>
        <v>244.304</v>
      </c>
      <c r="CL149" s="61">
        <f>CL20</f>
        <v>244.304</v>
      </c>
      <c r="CM149" s="190">
        <f>CM20</f>
        <v>244.304</v>
      </c>
      <c r="CN149" s="98"/>
      <c r="CO149" s="98"/>
      <c r="CP149" s="98"/>
      <c r="CQ149" s="98"/>
      <c r="CR149"/>
      <c r="CS149"/>
      <c r="CT149"/>
      <c r="CU149"/>
      <c r="CV149"/>
      <c r="CW149"/>
    </row>
    <row r="150" spans="1:101" s="228" customFormat="1" ht="11.25" hidden="1" customHeight="1" outlineLevel="1">
      <c r="A150" s="194" t="s">
        <v>316</v>
      </c>
      <c r="B150" s="110"/>
      <c r="C150" s="61">
        <f t="shared" ref="C150:AW150" si="119">C19+C18</f>
        <v>1577.6970000000001</v>
      </c>
      <c r="D150" s="61">
        <f t="shared" si="119"/>
        <v>1573.5730000000001</v>
      </c>
      <c r="E150" s="61">
        <f t="shared" si="119"/>
        <v>1584.597</v>
      </c>
      <c r="F150" s="61">
        <f t="shared" si="119"/>
        <v>1834.865</v>
      </c>
      <c r="G150" s="190">
        <f t="shared" si="119"/>
        <v>1834.865</v>
      </c>
      <c r="H150" s="110"/>
      <c r="I150" s="61">
        <f t="shared" si="119"/>
        <v>1931.7930000000001</v>
      </c>
      <c r="J150" s="61">
        <f t="shared" si="119"/>
        <v>1926.069</v>
      </c>
      <c r="K150" s="61">
        <f t="shared" si="119"/>
        <v>1885.8310000000001</v>
      </c>
      <c r="L150" s="61">
        <f t="shared" si="119"/>
        <v>1848.7649999999999</v>
      </c>
      <c r="M150" s="190">
        <f t="shared" si="119"/>
        <v>1848.7649999999999</v>
      </c>
      <c r="N150" s="110"/>
      <c r="O150" s="61">
        <f t="shared" si="119"/>
        <v>1834.761</v>
      </c>
      <c r="P150" s="61">
        <f t="shared" si="119"/>
        <v>1881.8</v>
      </c>
      <c r="Q150" s="61">
        <f t="shared" si="119"/>
        <v>1948.1610000000001</v>
      </c>
      <c r="R150" s="61">
        <f t="shared" si="119"/>
        <v>1862.1599999999999</v>
      </c>
      <c r="S150" s="190">
        <f t="shared" si="119"/>
        <v>1862.1599999999999</v>
      </c>
      <c r="T150" s="110"/>
      <c r="U150" s="61">
        <f t="shared" si="119"/>
        <v>1883.606</v>
      </c>
      <c r="V150" s="61">
        <f t="shared" si="119"/>
        <v>1984.527</v>
      </c>
      <c r="W150" s="61">
        <f t="shared" si="119"/>
        <v>1967.5240000000001</v>
      </c>
      <c r="X150" s="61">
        <f t="shared" si="119"/>
        <v>1929.0630000000001</v>
      </c>
      <c r="Y150" s="190">
        <f t="shared" si="119"/>
        <v>1929.0630000000001</v>
      </c>
      <c r="Z150" s="110"/>
      <c r="AA150" s="61">
        <f t="shared" si="119"/>
        <v>2017.827</v>
      </c>
      <c r="AB150" s="61">
        <f t="shared" si="119"/>
        <v>2316.0920000000001</v>
      </c>
      <c r="AC150" s="61">
        <f t="shared" si="119"/>
        <v>2270.6819999999998</v>
      </c>
      <c r="AD150" s="61">
        <f t="shared" si="119"/>
        <v>2755.2330000000002</v>
      </c>
      <c r="AE150" s="190">
        <f t="shared" si="119"/>
        <v>2755.2330000000002</v>
      </c>
      <c r="AF150" s="110"/>
      <c r="AG150" s="61">
        <f>AG19+AG18</f>
        <v>2741.8220000000001</v>
      </c>
      <c r="AH150" s="61">
        <f>AH19+AH18</f>
        <v>2693.04</v>
      </c>
      <c r="AI150" s="61">
        <f>AI19+AI18</f>
        <v>2698.451</v>
      </c>
      <c r="AJ150" s="61">
        <f t="shared" si="119"/>
        <v>2652.6889999999999</v>
      </c>
      <c r="AK150" s="190">
        <f t="shared" si="119"/>
        <v>2652.6889999999999</v>
      </c>
      <c r="AL150" s="110"/>
      <c r="AM150" s="61">
        <f t="shared" si="119"/>
        <v>2618.1610000000001</v>
      </c>
      <c r="AN150" s="61">
        <f t="shared" si="119"/>
        <v>2604.3739999999998</v>
      </c>
      <c r="AO150" s="61">
        <f t="shared" si="119"/>
        <v>2612.4679999999998</v>
      </c>
      <c r="AP150" s="61">
        <f t="shared" si="119"/>
        <v>2603.5499999999997</v>
      </c>
      <c r="AQ150" s="190">
        <f t="shared" si="119"/>
        <v>2603.5499999999997</v>
      </c>
      <c r="AR150" s="110"/>
      <c r="AS150" s="61">
        <f t="shared" si="119"/>
        <v>2580.357</v>
      </c>
      <c r="AT150" s="61">
        <f t="shared" si="119"/>
        <v>2559.127</v>
      </c>
      <c r="AU150" s="61">
        <f t="shared" si="119"/>
        <v>2519.701</v>
      </c>
      <c r="AV150" s="61">
        <f t="shared" si="119"/>
        <v>2774.3420000000001</v>
      </c>
      <c r="AW150" s="190">
        <f t="shared" si="119"/>
        <v>2774.3420000000001</v>
      </c>
      <c r="AX150" s="110"/>
      <c r="AY150" s="61">
        <f>AY19+AY18</f>
        <v>2723.2200000000003</v>
      </c>
      <c r="AZ150" s="61">
        <f>AZ19+AZ18</f>
        <v>2730.1490000000003</v>
      </c>
      <c r="BA150" s="61">
        <f>BA19+BA18</f>
        <v>2678.1820000000002</v>
      </c>
      <c r="BB150" s="61">
        <f>BB19+BB18</f>
        <v>2766.96</v>
      </c>
      <c r="BC150" s="190">
        <f>BC19+BC18</f>
        <v>2766.96</v>
      </c>
      <c r="BD150" s="110"/>
      <c r="BE150" s="61">
        <f>BE19+BE18</f>
        <v>2777.7440000000001</v>
      </c>
      <c r="BF150" s="61">
        <f>BF19+BF18</f>
        <v>2726.6090000000004</v>
      </c>
      <c r="BG150" s="61">
        <f>BG19+BG18</f>
        <v>2766.3580000000002</v>
      </c>
      <c r="BH150" s="61">
        <f>BH19+BH18</f>
        <v>2668.19</v>
      </c>
      <c r="BI150" s="190">
        <f>BI19+BI18</f>
        <v>2668.19</v>
      </c>
      <c r="BJ150" s="110"/>
      <c r="BK150" s="61">
        <f>BK19+BK18</f>
        <v>2787.6610000000001</v>
      </c>
      <c r="BL150" s="61">
        <f>BL19+BL18</f>
        <v>2809.7490000000003</v>
      </c>
      <c r="BM150" s="61">
        <f>BM19+BM18</f>
        <v>2814.4340000000002</v>
      </c>
      <c r="BN150" s="61">
        <f>BN19+BN18</f>
        <v>4349.1379999999999</v>
      </c>
      <c r="BO150" s="190">
        <f>BO19+BO18</f>
        <v>4349.1379999999999</v>
      </c>
      <c r="BP150" s="110"/>
      <c r="BQ150" s="61">
        <f>BQ19+BQ18</f>
        <v>4328.9339</v>
      </c>
      <c r="BR150" s="61">
        <f>BR19+BR18</f>
        <v>4309.0328614999999</v>
      </c>
      <c r="BS150" s="61">
        <f>BS19+BS18</f>
        <v>4289.4303385775002</v>
      </c>
      <c r="BT150" s="61">
        <f>BT19+BT18</f>
        <v>4270.1218534988375</v>
      </c>
      <c r="BU150" s="190">
        <f>BU19+BU18</f>
        <v>4270.1218534988375</v>
      </c>
      <c r="BV150" s="61"/>
      <c r="BW150" s="61">
        <f>BW19+BW18</f>
        <v>4249.518090879481</v>
      </c>
      <c r="BX150" s="61">
        <f>BX19+BX18</f>
        <v>4229.2491394026902</v>
      </c>
      <c r="BY150" s="61">
        <f>BY19+BY18</f>
        <v>4209.3095583873965</v>
      </c>
      <c r="BZ150" s="61">
        <f>BZ19+BZ18</f>
        <v>4189.6939955636008</v>
      </c>
      <c r="CA150" s="190">
        <f>CA19+CA18</f>
        <v>4189.6939955636008</v>
      </c>
      <c r="CB150" s="61"/>
      <c r="CC150" s="61">
        <f>CC19+CC18</f>
        <v>4168.912815641238</v>
      </c>
      <c r="CD150" s="61">
        <f>CD19+CD18</f>
        <v>4148.4953063675166</v>
      </c>
      <c r="CE150" s="61">
        <f>CE19+CE18</f>
        <v>4128.4351035060845</v>
      </c>
      <c r="CF150" s="61">
        <f>CF19+CF18</f>
        <v>4108.7259541947287</v>
      </c>
      <c r="CG150" s="190">
        <f>CG19+CG18</f>
        <v>4108.7259541947287</v>
      </c>
      <c r="CH150" s="61"/>
      <c r="CI150" s="61">
        <f>CI19+CI18</f>
        <v>4087.9785550535771</v>
      </c>
      <c r="CJ150" s="61">
        <f>CJ19+CJ18</f>
        <v>4067.6201696463222</v>
      </c>
      <c r="CK150" s="61">
        <f>CK19+CK18</f>
        <v>4047.6435039654539</v>
      </c>
      <c r="CL150" s="61">
        <f>CL19+CL18</f>
        <v>4028.0414007661016</v>
      </c>
      <c r="CM150" s="190">
        <f>CM19+CM18</f>
        <v>4028.0414007661016</v>
      </c>
      <c r="CN150" s="98"/>
      <c r="CO150" s="98"/>
      <c r="CP150" s="98"/>
      <c r="CQ150" s="98"/>
      <c r="CR150"/>
      <c r="CS150"/>
      <c r="CT150"/>
      <c r="CU150"/>
      <c r="CV150"/>
      <c r="CW150"/>
    </row>
    <row r="151" spans="1:101" s="228" customFormat="1" ht="11.25" hidden="1" customHeight="1" outlineLevel="1">
      <c r="A151" s="197" t="s">
        <v>317</v>
      </c>
      <c r="B151" s="113"/>
      <c r="C151" s="114">
        <f>SUM(C145:C150)</f>
        <v>2371.7850000000003</v>
      </c>
      <c r="D151" s="114">
        <f>SUM(D145:D150)</f>
        <v>2375.9499999999998</v>
      </c>
      <c r="E151" s="114">
        <f>SUM(E145:E150)</f>
        <v>2423.8509999999997</v>
      </c>
      <c r="F151" s="114">
        <f>SUM(F145:F150)</f>
        <v>2696.0659999999998</v>
      </c>
      <c r="G151" s="192">
        <f>SUM(G145:G150)</f>
        <v>2696.0659999999998</v>
      </c>
      <c r="H151" s="113"/>
      <c r="I151" s="114">
        <f>SUM(I145:I150)</f>
        <v>2882.5340000000001</v>
      </c>
      <c r="J151" s="114">
        <f>SUM(J145:J150)</f>
        <v>2876.7200000000003</v>
      </c>
      <c r="K151" s="114">
        <f>SUM(K145:K150)</f>
        <v>2826.3020000000001</v>
      </c>
      <c r="L151" s="114">
        <f>SUM(L145:L150)</f>
        <v>2735.0039999999999</v>
      </c>
      <c r="M151" s="192">
        <f>SUM(M145:M150)</f>
        <v>2735.0039999999999</v>
      </c>
      <c r="N151" s="113"/>
      <c r="O151" s="114">
        <f>SUM(O145:O150)</f>
        <v>2673.4850000000001</v>
      </c>
      <c r="P151" s="114">
        <f>SUM(P145:P150)</f>
        <v>2770.4119999999998</v>
      </c>
      <c r="Q151" s="114">
        <f>SUM(Q145:Q150)</f>
        <v>2884.201</v>
      </c>
      <c r="R151" s="114">
        <f>SUM(R145:R150)</f>
        <v>2666.587</v>
      </c>
      <c r="S151" s="192">
        <f>SUM(S145:S150)</f>
        <v>2666.587</v>
      </c>
      <c r="T151" s="113"/>
      <c r="U151" s="114">
        <f>SUM(U145:U150)</f>
        <v>2828.4920000000002</v>
      </c>
      <c r="V151" s="114">
        <f>SUM(V145:V150)</f>
        <v>2927.1010000000001</v>
      </c>
      <c r="W151" s="114">
        <f>SUM(W145:W150)</f>
        <v>2784.1570000000002</v>
      </c>
      <c r="X151" s="114">
        <f>SUM(X145:X150)</f>
        <v>2787.71</v>
      </c>
      <c r="Y151" s="192">
        <f>SUM(Y145:Y150)</f>
        <v>2787.71</v>
      </c>
      <c r="Z151" s="113"/>
      <c r="AA151" s="114">
        <f>SUM(AA145:AA150)</f>
        <v>2888.6320000000001</v>
      </c>
      <c r="AB151" s="114">
        <f>SUM(AB145:AB150)</f>
        <v>3199.2429999999999</v>
      </c>
      <c r="AC151" s="114">
        <f>SUM(AC145:AC150)</f>
        <v>3152.607</v>
      </c>
      <c r="AD151" s="114">
        <f>SUM(AD145:AD150)</f>
        <v>3690.549</v>
      </c>
      <c r="AE151" s="192">
        <f>SUM(AE145:AE150)</f>
        <v>3690.549</v>
      </c>
      <c r="AF151" s="113"/>
      <c r="AG151" s="114">
        <f>SUM(AG145:AG150)</f>
        <v>3718.1660000000002</v>
      </c>
      <c r="AH151" s="114">
        <f>SUM(AH145:AH150)</f>
        <v>3628.23</v>
      </c>
      <c r="AI151" s="114">
        <f>SUM(AI145:AI150)</f>
        <v>3717.797</v>
      </c>
      <c r="AJ151" s="114">
        <f>SUM(AJ145:AJ150)</f>
        <v>3729.1689999999999</v>
      </c>
      <c r="AK151" s="192">
        <f>SUM(AK145:AK150)</f>
        <v>3729.1689999999999</v>
      </c>
      <c r="AL151" s="113"/>
      <c r="AM151" s="114">
        <f>SUM(AM145:AM150)</f>
        <v>3681.0950000000003</v>
      </c>
      <c r="AN151" s="114">
        <f>SUM(AN145:AN150)</f>
        <v>3697.6750000000002</v>
      </c>
      <c r="AO151" s="114">
        <f>SUM(AO145:AO150)</f>
        <v>3718.0029999999997</v>
      </c>
      <c r="AP151" s="114">
        <f>SUM(AP145:AP150)</f>
        <v>3772.1509999999998</v>
      </c>
      <c r="AQ151" s="192">
        <f>SUM(AQ145:AQ150)</f>
        <v>3772.1509999999998</v>
      </c>
      <c r="AR151" s="113"/>
      <c r="AS151" s="114">
        <f>SUM(AS145:AS150)</f>
        <v>3745.665</v>
      </c>
      <c r="AT151" s="114">
        <f>SUM(AT145:AT150)</f>
        <v>3725.9449999999997</v>
      </c>
      <c r="AU151" s="114">
        <f>SUM(AU145:AU150)</f>
        <v>3678.9369999999999</v>
      </c>
      <c r="AV151" s="114">
        <f>SUM(AV145:AV150)</f>
        <v>3957.6860000000001</v>
      </c>
      <c r="AW151" s="192">
        <f>SUM(AW145:AW150)</f>
        <v>3957.6860000000001</v>
      </c>
      <c r="AX151" s="113"/>
      <c r="AY151" s="114">
        <f>SUM(AY145:AY150)</f>
        <v>3857.7490000000007</v>
      </c>
      <c r="AZ151" s="114">
        <f>SUM(AZ145:AZ150)</f>
        <v>3888.9530000000004</v>
      </c>
      <c r="BA151" s="114">
        <f>SUM(BA145:BA150)</f>
        <v>3835.027</v>
      </c>
      <c r="BB151" s="114">
        <f>SUM(BB145:BB150)</f>
        <v>3926.777</v>
      </c>
      <c r="BC151" s="192">
        <f>SUM(BC145:BC150)</f>
        <v>3926.777</v>
      </c>
      <c r="BD151" s="113"/>
      <c r="BE151" s="114">
        <f>SUM(BE145:BE150)</f>
        <v>3998.6109999999999</v>
      </c>
      <c r="BF151" s="114">
        <f>SUM(BF145:BF150)</f>
        <v>3944.4650000000001</v>
      </c>
      <c r="BG151" s="114">
        <f>SUM(BG145:BG150)</f>
        <v>3991.3540000000003</v>
      </c>
      <c r="BH151" s="114">
        <f>SUM(BH145:BH150)</f>
        <v>3790.0439999999999</v>
      </c>
      <c r="BI151" s="192">
        <f>SUM(BI145:BI150)</f>
        <v>3790.0439999999999</v>
      </c>
      <c r="BJ151" s="113"/>
      <c r="BK151" s="114">
        <f>SUM(BK145:BK150)</f>
        <v>3930.107</v>
      </c>
      <c r="BL151" s="114">
        <f>SUM(BL145:BL150)</f>
        <v>3988.7960000000003</v>
      </c>
      <c r="BM151" s="114">
        <f>SUM(BM145:BM150)</f>
        <v>4029.4670000000001</v>
      </c>
      <c r="BN151" s="114">
        <f>SUM(BN145:BN150)</f>
        <v>5889.3289999999997</v>
      </c>
      <c r="BO151" s="192">
        <f>SUM(BO145:BO150)</f>
        <v>5889.3289999999997</v>
      </c>
      <c r="BP151" s="113"/>
      <c r="BQ151" s="114">
        <f>SUM(BQ145:BQ150)</f>
        <v>5736.5904087648605</v>
      </c>
      <c r="BR151" s="114">
        <f>SUM(BR145:BR150)</f>
        <v>5789.2733476554013</v>
      </c>
      <c r="BS151" s="114">
        <f>SUM(BS145:BS150)</f>
        <v>5771.7080482497931</v>
      </c>
      <c r="BT151" s="114">
        <f>SUM(BT145:BT150)</f>
        <v>5901.1493287792428</v>
      </c>
      <c r="BU151" s="192">
        <f>SUM(BU145:BU150)</f>
        <v>5901.1493287792428</v>
      </c>
      <c r="BV151" s="114"/>
      <c r="BW151" s="114">
        <f>SUM(BW145:BW150)</f>
        <v>5702.0268955227093</v>
      </c>
      <c r="BX151" s="114">
        <f>SUM(BX145:BX150)</f>
        <v>5763.7913050593224</v>
      </c>
      <c r="BY151" s="114">
        <f>SUM(BY145:BY150)</f>
        <v>5749.3551830211281</v>
      </c>
      <c r="BZ151" s="114">
        <f>SUM(BZ145:BZ150)</f>
        <v>5889.4858773334217</v>
      </c>
      <c r="CA151" s="192">
        <f>SUM(CA145:CA150)</f>
        <v>5889.4858773334217</v>
      </c>
      <c r="CB151" s="114"/>
      <c r="CC151" s="114">
        <f>SUM(CC145:CC150)</f>
        <v>5673.2805112280603</v>
      </c>
      <c r="CD151" s="114">
        <f>SUM(CD145:CD150)</f>
        <v>5743.4089059972084</v>
      </c>
      <c r="CE151" s="114">
        <f>SUM(CE145:CE150)</f>
        <v>5726.6648963625339</v>
      </c>
      <c r="CF151" s="114">
        <f>SUM(CF145:CF150)</f>
        <v>5872.5097589080915</v>
      </c>
      <c r="CG151" s="192">
        <f>SUM(CG145:CG150)</f>
        <v>5872.5097589080915</v>
      </c>
      <c r="CH151" s="114"/>
      <c r="CI151" s="114">
        <f>SUM(CI145:CI150)</f>
        <v>5630.3867373037001</v>
      </c>
      <c r="CJ151" s="114">
        <f>SUM(CJ145:CJ150)</f>
        <v>5705.8081227605126</v>
      </c>
      <c r="CK151" s="114">
        <f>SUM(CK145:CK150)</f>
        <v>5693.1777667109091</v>
      </c>
      <c r="CL151" s="114">
        <f>SUM(CL145:CL150)</f>
        <v>5847.85760295408</v>
      </c>
      <c r="CM151" s="192">
        <f>SUM(CM145:CM150)</f>
        <v>5847.85760295408</v>
      </c>
      <c r="CN151" s="98"/>
      <c r="CO151" s="98"/>
      <c r="CP151" s="98"/>
      <c r="CQ151" s="98"/>
      <c r="CR151"/>
      <c r="CS151"/>
      <c r="CT151"/>
      <c r="CU151"/>
      <c r="CV151"/>
      <c r="CW151"/>
    </row>
    <row r="152" spans="1:101" s="228" customFormat="1" ht="11.25" hidden="1" customHeight="1" outlineLevel="1">
      <c r="A152" s="194"/>
      <c r="B152" s="110"/>
      <c r="C152" s="61"/>
      <c r="D152" s="61"/>
      <c r="E152" s="61"/>
      <c r="F152" s="61"/>
      <c r="G152" s="193"/>
      <c r="H152" s="110"/>
      <c r="I152" s="61"/>
      <c r="J152" s="61"/>
      <c r="K152" s="61"/>
      <c r="L152" s="61"/>
      <c r="M152" s="193"/>
      <c r="N152" s="110"/>
      <c r="O152" s="61"/>
      <c r="P152" s="61"/>
      <c r="Q152" s="61"/>
      <c r="R152" s="61"/>
      <c r="S152" s="193"/>
      <c r="T152" s="110"/>
      <c r="U152" s="61"/>
      <c r="V152" s="61"/>
      <c r="W152" s="61"/>
      <c r="X152" s="61"/>
      <c r="Y152" s="193"/>
      <c r="Z152" s="110"/>
      <c r="AA152" s="61"/>
      <c r="AB152" s="61"/>
      <c r="AC152" s="61"/>
      <c r="AD152" s="61"/>
      <c r="AE152" s="193"/>
      <c r="AF152" s="110"/>
      <c r="AG152" s="61"/>
      <c r="AH152" s="61"/>
      <c r="AI152" s="61"/>
      <c r="AJ152" s="61"/>
      <c r="AK152" s="165"/>
      <c r="AL152" s="110"/>
      <c r="AM152" s="61"/>
      <c r="AN152" s="61"/>
      <c r="AO152" s="61"/>
      <c r="AP152" s="61"/>
      <c r="AQ152" s="165"/>
      <c r="AR152" s="110"/>
      <c r="AS152" s="61"/>
      <c r="AT152" s="61"/>
      <c r="AU152" s="61"/>
      <c r="AV152" s="61"/>
      <c r="AW152" s="165"/>
      <c r="AX152" s="110"/>
      <c r="AY152" s="61"/>
      <c r="AZ152" s="61"/>
      <c r="BA152" s="61"/>
      <c r="BB152" s="61"/>
      <c r="BC152" s="165"/>
      <c r="BD152" s="110"/>
      <c r="BE152" s="61"/>
      <c r="BF152" s="61"/>
      <c r="BG152" s="61"/>
      <c r="BH152" s="61"/>
      <c r="BI152" s="165"/>
      <c r="BJ152" s="110"/>
      <c r="BK152" s="61"/>
      <c r="BL152" s="61"/>
      <c r="BM152" s="61"/>
      <c r="BN152" s="61"/>
      <c r="BO152" s="165"/>
      <c r="BP152" s="110"/>
      <c r="BQ152" s="61"/>
      <c r="BR152" s="61"/>
      <c r="BS152" s="61"/>
      <c r="BT152" s="61"/>
      <c r="BU152" s="165"/>
      <c r="BV152" s="1794"/>
      <c r="BW152" s="61"/>
      <c r="BX152" s="61"/>
      <c r="BY152" s="61"/>
      <c r="BZ152" s="61"/>
      <c r="CA152" s="165"/>
      <c r="CB152" s="1794"/>
      <c r="CC152" s="61"/>
      <c r="CD152" s="61"/>
      <c r="CE152" s="61"/>
      <c r="CF152" s="61"/>
      <c r="CG152" s="165"/>
      <c r="CH152" s="1794"/>
      <c r="CI152" s="61"/>
      <c r="CJ152" s="61"/>
      <c r="CK152" s="61"/>
      <c r="CL152" s="61"/>
      <c r="CM152" s="165"/>
      <c r="CN152" s="98"/>
      <c r="CO152" s="98"/>
      <c r="CP152" s="98"/>
      <c r="CQ152" s="98"/>
      <c r="CR152"/>
      <c r="CS152"/>
      <c r="CT152"/>
      <c r="CU152"/>
      <c r="CV152"/>
      <c r="CW152"/>
    </row>
    <row r="153" spans="1:101" s="228" customFormat="1" ht="11.25" hidden="1" customHeight="1" outlineLevel="1">
      <c r="A153" s="194" t="s">
        <v>318</v>
      </c>
      <c r="B153" s="110"/>
      <c r="C153" s="61">
        <f t="shared" ref="C153:AW153" si="120">C25</f>
        <v>147.708</v>
      </c>
      <c r="D153" s="61">
        <f t="shared" si="120"/>
        <v>151.93</v>
      </c>
      <c r="E153" s="61">
        <f t="shared" si="120"/>
        <v>158.636</v>
      </c>
      <c r="F153" s="61">
        <f t="shared" si="120"/>
        <v>164.80600000000001</v>
      </c>
      <c r="G153" s="190">
        <f t="shared" si="120"/>
        <v>164.80600000000001</v>
      </c>
      <c r="H153" s="110"/>
      <c r="I153" s="61">
        <f t="shared" si="120"/>
        <v>189.8</v>
      </c>
      <c r="J153" s="61">
        <f t="shared" si="120"/>
        <v>194.69900000000001</v>
      </c>
      <c r="K153" s="61">
        <f t="shared" si="120"/>
        <v>184.857</v>
      </c>
      <c r="L153" s="61">
        <f t="shared" si="120"/>
        <v>169.447</v>
      </c>
      <c r="M153" s="190">
        <f t="shared" si="120"/>
        <v>169.447</v>
      </c>
      <c r="N153" s="110"/>
      <c r="O153" s="61">
        <f t="shared" si="120"/>
        <v>143.34700000000001</v>
      </c>
      <c r="P153" s="61">
        <f t="shared" si="120"/>
        <v>153.905</v>
      </c>
      <c r="Q153" s="61">
        <f t="shared" si="120"/>
        <v>158.95699999999999</v>
      </c>
      <c r="R153" s="61">
        <f t="shared" si="120"/>
        <v>133.792</v>
      </c>
      <c r="S153" s="190">
        <f t="shared" si="120"/>
        <v>133.792</v>
      </c>
      <c r="T153" s="110"/>
      <c r="U153" s="61">
        <f t="shared" si="120"/>
        <v>168.483</v>
      </c>
      <c r="V153" s="61">
        <f t="shared" si="120"/>
        <v>174.94300000000001</v>
      </c>
      <c r="W153" s="61">
        <f t="shared" si="120"/>
        <v>143.01</v>
      </c>
      <c r="X153" s="61">
        <f t="shared" si="120"/>
        <v>161.042</v>
      </c>
      <c r="Y153" s="190">
        <f t="shared" si="120"/>
        <v>161.042</v>
      </c>
      <c r="Z153" s="110"/>
      <c r="AA153" s="61">
        <f t="shared" si="120"/>
        <v>149.196</v>
      </c>
      <c r="AB153" s="61">
        <f t="shared" si="120"/>
        <v>149.21199999999999</v>
      </c>
      <c r="AC153" s="61">
        <f t="shared" si="120"/>
        <v>150.81299999999999</v>
      </c>
      <c r="AD153" s="61">
        <f t="shared" si="120"/>
        <v>173.15299999999999</v>
      </c>
      <c r="AE153" s="190">
        <f t="shared" si="120"/>
        <v>173.15299999999999</v>
      </c>
      <c r="AF153" s="110"/>
      <c r="AG153" s="61">
        <f>AG25</f>
        <v>163.00299999999999</v>
      </c>
      <c r="AH153" s="61">
        <f>AH25</f>
        <v>174.02799999999999</v>
      </c>
      <c r="AI153" s="61">
        <f>AI25</f>
        <v>155.72800000000001</v>
      </c>
      <c r="AJ153" s="61">
        <f t="shared" si="120"/>
        <v>168.94300000000001</v>
      </c>
      <c r="AK153" s="190">
        <f t="shared" si="120"/>
        <v>168.94300000000001</v>
      </c>
      <c r="AL153" s="110"/>
      <c r="AM153" s="61">
        <f t="shared" si="120"/>
        <v>172.166</v>
      </c>
      <c r="AN153" s="61">
        <f t="shared" si="120"/>
        <v>170.12200000000001</v>
      </c>
      <c r="AO153" s="61">
        <f t="shared" si="120"/>
        <v>162.523</v>
      </c>
      <c r="AP153" s="61">
        <f t="shared" si="120"/>
        <v>167.196</v>
      </c>
      <c r="AQ153" s="190">
        <f t="shared" si="120"/>
        <v>167.196</v>
      </c>
      <c r="AR153" s="110"/>
      <c r="AS153" s="61">
        <f t="shared" si="120"/>
        <v>168.03899999999999</v>
      </c>
      <c r="AT153" s="61">
        <f t="shared" si="120"/>
        <v>155.41499999999999</v>
      </c>
      <c r="AU153" s="61">
        <f t="shared" si="120"/>
        <v>160.506</v>
      </c>
      <c r="AV153" s="61">
        <f t="shared" si="120"/>
        <v>173.953</v>
      </c>
      <c r="AW153" s="190">
        <f t="shared" si="120"/>
        <v>173.953</v>
      </c>
      <c r="AX153" s="110"/>
      <c r="AY153" s="61">
        <f>AY25</f>
        <v>157.471</v>
      </c>
      <c r="AZ153" s="61">
        <f>AZ25</f>
        <v>170.67699999999999</v>
      </c>
      <c r="BA153" s="61">
        <f>BA25</f>
        <v>149.684</v>
      </c>
      <c r="BB153" s="61">
        <f>BB25</f>
        <v>152.726</v>
      </c>
      <c r="BC153" s="190">
        <f>BC25</f>
        <v>152.726</v>
      </c>
      <c r="BD153" s="110"/>
      <c r="BE153" s="61">
        <f>BE25</f>
        <v>159.47999999999999</v>
      </c>
      <c r="BF153" s="61">
        <f>BF25</f>
        <v>156.44200000000001</v>
      </c>
      <c r="BG153" s="61">
        <f>BG25</f>
        <v>162.321</v>
      </c>
      <c r="BH153" s="61">
        <f>BH25</f>
        <v>168.03299999999999</v>
      </c>
      <c r="BI153" s="190">
        <f>BI25</f>
        <v>168.03299999999999</v>
      </c>
      <c r="BJ153" s="110"/>
      <c r="BK153" s="61">
        <f>BK25</f>
        <v>158.11799999999999</v>
      </c>
      <c r="BL153" s="61">
        <f>BL25</f>
        <v>153.75399999999999</v>
      </c>
      <c r="BM153" s="61">
        <f>BM25</f>
        <v>163.73500000000001</v>
      </c>
      <c r="BN153" s="61">
        <f>BN25</f>
        <v>222.09299999999999</v>
      </c>
      <c r="BO153" s="190">
        <f>BO25</f>
        <v>222.09299999999999</v>
      </c>
      <c r="BP153" s="110"/>
      <c r="BQ153" s="61">
        <f>BQ25</f>
        <v>209.46361805414617</v>
      </c>
      <c r="BR153" s="61">
        <f>BR25</f>
        <v>208.15309141847328</v>
      </c>
      <c r="BS153" s="61">
        <f>BS25</f>
        <v>216.01200893117402</v>
      </c>
      <c r="BT153" s="61">
        <f>BT25</f>
        <v>279.94401856129684</v>
      </c>
      <c r="BU153" s="190">
        <f>BU25</f>
        <v>279.94401856129684</v>
      </c>
      <c r="BV153" s="61"/>
      <c r="BW153" s="61">
        <f>BW25</f>
        <v>218.32634751019199</v>
      </c>
      <c r="BX153" s="61">
        <f>BX25</f>
        <v>218.07367072267502</v>
      </c>
      <c r="BY153" s="61">
        <f>BY25</f>
        <v>227.53243681771912</v>
      </c>
      <c r="BZ153" s="61">
        <f>BZ25</f>
        <v>295.50339008063236</v>
      </c>
      <c r="CA153" s="190">
        <f>CA25</f>
        <v>295.50339008063236</v>
      </c>
      <c r="CB153" s="61"/>
      <c r="CC153" s="61">
        <f>CC25</f>
        <v>229.77126814343802</v>
      </c>
      <c r="CD153" s="61">
        <f>CD25</f>
        <v>229.72681422457094</v>
      </c>
      <c r="CE153" s="61">
        <f>CE25</f>
        <v>239.23500880200871</v>
      </c>
      <c r="CF153" s="61">
        <f>CF25</f>
        <v>309.59721962979626</v>
      </c>
      <c r="CG153" s="190">
        <f>CG25</f>
        <v>309.59721962979626</v>
      </c>
      <c r="CH153" s="61"/>
      <c r="CI153" s="61">
        <f>CI25</f>
        <v>237.61934970415462</v>
      </c>
      <c r="CJ153" s="61">
        <f>CJ25</f>
        <v>237.36838533709832</v>
      </c>
      <c r="CK153" s="61">
        <f>CK25</f>
        <v>248.18026760809849</v>
      </c>
      <c r="CL153" s="61">
        <f>CL25</f>
        <v>321.3141767091326</v>
      </c>
      <c r="CM153" s="190">
        <f>CM25</f>
        <v>321.3141767091326</v>
      </c>
      <c r="CN153" s="98"/>
      <c r="CO153" s="98"/>
      <c r="CP153" s="98"/>
      <c r="CQ153" s="98"/>
      <c r="CR153"/>
      <c r="CS153"/>
      <c r="CT153"/>
      <c r="CU153"/>
      <c r="CV153"/>
      <c r="CW153"/>
    </row>
    <row r="154" spans="1:101" s="228" customFormat="1" ht="11.25" hidden="1" customHeight="1" outlineLevel="1">
      <c r="A154" s="194" t="s">
        <v>319</v>
      </c>
      <c r="B154" s="110"/>
      <c r="C154" s="61">
        <f t="shared" ref="C154:AW154" si="121">C27+C26</f>
        <v>271.93699999999995</v>
      </c>
      <c r="D154" s="61">
        <f t="shared" si="121"/>
        <v>296.928</v>
      </c>
      <c r="E154" s="61">
        <f t="shared" si="121"/>
        <v>285.721</v>
      </c>
      <c r="F154" s="61">
        <f t="shared" si="121"/>
        <v>352.85500000000002</v>
      </c>
      <c r="G154" s="190">
        <f t="shared" si="121"/>
        <v>352.85500000000002</v>
      </c>
      <c r="H154" s="110"/>
      <c r="I154" s="61">
        <f t="shared" si="121"/>
        <v>366.03699999999998</v>
      </c>
      <c r="J154" s="61">
        <f t="shared" si="121"/>
        <v>369.75899999999996</v>
      </c>
      <c r="K154" s="61">
        <f t="shared" si="121"/>
        <v>330.85</v>
      </c>
      <c r="L154" s="61">
        <f t="shared" si="121"/>
        <v>329.71899999999999</v>
      </c>
      <c r="M154" s="190">
        <f t="shared" si="121"/>
        <v>329.71899999999999</v>
      </c>
      <c r="N154" s="110"/>
      <c r="O154" s="61">
        <f t="shared" si="121"/>
        <v>308.79900000000004</v>
      </c>
      <c r="P154" s="61">
        <f t="shared" si="121"/>
        <v>326.214</v>
      </c>
      <c r="Q154" s="61">
        <f t="shared" si="121"/>
        <v>336.53699999999998</v>
      </c>
      <c r="R154" s="61">
        <f t="shared" si="121"/>
        <v>310.06200000000001</v>
      </c>
      <c r="S154" s="190">
        <f t="shared" si="121"/>
        <v>310.06200000000001</v>
      </c>
      <c r="T154" s="110"/>
      <c r="U154" s="61">
        <f t="shared" si="121"/>
        <v>322.43099999999998</v>
      </c>
      <c r="V154" s="61">
        <f t="shared" si="121"/>
        <v>333.57600000000002</v>
      </c>
      <c r="W154" s="61">
        <f t="shared" si="121"/>
        <v>317.15100000000001</v>
      </c>
      <c r="X154" s="61">
        <f t="shared" si="121"/>
        <v>345.649</v>
      </c>
      <c r="Y154" s="190">
        <f t="shared" si="121"/>
        <v>345.649</v>
      </c>
      <c r="Z154" s="110"/>
      <c r="AA154" s="61">
        <f t="shared" si="121"/>
        <v>358.02500000000003</v>
      </c>
      <c r="AB154" s="61">
        <f t="shared" si="121"/>
        <v>408.48099999999999</v>
      </c>
      <c r="AC154" s="61">
        <f t="shared" si="121"/>
        <v>365.59699999999998</v>
      </c>
      <c r="AD154" s="61">
        <f t="shared" si="121"/>
        <v>425.48400000000004</v>
      </c>
      <c r="AE154" s="190">
        <f t="shared" si="121"/>
        <v>425.48400000000004</v>
      </c>
      <c r="AF154" s="110"/>
      <c r="AG154" s="61">
        <f>AG27+AG26</f>
        <v>438.57299999999998</v>
      </c>
      <c r="AH154" s="61">
        <f>AH27+AH26</f>
        <v>412.54200000000003</v>
      </c>
      <c r="AI154" s="61">
        <f>AI27+AI26</f>
        <v>423.96800000000002</v>
      </c>
      <c r="AJ154" s="61">
        <f t="shared" si="121"/>
        <v>409.39</v>
      </c>
      <c r="AK154" s="190">
        <f t="shared" si="121"/>
        <v>409.39</v>
      </c>
      <c r="AL154" s="110"/>
      <c r="AM154" s="61">
        <f t="shared" si="121"/>
        <v>393.02199999999999</v>
      </c>
      <c r="AN154" s="61">
        <f t="shared" si="121"/>
        <v>390.44400000000002</v>
      </c>
      <c r="AO154" s="61">
        <f t="shared" si="121"/>
        <v>423.86499999999995</v>
      </c>
      <c r="AP154" s="61">
        <f t="shared" si="121"/>
        <v>430.43800000000005</v>
      </c>
      <c r="AQ154" s="190">
        <f t="shared" si="121"/>
        <v>430.43800000000005</v>
      </c>
      <c r="AR154" s="110"/>
      <c r="AS154" s="61">
        <f t="shared" si="121"/>
        <v>432.37200000000001</v>
      </c>
      <c r="AT154" s="61">
        <f t="shared" si="121"/>
        <v>418.99799999999999</v>
      </c>
      <c r="AU154" s="61">
        <f t="shared" si="121"/>
        <v>403.529</v>
      </c>
      <c r="AV154" s="61">
        <f t="shared" si="121"/>
        <v>420.14500000000004</v>
      </c>
      <c r="AW154" s="190">
        <f t="shared" si="121"/>
        <v>420.14500000000004</v>
      </c>
      <c r="AX154" s="110"/>
      <c r="AY154" s="61">
        <f>AY27+AY26</f>
        <v>389.89699999999999</v>
      </c>
      <c r="AZ154" s="61">
        <f>AZ27+AZ26</f>
        <v>399.584</v>
      </c>
      <c r="BA154" s="61">
        <f>BA27+BA26</f>
        <v>401.38499999999999</v>
      </c>
      <c r="BB154" s="61">
        <f>BB27+BB26</f>
        <v>405.536</v>
      </c>
      <c r="BC154" s="190">
        <f>BC27+BC26</f>
        <v>405.536</v>
      </c>
      <c r="BD154" s="110"/>
      <c r="BE154" s="61">
        <f>BE27+BE26</f>
        <v>391.83199999999999</v>
      </c>
      <c r="BF154" s="61">
        <f>BF27+BF26</f>
        <v>401.49200000000002</v>
      </c>
      <c r="BG154" s="61">
        <f>BG27+BG26</f>
        <v>382.34</v>
      </c>
      <c r="BH154" s="61">
        <f>BH27+BH26</f>
        <v>407.17899999999997</v>
      </c>
      <c r="BI154" s="190">
        <f>BI27+BI26</f>
        <v>407.17899999999997</v>
      </c>
      <c r="BJ154" s="110"/>
      <c r="BK154" s="61">
        <f>BK27+BK26</f>
        <v>409.34399999999999</v>
      </c>
      <c r="BL154" s="61">
        <f>BL27+BL26</f>
        <v>427.036</v>
      </c>
      <c r="BM154" s="61">
        <f>BM27+BM26</f>
        <v>430.32899999999995</v>
      </c>
      <c r="BN154" s="61">
        <f>BN27+BN26</f>
        <v>509.40100000000001</v>
      </c>
      <c r="BO154" s="190">
        <f>BO27+BO26</f>
        <v>509.40100000000001</v>
      </c>
      <c r="BP154" s="110"/>
      <c r="BQ154" s="61">
        <f>BQ27+BQ26</f>
        <v>444.82006114729313</v>
      </c>
      <c r="BR154" s="61">
        <f>BR27+BR26</f>
        <v>473.27485731761743</v>
      </c>
      <c r="BS154" s="61">
        <f>BS27+BS26</f>
        <v>467.18068139957063</v>
      </c>
      <c r="BT154" s="61">
        <f>BT27+BT26</f>
        <v>539.09274091371287</v>
      </c>
      <c r="BU154" s="190">
        <f>BU27+BU26</f>
        <v>539.09274091371287</v>
      </c>
      <c r="BV154" s="61"/>
      <c r="BW154" s="61">
        <f>BW27+BW26</f>
        <v>427.24843762490832</v>
      </c>
      <c r="BX154" s="61">
        <f>BX27+BX26</f>
        <v>456.91397197941228</v>
      </c>
      <c r="BY154" s="61">
        <f>BY27+BY26</f>
        <v>453.71193695015899</v>
      </c>
      <c r="BZ154" s="61">
        <f>BZ27+BZ26</f>
        <v>525.18620284480573</v>
      </c>
      <c r="CA154" s="190">
        <f>CA27+CA26</f>
        <v>525.18620284480573</v>
      </c>
      <c r="CB154" s="61"/>
      <c r="CC154" s="61">
        <f>CC27+CC26</f>
        <v>410.62938797351893</v>
      </c>
      <c r="CD154" s="61">
        <f>CD27+CD26</f>
        <v>439.55872816031223</v>
      </c>
      <c r="CE154" s="61">
        <f>CE27+CE26</f>
        <v>436.04127892136989</v>
      </c>
      <c r="CF154" s="61">
        <f>CF27+CF26</f>
        <v>503.68276355115376</v>
      </c>
      <c r="CG154" s="190">
        <f>CG27+CG26</f>
        <v>503.68276355115376</v>
      </c>
      <c r="CH154" s="61"/>
      <c r="CI154" s="61">
        <f>CI27+CI26</f>
        <v>383.79628336810475</v>
      </c>
      <c r="CJ154" s="61">
        <f>CJ27+CJ26</f>
        <v>410.41920055525247</v>
      </c>
      <c r="CK154" s="61">
        <f>CK27+CK26</f>
        <v>409.21324164297056</v>
      </c>
      <c r="CL154" s="61">
        <f>CL27+CL26</f>
        <v>473.80927753091862</v>
      </c>
      <c r="CM154" s="190">
        <f>CM27+CM26</f>
        <v>473.80927753091862</v>
      </c>
      <c r="CN154" s="98"/>
      <c r="CO154" s="98"/>
      <c r="CP154" s="98"/>
      <c r="CQ154" s="98"/>
      <c r="CR154"/>
      <c r="CS154"/>
      <c r="CT154"/>
      <c r="CU154"/>
      <c r="CV154"/>
      <c r="CW154"/>
    </row>
    <row r="155" spans="1:101" s="228" customFormat="1" ht="11.25" hidden="1" customHeight="1" outlineLevel="1">
      <c r="A155" s="194" t="s">
        <v>320</v>
      </c>
      <c r="B155" s="110"/>
      <c r="C155" s="61">
        <f t="shared" ref="C155:AW155" si="122">C31</f>
        <v>356.755</v>
      </c>
      <c r="D155" s="61">
        <f t="shared" si="122"/>
        <v>351.90300000000002</v>
      </c>
      <c r="E155" s="61">
        <f t="shared" si="122"/>
        <v>363.73399999999998</v>
      </c>
      <c r="F155" s="61">
        <f t="shared" si="122"/>
        <v>305.95</v>
      </c>
      <c r="G155" s="190">
        <f t="shared" si="122"/>
        <v>305.95</v>
      </c>
      <c r="H155" s="110"/>
      <c r="I155" s="61">
        <f t="shared" si="122"/>
        <v>336.892</v>
      </c>
      <c r="J155" s="61">
        <f t="shared" si="122"/>
        <v>329.32400000000001</v>
      </c>
      <c r="K155" s="61">
        <f t="shared" si="122"/>
        <v>321.15499999999997</v>
      </c>
      <c r="L155" s="61">
        <f t="shared" si="122"/>
        <v>335.35399999999998</v>
      </c>
      <c r="M155" s="190">
        <f t="shared" si="122"/>
        <v>335.35399999999998</v>
      </c>
      <c r="N155" s="110"/>
      <c r="O155" s="61">
        <f t="shared" si="122"/>
        <v>330.31700000000001</v>
      </c>
      <c r="P155" s="61">
        <f t="shared" si="122"/>
        <v>347.47199999999998</v>
      </c>
      <c r="Q155" s="61">
        <f t="shared" si="122"/>
        <v>364.267</v>
      </c>
      <c r="R155" s="61">
        <f t="shared" si="122"/>
        <v>363.90499999999997</v>
      </c>
      <c r="S155" s="190">
        <f t="shared" si="122"/>
        <v>363.90499999999997</v>
      </c>
      <c r="T155" s="110"/>
      <c r="U155" s="61">
        <f t="shared" si="122"/>
        <v>369.096</v>
      </c>
      <c r="V155" s="61">
        <f t="shared" si="122"/>
        <v>368.29599999999999</v>
      </c>
      <c r="W155" s="61">
        <f t="shared" si="122"/>
        <v>344.45400000000001</v>
      </c>
      <c r="X155" s="61">
        <f t="shared" si="122"/>
        <v>344.35300000000001</v>
      </c>
      <c r="Y155" s="190">
        <f t="shared" si="122"/>
        <v>344.35300000000001</v>
      </c>
      <c r="Z155" s="110"/>
      <c r="AA155" s="61">
        <f t="shared" si="122"/>
        <v>372.95400000000001</v>
      </c>
      <c r="AB155" s="61">
        <f t="shared" si="122"/>
        <v>409.04599999999999</v>
      </c>
      <c r="AC155" s="61">
        <f t="shared" si="122"/>
        <v>430.84100000000001</v>
      </c>
      <c r="AD155" s="61">
        <f t="shared" si="122"/>
        <v>447.00799999999998</v>
      </c>
      <c r="AE155" s="190">
        <f t="shared" si="122"/>
        <v>447.00799999999998</v>
      </c>
      <c r="AF155" s="110"/>
      <c r="AG155" s="61">
        <f>AG31</f>
        <v>444.89800000000002</v>
      </c>
      <c r="AH155" s="61">
        <f>AH31</f>
        <v>416.87900000000002</v>
      </c>
      <c r="AI155" s="61">
        <f>AI31</f>
        <v>434.39400000000001</v>
      </c>
      <c r="AJ155" s="61">
        <f t="shared" si="122"/>
        <v>442.02600000000001</v>
      </c>
      <c r="AK155" s="190">
        <f t="shared" si="122"/>
        <v>442.02600000000001</v>
      </c>
      <c r="AL155" s="110"/>
      <c r="AM155" s="61">
        <f t="shared" si="122"/>
        <v>375.23500000000001</v>
      </c>
      <c r="AN155" s="61">
        <f t="shared" si="122"/>
        <v>386.29300000000001</v>
      </c>
      <c r="AO155" s="61">
        <f t="shared" si="122"/>
        <v>409.27199999999999</v>
      </c>
      <c r="AP155" s="61">
        <f t="shared" si="122"/>
        <v>417.32499999999999</v>
      </c>
      <c r="AQ155" s="190">
        <f t="shared" si="122"/>
        <v>417.32499999999999</v>
      </c>
      <c r="AR155" s="110"/>
      <c r="AS155" s="61">
        <f t="shared" si="122"/>
        <v>409.28300000000002</v>
      </c>
      <c r="AT155" s="61">
        <f t="shared" si="122"/>
        <v>407.69600000000003</v>
      </c>
      <c r="AU155" s="61">
        <f t="shared" si="122"/>
        <v>397.70499999999998</v>
      </c>
      <c r="AV155" s="61">
        <f t="shared" si="122"/>
        <v>442.77100000000002</v>
      </c>
      <c r="AW155" s="190">
        <f t="shared" si="122"/>
        <v>442.77100000000002</v>
      </c>
      <c r="AX155" s="110"/>
      <c r="AY155" s="61">
        <f>AY31</f>
        <v>403.13900000000001</v>
      </c>
      <c r="AZ155" s="61">
        <f>AZ31</f>
        <v>401.05599999999998</v>
      </c>
      <c r="BA155" s="61">
        <f>BA31</f>
        <v>395.798</v>
      </c>
      <c r="BB155" s="61">
        <f>BB31</f>
        <v>482.60700000000003</v>
      </c>
      <c r="BC155" s="190">
        <f>BC31</f>
        <v>482.60700000000003</v>
      </c>
      <c r="BD155" s="110"/>
      <c r="BE155" s="61">
        <f>BE31</f>
        <v>486.86399999999998</v>
      </c>
      <c r="BF155" s="61">
        <f>BF31</f>
        <v>487.678</v>
      </c>
      <c r="BG155" s="61">
        <f>BG31</f>
        <v>489.21800000000002</v>
      </c>
      <c r="BH155" s="61">
        <f>BH31</f>
        <v>459.54399999999998</v>
      </c>
      <c r="BI155" s="190">
        <f>BI31</f>
        <v>459.54399999999998</v>
      </c>
      <c r="BJ155" s="110"/>
      <c r="BK155" s="61">
        <f>BK31</f>
        <v>462.96499999999997</v>
      </c>
      <c r="BL155" s="61">
        <f>BL31</f>
        <v>487.685</v>
      </c>
      <c r="BM155" s="61">
        <f>BM31</f>
        <v>496.14499999999998</v>
      </c>
      <c r="BN155" s="61">
        <f>BN31</f>
        <v>848.57</v>
      </c>
      <c r="BO155" s="190">
        <f>BO31</f>
        <v>848.57</v>
      </c>
      <c r="BP155" s="110"/>
      <c r="BQ155" s="61">
        <f>BQ31</f>
        <v>848.57</v>
      </c>
      <c r="BR155" s="61">
        <f>BR31</f>
        <v>848.57</v>
      </c>
      <c r="BS155" s="61">
        <f>BS31</f>
        <v>848.57</v>
      </c>
      <c r="BT155" s="61">
        <f>BT31</f>
        <v>848.57</v>
      </c>
      <c r="BU155" s="190">
        <f>BU31</f>
        <v>848.57</v>
      </c>
      <c r="BV155" s="61"/>
      <c r="BW155" s="61">
        <f>BW31</f>
        <v>848.57</v>
      </c>
      <c r="BX155" s="61">
        <f>BX31</f>
        <v>848.57</v>
      </c>
      <c r="BY155" s="61">
        <f>BY31</f>
        <v>848.57</v>
      </c>
      <c r="BZ155" s="61">
        <f>BZ31</f>
        <v>848.57</v>
      </c>
      <c r="CA155" s="190">
        <f>CA31</f>
        <v>848.57</v>
      </c>
      <c r="CB155" s="61"/>
      <c r="CC155" s="61">
        <f>CC31</f>
        <v>848.57</v>
      </c>
      <c r="CD155" s="61">
        <f>CD31</f>
        <v>848.57</v>
      </c>
      <c r="CE155" s="61">
        <f>CE31</f>
        <v>848.57</v>
      </c>
      <c r="CF155" s="61">
        <f>CF31</f>
        <v>848.57</v>
      </c>
      <c r="CG155" s="190">
        <f>CG31</f>
        <v>848.57</v>
      </c>
      <c r="CH155" s="61"/>
      <c r="CI155" s="61">
        <f>CI31</f>
        <v>848.57</v>
      </c>
      <c r="CJ155" s="61">
        <f>CJ31</f>
        <v>848.57</v>
      </c>
      <c r="CK155" s="61">
        <f>CK31</f>
        <v>848.57</v>
      </c>
      <c r="CL155" s="61">
        <f>CL31</f>
        <v>848.57</v>
      </c>
      <c r="CM155" s="190">
        <f>CM31</f>
        <v>848.57</v>
      </c>
      <c r="CN155" s="98"/>
      <c r="CO155" s="98"/>
      <c r="CP155" s="98"/>
      <c r="CQ155" s="98"/>
      <c r="CR155"/>
      <c r="CS155"/>
      <c r="CT155"/>
      <c r="CU155"/>
      <c r="CV155"/>
      <c r="CW155"/>
    </row>
    <row r="156" spans="1:101" s="228" customFormat="1" ht="11.25" hidden="1" customHeight="1" outlineLevel="1">
      <c r="A156" s="197" t="s">
        <v>321</v>
      </c>
      <c r="B156" s="113"/>
      <c r="C156" s="61">
        <f>SUM(C153:C155)</f>
        <v>776.4</v>
      </c>
      <c r="D156" s="61">
        <f>SUM(D153:D155)</f>
        <v>800.76099999999997</v>
      </c>
      <c r="E156" s="61">
        <f>SUM(E153:E155)</f>
        <v>808.09099999999989</v>
      </c>
      <c r="F156" s="61">
        <f>SUM(F153:F155)</f>
        <v>823.6110000000001</v>
      </c>
      <c r="G156" s="190">
        <f>SUM(G153:G155)</f>
        <v>823.6110000000001</v>
      </c>
      <c r="H156" s="113"/>
      <c r="I156" s="61">
        <f>SUM(I153:I155)</f>
        <v>892.72900000000004</v>
      </c>
      <c r="J156" s="61">
        <f>SUM(J153:J155)</f>
        <v>893.78199999999993</v>
      </c>
      <c r="K156" s="61">
        <f>SUM(K153:K155)</f>
        <v>836.86199999999997</v>
      </c>
      <c r="L156" s="61">
        <f>SUM(L153:L155)</f>
        <v>834.52</v>
      </c>
      <c r="M156" s="190">
        <f>SUM(M153:M155)</f>
        <v>834.52</v>
      </c>
      <c r="N156" s="113"/>
      <c r="O156" s="61">
        <f>SUM(O153:O155)</f>
        <v>782.46300000000008</v>
      </c>
      <c r="P156" s="61">
        <f>SUM(P153:P155)</f>
        <v>827.59100000000001</v>
      </c>
      <c r="Q156" s="61">
        <f>SUM(Q153:Q155)</f>
        <v>859.76099999999997</v>
      </c>
      <c r="R156" s="61">
        <f>SUM(R153:R155)</f>
        <v>807.75900000000001</v>
      </c>
      <c r="S156" s="190">
        <f>SUM(S153:S155)</f>
        <v>807.75900000000001</v>
      </c>
      <c r="T156" s="113"/>
      <c r="U156" s="61">
        <f>SUM(U153:U155)</f>
        <v>860.01</v>
      </c>
      <c r="V156" s="61">
        <f>SUM(V153:V155)</f>
        <v>876.81500000000005</v>
      </c>
      <c r="W156" s="61">
        <f>SUM(W153:W155)</f>
        <v>804.61500000000001</v>
      </c>
      <c r="X156" s="61">
        <f>SUM(X153:X155)</f>
        <v>851.0440000000001</v>
      </c>
      <c r="Y156" s="190">
        <f>SUM(Y153:Y155)</f>
        <v>851.0440000000001</v>
      </c>
      <c r="Z156" s="113"/>
      <c r="AA156" s="61">
        <f>SUM(AA153:AA155)</f>
        <v>880.17499999999995</v>
      </c>
      <c r="AB156" s="61">
        <f>SUM(AB153:AB155)</f>
        <v>966.73900000000003</v>
      </c>
      <c r="AC156" s="61">
        <f>SUM(AC153:AC155)</f>
        <v>947.25099999999998</v>
      </c>
      <c r="AD156" s="61">
        <f>SUM(AD153:AD155)</f>
        <v>1045.645</v>
      </c>
      <c r="AE156" s="190">
        <f>SUM(AE153:AE155)</f>
        <v>1045.645</v>
      </c>
      <c r="AF156" s="113"/>
      <c r="AG156" s="61">
        <f>SUM(AG153:AG155)</f>
        <v>1046.4740000000002</v>
      </c>
      <c r="AH156" s="61">
        <f>SUM(AH153:AH155)</f>
        <v>1003.4490000000001</v>
      </c>
      <c r="AI156" s="61">
        <f>SUM(AI153:AI155)</f>
        <v>1014.09</v>
      </c>
      <c r="AJ156" s="61">
        <f>SUM(AJ153:AJ155)</f>
        <v>1020.3589999999999</v>
      </c>
      <c r="AK156" s="190">
        <f>SUM(AK153:AK155)</f>
        <v>1020.3589999999999</v>
      </c>
      <c r="AL156" s="113"/>
      <c r="AM156" s="61">
        <f>SUM(AM153:AM155)</f>
        <v>940.423</v>
      </c>
      <c r="AN156" s="61">
        <f>SUM(AN153:AN155)</f>
        <v>946.85900000000004</v>
      </c>
      <c r="AO156" s="61">
        <f>SUM(AO153:AO155)</f>
        <v>995.65999999999985</v>
      </c>
      <c r="AP156" s="61">
        <f>SUM(AP153:AP155)</f>
        <v>1014.9590000000001</v>
      </c>
      <c r="AQ156" s="190">
        <f>SUM(AQ153:AQ155)</f>
        <v>1014.9590000000001</v>
      </c>
      <c r="AR156" s="113"/>
      <c r="AS156" s="61">
        <f>SUM(AS153:AS155)</f>
        <v>1009.6940000000001</v>
      </c>
      <c r="AT156" s="61">
        <f>SUM(AT153:AT155)</f>
        <v>982.10900000000004</v>
      </c>
      <c r="AU156" s="61">
        <f>SUM(AU153:AU155)</f>
        <v>961.74</v>
      </c>
      <c r="AV156" s="61">
        <f>SUM(AV153:AV155)</f>
        <v>1036.8690000000001</v>
      </c>
      <c r="AW156" s="190">
        <f>SUM(AW153:AW155)</f>
        <v>1036.8690000000001</v>
      </c>
      <c r="AX156" s="113"/>
      <c r="AY156" s="61">
        <f>SUM(AY153:AY155)</f>
        <v>950.50699999999995</v>
      </c>
      <c r="AZ156" s="61">
        <f>SUM(AZ153:AZ155)</f>
        <v>971.31700000000001</v>
      </c>
      <c r="BA156" s="61">
        <f>SUM(BA153:BA155)</f>
        <v>946.86699999999996</v>
      </c>
      <c r="BB156" s="61">
        <f>SUM(BB153:BB155)</f>
        <v>1040.8689999999999</v>
      </c>
      <c r="BC156" s="190">
        <f>SUM(BC153:BC155)</f>
        <v>1040.8689999999999</v>
      </c>
      <c r="BD156" s="113"/>
      <c r="BE156" s="61">
        <f>SUM(BE153:BE155)</f>
        <v>1038.1759999999999</v>
      </c>
      <c r="BF156" s="61">
        <f>SUM(BF153:BF155)</f>
        <v>1045.6120000000001</v>
      </c>
      <c r="BG156" s="61">
        <f>SUM(BG153:BG155)</f>
        <v>1033.8789999999999</v>
      </c>
      <c r="BH156" s="61">
        <f>SUM(BH153:BH155)</f>
        <v>1034.7559999999999</v>
      </c>
      <c r="BI156" s="190">
        <f>SUM(BI153:BI155)</f>
        <v>1034.7559999999999</v>
      </c>
      <c r="BJ156" s="113"/>
      <c r="BK156" s="61">
        <f>SUM(BK153:BK155)</f>
        <v>1030.4269999999999</v>
      </c>
      <c r="BL156" s="61">
        <f>SUM(BL153:BL155)</f>
        <v>1068.4749999999999</v>
      </c>
      <c r="BM156" s="61">
        <f>SUM(BM153:BM155)</f>
        <v>1090.2089999999998</v>
      </c>
      <c r="BN156" s="61">
        <f>SUM(BN153:BN155)</f>
        <v>1580.0640000000001</v>
      </c>
      <c r="BO156" s="190">
        <f>SUM(BO153:BO155)</f>
        <v>1580.0640000000001</v>
      </c>
      <c r="BP156" s="113"/>
      <c r="BQ156" s="61">
        <f>SUM(BQ153:BQ155)</f>
        <v>1502.8536792014393</v>
      </c>
      <c r="BR156" s="61">
        <f>SUM(BR153:BR155)</f>
        <v>1529.9979487360906</v>
      </c>
      <c r="BS156" s="61">
        <f>SUM(BS153:BS155)</f>
        <v>1531.7626903307446</v>
      </c>
      <c r="BT156" s="61">
        <f>SUM(BT153:BT155)</f>
        <v>1667.6067594750098</v>
      </c>
      <c r="BU156" s="190">
        <f>SUM(BU153:BU155)</f>
        <v>1667.6067594750098</v>
      </c>
      <c r="BV156" s="61"/>
      <c r="BW156" s="61">
        <f>SUM(BW153:BW155)</f>
        <v>1494.1447851351004</v>
      </c>
      <c r="BX156" s="61">
        <f>SUM(BX153:BX155)</f>
        <v>1523.5576427020874</v>
      </c>
      <c r="BY156" s="61">
        <f>SUM(BY153:BY155)</f>
        <v>1529.8143737678781</v>
      </c>
      <c r="BZ156" s="61">
        <f>SUM(BZ153:BZ155)</f>
        <v>1669.259592925438</v>
      </c>
      <c r="CA156" s="190">
        <f>SUM(CA153:CA155)</f>
        <v>1669.259592925438</v>
      </c>
      <c r="CB156" s="61"/>
      <c r="CC156" s="61">
        <f>SUM(CC153:CC155)</f>
        <v>1488.9706561169569</v>
      </c>
      <c r="CD156" s="61">
        <f>SUM(CD153:CD155)</f>
        <v>1517.8555423848834</v>
      </c>
      <c r="CE156" s="61">
        <f>SUM(CE153:CE155)</f>
        <v>1523.8462877233787</v>
      </c>
      <c r="CF156" s="61">
        <f>SUM(CF153:CF155)</f>
        <v>1661.8499831809499</v>
      </c>
      <c r="CG156" s="190">
        <f>SUM(CG153:CG155)</f>
        <v>1661.8499831809499</v>
      </c>
      <c r="CH156" s="61"/>
      <c r="CI156" s="61">
        <f>SUM(CI153:CI155)</f>
        <v>1469.9856330722596</v>
      </c>
      <c r="CJ156" s="61">
        <f>SUM(CJ153:CJ155)</f>
        <v>1496.3575858923509</v>
      </c>
      <c r="CK156" s="61">
        <f>SUM(CK153:CK155)</f>
        <v>1505.9635092510691</v>
      </c>
      <c r="CL156" s="61">
        <f>SUM(CL153:CL155)</f>
        <v>1643.6934542400513</v>
      </c>
      <c r="CM156" s="190">
        <f>SUM(CM153:CM155)</f>
        <v>1643.6934542400513</v>
      </c>
      <c r="CN156" s="98"/>
      <c r="CO156" s="98"/>
      <c r="CP156" s="98"/>
      <c r="CQ156" s="98"/>
      <c r="CR156"/>
      <c r="CS156"/>
      <c r="CT156"/>
      <c r="CU156"/>
      <c r="CV156"/>
      <c r="CW156"/>
    </row>
    <row r="157" spans="1:101" s="228" customFormat="1" ht="11.25" hidden="1" customHeight="1" outlineLevel="1">
      <c r="A157" s="197"/>
      <c r="B157" s="113"/>
      <c r="C157" s="72"/>
      <c r="D157" s="72"/>
      <c r="E157" s="72"/>
      <c r="F157" s="72"/>
      <c r="G157" s="164"/>
      <c r="H157" s="113"/>
      <c r="I157" s="72"/>
      <c r="J157" s="72"/>
      <c r="K157" s="72"/>
      <c r="L157" s="72"/>
      <c r="M157" s="164"/>
      <c r="N157" s="113"/>
      <c r="O157" s="72"/>
      <c r="P157" s="72"/>
      <c r="Q157" s="72"/>
      <c r="R157" s="72"/>
      <c r="S157" s="164"/>
      <c r="T157" s="113"/>
      <c r="U157" s="72"/>
      <c r="V157" s="72"/>
      <c r="W157" s="72"/>
      <c r="X157" s="72"/>
      <c r="Y157" s="164"/>
      <c r="Z157" s="113"/>
      <c r="AA157" s="72"/>
      <c r="AB157" s="72"/>
      <c r="AC157" s="72"/>
      <c r="AD157" s="72"/>
      <c r="AE157" s="164"/>
      <c r="AF157" s="113"/>
      <c r="AG157" s="72"/>
      <c r="AH157" s="72"/>
      <c r="AI157" s="72"/>
      <c r="AJ157" s="72"/>
      <c r="AK157" s="165"/>
      <c r="AL157" s="113"/>
      <c r="AM157" s="72"/>
      <c r="AN157" s="72"/>
      <c r="AO157" s="72"/>
      <c r="AP157" s="72"/>
      <c r="AQ157" s="165"/>
      <c r="AR157" s="113"/>
      <c r="AS157" s="72"/>
      <c r="AT157" s="72"/>
      <c r="AU157" s="72"/>
      <c r="AV157" s="72"/>
      <c r="AW157" s="165"/>
      <c r="AX157" s="113"/>
      <c r="AY157" s="72"/>
      <c r="AZ157" s="72"/>
      <c r="BA157" s="72"/>
      <c r="BB157" s="72"/>
      <c r="BC157" s="165"/>
      <c r="BD157" s="113"/>
      <c r="BE157" s="72"/>
      <c r="BF157" s="72"/>
      <c r="BG157" s="72"/>
      <c r="BH157" s="72"/>
      <c r="BI157" s="165"/>
      <c r="BJ157" s="113"/>
      <c r="BK157" s="72"/>
      <c r="BL157" s="72"/>
      <c r="BM157" s="72"/>
      <c r="BN157" s="72"/>
      <c r="BO157" s="165"/>
      <c r="BP157" s="113"/>
      <c r="BQ157" s="72"/>
      <c r="BR157" s="72"/>
      <c r="BS157" s="72"/>
      <c r="BT157" s="72"/>
      <c r="BU157" s="165"/>
      <c r="BV157" s="1794"/>
      <c r="BW157" s="72"/>
      <c r="BX157" s="72"/>
      <c r="BY157" s="72"/>
      <c r="BZ157" s="72"/>
      <c r="CA157" s="165"/>
      <c r="CB157" s="1794"/>
      <c r="CC157" s="72"/>
      <c r="CD157" s="72"/>
      <c r="CE157" s="72"/>
      <c r="CF157" s="72"/>
      <c r="CG157" s="165"/>
      <c r="CH157" s="1794"/>
      <c r="CI157" s="72"/>
      <c r="CJ157" s="72"/>
      <c r="CK157" s="72"/>
      <c r="CL157" s="72"/>
      <c r="CM157" s="165"/>
      <c r="CN157" s="98"/>
      <c r="CO157" s="98"/>
      <c r="CP157" s="98"/>
      <c r="CQ157" s="98"/>
      <c r="CR157"/>
      <c r="CS157"/>
      <c r="CT157"/>
      <c r="CU157"/>
      <c r="CV157"/>
      <c r="CW157"/>
    </row>
    <row r="158" spans="1:101" s="228" customFormat="1" ht="11.25" hidden="1" customHeight="1" outlineLevel="1">
      <c r="A158" s="194" t="s">
        <v>322</v>
      </c>
      <c r="B158" s="110"/>
      <c r="C158" s="61">
        <f>C151-C156</f>
        <v>1595.3850000000002</v>
      </c>
      <c r="D158" s="61">
        <f>D151-D156</f>
        <v>1575.1889999999999</v>
      </c>
      <c r="E158" s="61">
        <f>E151-E156</f>
        <v>1615.7599999999998</v>
      </c>
      <c r="F158" s="61">
        <f>F151-F156</f>
        <v>1872.4549999999997</v>
      </c>
      <c r="G158" s="190">
        <f>G151-G156</f>
        <v>1872.4549999999997</v>
      </c>
      <c r="H158" s="110"/>
      <c r="I158" s="61">
        <f>I151-I156</f>
        <v>1989.8050000000001</v>
      </c>
      <c r="J158" s="61">
        <f>J151-J156</f>
        <v>1982.9380000000003</v>
      </c>
      <c r="K158" s="61">
        <f>K151-K156</f>
        <v>1989.44</v>
      </c>
      <c r="L158" s="61">
        <f>L151-L156</f>
        <v>1900.4839999999999</v>
      </c>
      <c r="M158" s="190">
        <f>M151-M156</f>
        <v>1900.4839999999999</v>
      </c>
      <c r="N158" s="110"/>
      <c r="O158" s="61">
        <f>O151-O156</f>
        <v>1891.0219999999999</v>
      </c>
      <c r="P158" s="61">
        <f>P151-P156</f>
        <v>1942.8209999999999</v>
      </c>
      <c r="Q158" s="61">
        <f>Q151-Q156</f>
        <v>2024.44</v>
      </c>
      <c r="R158" s="61">
        <f>R151-R156</f>
        <v>1858.828</v>
      </c>
      <c r="S158" s="190">
        <f>S151-S156</f>
        <v>1858.828</v>
      </c>
      <c r="T158" s="110"/>
      <c r="U158" s="61">
        <f>U151-U156</f>
        <v>1968.4820000000002</v>
      </c>
      <c r="V158" s="61">
        <f>V151-V156</f>
        <v>2050.2860000000001</v>
      </c>
      <c r="W158" s="61">
        <f>W151-W156</f>
        <v>1979.5420000000001</v>
      </c>
      <c r="X158" s="61">
        <f>X151-X156</f>
        <v>1936.6659999999999</v>
      </c>
      <c r="Y158" s="190">
        <f>Y151-Y156</f>
        <v>1936.6659999999999</v>
      </c>
      <c r="Z158" s="110"/>
      <c r="AA158" s="61">
        <f>AA151-AA156</f>
        <v>2008.4570000000001</v>
      </c>
      <c r="AB158" s="61">
        <f>AB151-AB156</f>
        <v>2232.5039999999999</v>
      </c>
      <c r="AC158" s="61">
        <f>AC151-AC156</f>
        <v>2205.3559999999998</v>
      </c>
      <c r="AD158" s="61">
        <f>AD151-AD156</f>
        <v>2644.904</v>
      </c>
      <c r="AE158" s="190">
        <f>AE151-AE156</f>
        <v>2644.904</v>
      </c>
      <c r="AF158" s="110"/>
      <c r="AG158" s="61">
        <f>AG151-AG156</f>
        <v>2671.692</v>
      </c>
      <c r="AH158" s="61">
        <f>AH151-AH156</f>
        <v>2624.7809999999999</v>
      </c>
      <c r="AI158" s="61">
        <f>AI151-AI156</f>
        <v>2703.7069999999999</v>
      </c>
      <c r="AJ158" s="61">
        <f>AJ151-AJ156</f>
        <v>2708.81</v>
      </c>
      <c r="AK158" s="190">
        <f>AK151-AK156</f>
        <v>2708.81</v>
      </c>
      <c r="AL158" s="110"/>
      <c r="AM158" s="61">
        <f>AM151-AM156</f>
        <v>2740.6720000000005</v>
      </c>
      <c r="AN158" s="61">
        <f>AN151-AN156</f>
        <v>2750.8160000000003</v>
      </c>
      <c r="AO158" s="61">
        <f>AO151-AO156</f>
        <v>2722.3429999999998</v>
      </c>
      <c r="AP158" s="61">
        <f>AP151-AP156</f>
        <v>2757.192</v>
      </c>
      <c r="AQ158" s="190">
        <f>AQ151-AQ156</f>
        <v>2757.192</v>
      </c>
      <c r="AR158" s="110"/>
      <c r="AS158" s="61">
        <f>AS151-AS156</f>
        <v>2735.971</v>
      </c>
      <c r="AT158" s="61">
        <f>AT151-AT156</f>
        <v>2743.8359999999998</v>
      </c>
      <c r="AU158" s="61">
        <f>AU151-AU156</f>
        <v>2717.1970000000001</v>
      </c>
      <c r="AV158" s="61">
        <f>AV151-AV156</f>
        <v>2920.817</v>
      </c>
      <c r="AW158" s="190">
        <f>AW151-AW156</f>
        <v>2920.817</v>
      </c>
      <c r="AX158" s="110"/>
      <c r="AY158" s="61">
        <f>AY151-AY156</f>
        <v>2907.2420000000006</v>
      </c>
      <c r="AZ158" s="61">
        <f>AZ151-AZ156</f>
        <v>2917.6360000000004</v>
      </c>
      <c r="BA158" s="61">
        <f>BA151-BA156</f>
        <v>2888.16</v>
      </c>
      <c r="BB158" s="61">
        <f>BB151-BB156</f>
        <v>2885.9080000000004</v>
      </c>
      <c r="BC158" s="190">
        <f>BC151-BC156</f>
        <v>2885.9080000000004</v>
      </c>
      <c r="BD158" s="110"/>
      <c r="BE158" s="61">
        <f>BE151-BE156</f>
        <v>2960.4349999999999</v>
      </c>
      <c r="BF158" s="61">
        <f>BF151-BF156</f>
        <v>2898.8530000000001</v>
      </c>
      <c r="BG158" s="61">
        <f>BG151-BG156</f>
        <v>2957.4750000000004</v>
      </c>
      <c r="BH158" s="61">
        <f>BH151-BH156</f>
        <v>2755.288</v>
      </c>
      <c r="BI158" s="190">
        <f>BI151-BI156</f>
        <v>2755.288</v>
      </c>
      <c r="BJ158" s="110"/>
      <c r="BK158" s="61">
        <f>BK151-BK156</f>
        <v>2899.6800000000003</v>
      </c>
      <c r="BL158" s="61">
        <f>BL151-BL156</f>
        <v>2920.3210000000004</v>
      </c>
      <c r="BM158" s="61">
        <f>BM151-BM156</f>
        <v>2939.2580000000003</v>
      </c>
      <c r="BN158" s="61">
        <f>BN151-BN156</f>
        <v>4309.2649999999994</v>
      </c>
      <c r="BO158" s="190">
        <f>BO151-BO156</f>
        <v>4309.2649999999994</v>
      </c>
      <c r="BP158" s="110"/>
      <c r="BQ158" s="61">
        <f>BQ151-BQ156</f>
        <v>4233.7367295634212</v>
      </c>
      <c r="BR158" s="61">
        <f>BR151-BR156</f>
        <v>4259.2753989193106</v>
      </c>
      <c r="BS158" s="61">
        <f>BS151-BS156</f>
        <v>4239.9453579190485</v>
      </c>
      <c r="BT158" s="61">
        <f>BT151-BT156</f>
        <v>4233.5425693042325</v>
      </c>
      <c r="BU158" s="190">
        <f>BU151-BU156</f>
        <v>4233.5425693042325</v>
      </c>
      <c r="BV158" s="61"/>
      <c r="BW158" s="61">
        <f>BW151-BW156</f>
        <v>4207.8821103876089</v>
      </c>
      <c r="BX158" s="61">
        <f>BX151-BX156</f>
        <v>4240.2336623572355</v>
      </c>
      <c r="BY158" s="61">
        <f>BY151-BY156</f>
        <v>4219.5408092532498</v>
      </c>
      <c r="BZ158" s="61">
        <f>BZ151-BZ156</f>
        <v>4220.2262844079833</v>
      </c>
      <c r="CA158" s="190">
        <f>CA151-CA156</f>
        <v>4220.2262844079833</v>
      </c>
      <c r="CB158" s="61"/>
      <c r="CC158" s="61">
        <f>CC151-CC156</f>
        <v>4184.3098551111034</v>
      </c>
      <c r="CD158" s="61">
        <f>CD151-CD156</f>
        <v>4225.5533636123255</v>
      </c>
      <c r="CE158" s="61">
        <f>CE151-CE156</f>
        <v>4202.8186086391552</v>
      </c>
      <c r="CF158" s="61">
        <f>CF151-CF156</f>
        <v>4210.6597757271411</v>
      </c>
      <c r="CG158" s="190">
        <f>CG151-CG156</f>
        <v>4210.6597757271411</v>
      </c>
      <c r="CH158" s="61"/>
      <c r="CI158" s="61">
        <f>CI151-CI156</f>
        <v>4160.4011042314405</v>
      </c>
      <c r="CJ158" s="61">
        <f>CJ151-CJ156</f>
        <v>4209.4505368681621</v>
      </c>
      <c r="CK158" s="61">
        <f>CK151-CK156</f>
        <v>4187.2142574598402</v>
      </c>
      <c r="CL158" s="61">
        <f>CL151-CL156</f>
        <v>4204.1641487140287</v>
      </c>
      <c r="CM158" s="190">
        <f>CM151-CM156</f>
        <v>4204.1641487140287</v>
      </c>
      <c r="CN158" s="98"/>
      <c r="CO158" s="98"/>
      <c r="CP158" s="98"/>
      <c r="CQ158" s="98"/>
      <c r="CR158"/>
      <c r="CS158"/>
      <c r="CT158"/>
      <c r="CU158"/>
      <c r="CV158"/>
      <c r="CW158"/>
    </row>
    <row r="159" spans="1:101" s="228" customFormat="1" ht="11.25" hidden="1" customHeight="1" outlineLevel="1">
      <c r="A159" s="198" t="s">
        <v>323</v>
      </c>
      <c r="B159" s="811"/>
      <c r="C159" s="812"/>
      <c r="D159" s="812">
        <f>D139*4/C158</f>
        <v>1.0963873923849099</v>
      </c>
      <c r="E159" s="812">
        <f>E139*4/D158</f>
        <v>1.1063256536199784</v>
      </c>
      <c r="F159" s="812">
        <f>F139*4/E158</f>
        <v>1.1900158439372186</v>
      </c>
      <c r="G159" s="813"/>
      <c r="H159" s="812">
        <f>H139*4/G158</f>
        <v>0</v>
      </c>
      <c r="I159" s="812">
        <f>I139*4/G158</f>
        <v>0.97993276206904845</v>
      </c>
      <c r="J159" s="812">
        <f>J139*4/I158</f>
        <v>1.0151044951640991</v>
      </c>
      <c r="K159" s="812">
        <f>K139*4/J158</f>
        <v>0.96573266536825642</v>
      </c>
      <c r="L159" s="812">
        <f>L139*4/K158</f>
        <v>1.0050466462924239</v>
      </c>
      <c r="M159" s="813">
        <f>M139/G158</f>
        <v>1.0373023650768645</v>
      </c>
      <c r="N159" s="811"/>
      <c r="O159" s="812">
        <f>O139*4/M158</f>
        <v>0.91588668991688438</v>
      </c>
      <c r="P159" s="812">
        <f>P139*4/O158</f>
        <v>0.92705425954854037</v>
      </c>
      <c r="Q159" s="812">
        <f>Q139*4/P158</f>
        <v>0.7762650290479669</v>
      </c>
      <c r="R159" s="812">
        <f>R139*4/Q158</f>
        <v>0.59335519946256732</v>
      </c>
      <c r="S159" s="813">
        <f>S139/M158</f>
        <v>0.81598477019538185</v>
      </c>
      <c r="T159" s="811"/>
      <c r="U159" s="812">
        <f>U139*4/S158</f>
        <v>0.8470283425900621</v>
      </c>
      <c r="V159" s="812">
        <f>V139*4/U158</f>
        <v>0.85709699148887308</v>
      </c>
      <c r="W159" s="812">
        <f>W139*4/V158</f>
        <v>0.81808098967656229</v>
      </c>
      <c r="X159" s="812">
        <f>X139*4/W158</f>
        <v>0.95040165856546588</v>
      </c>
      <c r="Y159" s="813">
        <f>Y139/S158</f>
        <v>0.91728766728282551</v>
      </c>
      <c r="Z159" s="811"/>
      <c r="AA159" s="812">
        <f>AA139*4/Y158</f>
        <v>0.99798106643065976</v>
      </c>
      <c r="AB159" s="812">
        <f>AB139*4/AA158</f>
        <v>1.0427766190662784</v>
      </c>
      <c r="AC159" s="812">
        <f>AC139*4/AB158</f>
        <v>0.89550029921558938</v>
      </c>
      <c r="AD159" s="812">
        <f>AD139*4/AC158</f>
        <v>1.0045670630954822</v>
      </c>
      <c r="AE159" s="813">
        <f>AE139/Y158</f>
        <v>1.0639113817250883</v>
      </c>
      <c r="AF159" s="811"/>
      <c r="AG159" s="812">
        <f>AG139*4/AE158</f>
        <v>0.78242991049958721</v>
      </c>
      <c r="AH159" s="812">
        <f>AH139*4/AG158</f>
        <v>0.79687778381639807</v>
      </c>
      <c r="AI159" s="812">
        <f>AI139*4/AH158</f>
        <v>0.7845850758596622</v>
      </c>
      <c r="AJ159" s="812">
        <f>AJ139*4/AI158</f>
        <v>0.85363835652309972</v>
      </c>
      <c r="AK159" s="813">
        <f>AK139/AE158</f>
        <v>0.80965282671885241</v>
      </c>
      <c r="AL159" s="811"/>
      <c r="AM159" s="812">
        <f>AM139*4/AK158</f>
        <v>0.74912599997785012</v>
      </c>
      <c r="AN159" s="812">
        <f>AN139*4/AM158</f>
        <v>0.79465474161081662</v>
      </c>
      <c r="AO159" s="812">
        <f>AO139*4/AN158</f>
        <v>0.76049415251329067</v>
      </c>
      <c r="AP159" s="812">
        <f>AP139*4/AO158</f>
        <v>0.87280552083260654</v>
      </c>
      <c r="AQ159" s="813">
        <f>AQ139/AK158</f>
        <v>0.80064525406359255</v>
      </c>
      <c r="AR159" s="811"/>
      <c r="AS159" s="812">
        <f>AS139*4/AQ158</f>
        <v>0.77192019707006299</v>
      </c>
      <c r="AT159" s="812">
        <f>AT139*4/AS158</f>
        <v>0.81374343076004829</v>
      </c>
      <c r="AU159" s="812">
        <f>AU139*4/AT158</f>
        <v>0.79144285037443951</v>
      </c>
      <c r="AV159" s="812">
        <f>AV139*4/AU158</f>
        <v>0.89595754171199238</v>
      </c>
      <c r="AW159" s="813">
        <f>AW139/AQ158</f>
        <v>0.81249266910567008</v>
      </c>
      <c r="AX159" s="811"/>
      <c r="AY159" s="812">
        <f>AY139*4/AW158</f>
        <v>0.66339246861408985</v>
      </c>
      <c r="AZ159" s="812">
        <f>AZ139*4/AY158</f>
        <v>0.72297111833139427</v>
      </c>
      <c r="BA159" s="812">
        <f>BA139*4/AZ158</f>
        <v>0.72068345742923368</v>
      </c>
      <c r="BB159" s="812">
        <f>BB139*4/BA158</f>
        <v>0.78952966594648499</v>
      </c>
      <c r="BC159" s="813">
        <f>BC139/AW158</f>
        <v>0.72090103556641849</v>
      </c>
      <c r="BD159" s="811"/>
      <c r="BE159" s="812">
        <f>BE139*4/BC158</f>
        <v>0.69051542876626693</v>
      </c>
      <c r="BF159" s="812">
        <f>BF139*4/BE158</f>
        <v>0.72478267551896935</v>
      </c>
      <c r="BG159" s="812">
        <f>BG139*4/BF158</f>
        <v>0.71016364058474157</v>
      </c>
      <c r="BH159" s="812">
        <f>BH139*4/BG158</f>
        <v>0.76680817251202449</v>
      </c>
      <c r="BI159" s="813">
        <f>BI139/BC158</f>
        <v>0.7332971113424267</v>
      </c>
      <c r="BJ159" s="811"/>
      <c r="BK159" s="812">
        <f>BK139*4/BI158</f>
        <v>0.74663701217440781</v>
      </c>
      <c r="BL159" s="812">
        <f>BL139*4/BK158</f>
        <v>0.75477018153727304</v>
      </c>
      <c r="BM159" s="812">
        <f>BM139*4/BL158</f>
        <v>0.7594507590090267</v>
      </c>
      <c r="BN159" s="812">
        <f>BN139*4/BM158</f>
        <v>0.87344356977169058</v>
      </c>
      <c r="BO159" s="813">
        <f>BO139/BI158</f>
        <v>0.81941597393811461</v>
      </c>
      <c r="BP159" s="811"/>
      <c r="BQ159" s="812">
        <f>BQ139*4/BO158</f>
        <v>0.57890121437614273</v>
      </c>
      <c r="BR159" s="812">
        <f>BR139*4/BQ158</f>
        <v>0.64800689708139469</v>
      </c>
      <c r="BS159" s="812">
        <f>BS139*4/BR158</f>
        <v>0.6412993741619718</v>
      </c>
      <c r="BT159" s="812">
        <f>BT139*4/BS158</f>
        <v>0.72265339690813668</v>
      </c>
      <c r="BU159" s="813">
        <f>BU139/BO158</f>
        <v>0.64010979285725389</v>
      </c>
      <c r="BV159" s="1795"/>
      <c r="BW159" s="812">
        <f>BW139*4/BU158</f>
        <v>0.62680111849693398</v>
      </c>
      <c r="BX159" s="812">
        <f>BX139*4/BW158</f>
        <v>0.69777305806001799</v>
      </c>
      <c r="BY159" s="812">
        <f>BY139*4/BX158</f>
        <v>0.69294781097105951</v>
      </c>
      <c r="BZ159" s="812">
        <f>BZ139*4/BY158</f>
        <v>0.78186138137698624</v>
      </c>
      <c r="CA159" s="813">
        <f>CA139/BU158</f>
        <v>0.69841583215406156</v>
      </c>
      <c r="CB159" s="1795"/>
      <c r="CC159" s="812">
        <f>CC139*4/CA158</f>
        <v>0.67411267302382449</v>
      </c>
      <c r="CD159" s="812">
        <f>CD139*4/CC158</f>
        <v>0.75373215756378753</v>
      </c>
      <c r="CE159" s="812">
        <f>CE139*4/CD158</f>
        <v>0.74523966191932189</v>
      </c>
      <c r="CF159" s="812">
        <f>CF139*4/CE158</f>
        <v>0.83729738376316287</v>
      </c>
      <c r="CG159" s="813">
        <f>CG139/CA158</f>
        <v>0.75036354974139108</v>
      </c>
      <c r="CH159" s="1795"/>
      <c r="CI159" s="812">
        <f>CI139*4/CG158</f>
        <v>0.71190963096821835</v>
      </c>
      <c r="CJ159" s="812">
        <f>CJ139*4/CI158</f>
        <v>0.79883104195896015</v>
      </c>
      <c r="CK159" s="812">
        <f>CK139*4/CJ158</f>
        <v>0.79119867226119445</v>
      </c>
      <c r="CL159" s="812">
        <f>CL139*4/CK158</f>
        <v>0.88816033397502292</v>
      </c>
      <c r="CM159" s="813">
        <f>CM139/CG158</f>
        <v>0.79384804266641629</v>
      </c>
      <c r="CN159" s="96"/>
      <c r="CO159" s="96"/>
      <c r="CP159" s="96"/>
      <c r="CQ159" s="96"/>
      <c r="CR159"/>
      <c r="CS159"/>
      <c r="CT159"/>
      <c r="CU159"/>
      <c r="CV159"/>
      <c r="CW159"/>
    </row>
    <row r="160" spans="1:101" ht="11.25" hidden="1" customHeight="1" outlineLevel="1"/>
    <row r="161" spans="1:101" collapsed="1"/>
    <row r="162" spans="1:101">
      <c r="A162" s="2253" t="s">
        <v>259</v>
      </c>
      <c r="B162" s="2254"/>
      <c r="C162" s="2254"/>
      <c r="D162" s="2254"/>
      <c r="E162" s="2254"/>
      <c r="F162" s="2254"/>
      <c r="G162" s="2255"/>
      <c r="H162" s="2254"/>
      <c r="I162" s="2254"/>
      <c r="J162" s="2254"/>
      <c r="K162" s="2254"/>
      <c r="L162" s="2254"/>
      <c r="M162" s="2254"/>
      <c r="N162" s="2254"/>
      <c r="O162" s="2254"/>
      <c r="P162" s="2254"/>
      <c r="Q162" s="2254"/>
      <c r="R162" s="2254"/>
      <c r="S162" s="2254"/>
      <c r="T162" s="2254"/>
      <c r="U162" s="2254"/>
      <c r="V162" s="2254"/>
      <c r="W162" s="2254"/>
      <c r="X162" s="2254"/>
      <c r="Y162" s="2254"/>
      <c r="Z162" s="2254"/>
      <c r="AA162" s="2254"/>
      <c r="AB162" s="2254"/>
      <c r="AC162" s="2254"/>
      <c r="AD162" s="2254"/>
      <c r="AE162" s="2254"/>
      <c r="AF162" s="2254"/>
      <c r="AG162" s="2254"/>
      <c r="AH162" s="2254"/>
      <c r="AI162" s="2254"/>
      <c r="AJ162" s="2254"/>
      <c r="AK162" s="2254"/>
      <c r="AL162" s="2254"/>
      <c r="AM162" s="2254"/>
      <c r="AN162" s="2254"/>
      <c r="AO162" s="2254"/>
      <c r="AP162" s="2254"/>
      <c r="AQ162" s="2254"/>
      <c r="AR162" s="2254"/>
      <c r="AS162" s="2254"/>
      <c r="AT162" s="2254"/>
      <c r="AU162" s="2254"/>
      <c r="AV162" s="2254"/>
      <c r="AW162" s="2254"/>
      <c r="AX162" s="2254"/>
      <c r="AY162" s="2254"/>
      <c r="AZ162" s="2254"/>
      <c r="BA162" s="2254"/>
      <c r="BB162" s="2254"/>
      <c r="BC162" s="2254"/>
      <c r="BD162" s="2254"/>
      <c r="BE162" s="2254"/>
      <c r="BF162" s="2254"/>
      <c r="BG162" s="2254"/>
      <c r="BH162" s="2254"/>
      <c r="BI162" s="2254"/>
      <c r="BJ162" s="2254"/>
      <c r="BK162" s="2254"/>
      <c r="BL162" s="2254"/>
      <c r="BM162" s="2254"/>
      <c r="BN162" s="2254"/>
      <c r="BO162" s="2254"/>
      <c r="BP162" s="2254"/>
      <c r="BQ162" s="2254"/>
      <c r="BR162" s="2254"/>
      <c r="BS162" s="2254"/>
      <c r="BT162" s="2254"/>
      <c r="BU162" s="2254"/>
      <c r="BV162" s="2254"/>
      <c r="BW162" s="2254"/>
      <c r="BX162" s="2254"/>
      <c r="BY162" s="2254"/>
      <c r="BZ162" s="2254"/>
      <c r="CA162" s="2254"/>
      <c r="CB162" s="2254"/>
      <c r="CC162" s="2254"/>
      <c r="CD162" s="2254"/>
      <c r="CE162" s="2254"/>
      <c r="CF162" s="2254"/>
      <c r="CG162" s="2254"/>
      <c r="CH162" s="2254"/>
      <c r="CI162" s="2254"/>
      <c r="CJ162" s="2254"/>
      <c r="CK162" s="2254"/>
      <c r="CL162" s="2254"/>
      <c r="CM162" s="2254"/>
    </row>
    <row r="163" spans="1:101" s="228" customFormat="1">
      <c r="A163" s="228" t="s">
        <v>307</v>
      </c>
      <c r="C163" s="2261">
        <v>402.9</v>
      </c>
      <c r="D163" s="2262">
        <v>437.28999999999996</v>
      </c>
      <c r="E163" s="2262">
        <v>435.66800000000001</v>
      </c>
      <c r="F163" s="2262">
        <v>480.69500000000005</v>
      </c>
      <c r="G163" s="2263">
        <v>1756.5529999999999</v>
      </c>
      <c r="I163" s="2261">
        <v>458.71999999999997</v>
      </c>
      <c r="J163" s="2262">
        <v>504.96500000000003</v>
      </c>
      <c r="K163" s="2262">
        <v>478.74700000000001</v>
      </c>
      <c r="L163" s="2262">
        <v>499.87</v>
      </c>
      <c r="M163" s="2263">
        <v>1942.3019999999999</v>
      </c>
      <c r="O163" s="2261">
        <v>435.15699999999998</v>
      </c>
      <c r="P163" s="2262">
        <v>438.27</v>
      </c>
      <c r="Q163" s="2262">
        <v>377.036</v>
      </c>
      <c r="R163" s="2262">
        <v>300.30299999999994</v>
      </c>
      <c r="S163" s="2263">
        <v>1550.7660000000001</v>
      </c>
      <c r="U163" s="2261">
        <v>393.62</v>
      </c>
      <c r="V163" s="2262">
        <v>421.79500000000002</v>
      </c>
      <c r="W163" s="2262">
        <v>419.32500000000005</v>
      </c>
      <c r="X163" s="2262">
        <v>470.33999999999992</v>
      </c>
      <c r="Y163" s="2263">
        <v>1705.08</v>
      </c>
      <c r="AA163" s="2261">
        <v>483.18900000000002</v>
      </c>
      <c r="AB163" s="2262">
        <v>523.59300000000007</v>
      </c>
      <c r="AC163" s="2262">
        <v>499.80200000000002</v>
      </c>
      <c r="AD163" s="2262">
        <v>553.85699999999997</v>
      </c>
      <c r="AE163" s="2263">
        <v>2060.4409999999998</v>
      </c>
      <c r="AG163" s="2261">
        <v>517.36300000000006</v>
      </c>
      <c r="AH163" s="2262">
        <v>532.25300000000004</v>
      </c>
      <c r="AI163" s="2262">
        <v>514.84100000000001</v>
      </c>
      <c r="AJ163" s="2262">
        <v>576.99700000000007</v>
      </c>
      <c r="AK163" s="2263">
        <v>2141.4539999999997</v>
      </c>
      <c r="AM163" s="2261">
        <v>507.31000000000006</v>
      </c>
      <c r="AN163" s="2262">
        <v>544.47200000000009</v>
      </c>
      <c r="AO163" s="2262">
        <v>522.99487066000006</v>
      </c>
      <c r="AP163" s="2262">
        <v>594.01900000000012</v>
      </c>
      <c r="AQ163" s="2263">
        <v>2168.7958706600002</v>
      </c>
      <c r="AS163" s="2261">
        <v>532.0830480000003</v>
      </c>
      <c r="AT163" s="2262">
        <v>556.594607</v>
      </c>
      <c r="AU163" s="2262">
        <v>542.89734620000013</v>
      </c>
      <c r="AV163" s="2262">
        <v>608.62328611680016</v>
      </c>
      <c r="AW163" s="2263">
        <v>2240.1982873168008</v>
      </c>
      <c r="AY163" s="2261">
        <v>484.41200000000003</v>
      </c>
      <c r="AZ163" s="2262">
        <v>525.46299999999997</v>
      </c>
      <c r="BA163" s="2262">
        <v>525.673</v>
      </c>
      <c r="BB163" s="2262">
        <v>570.072</v>
      </c>
      <c r="BC163" s="2263">
        <v>2105.62</v>
      </c>
      <c r="BE163" s="2261">
        <v>498.19100000000003</v>
      </c>
      <c r="BF163" s="2262">
        <v>536.41800000000001</v>
      </c>
      <c r="BG163" s="2262">
        <v>514.66499999999996</v>
      </c>
      <c r="BH163" s="2262">
        <v>566.95399999999995</v>
      </c>
      <c r="BI163" s="2263">
        <v>2116.2280000000001</v>
      </c>
      <c r="BK163" s="2261">
        <v>514.29999999999995</v>
      </c>
      <c r="BL163" s="2262">
        <v>547.14800000000002</v>
      </c>
      <c r="BM163" s="2262">
        <v>554.46</v>
      </c>
      <c r="BN163" s="2262">
        <v>641.81899999999996</v>
      </c>
      <c r="BO163" s="2263">
        <v>2257.7269999999999</v>
      </c>
      <c r="BQ163" s="2261">
        <v>623.65968539215214</v>
      </c>
      <c r="BR163" s="2262">
        <v>685.87265029598109</v>
      </c>
      <c r="BS163" s="2262">
        <v>682.86766192760922</v>
      </c>
      <c r="BT163" s="2262">
        <v>766.00272890127144</v>
      </c>
      <c r="BU163" s="2263">
        <v>2758.4027265170139</v>
      </c>
      <c r="BW163" s="2261">
        <v>663.39730441106917</v>
      </c>
      <c r="BX163" s="2262">
        <v>734.03669203030097</v>
      </c>
      <c r="BY163" s="2262">
        <v>734.56515858406124</v>
      </c>
      <c r="BZ163" s="2262">
        <v>824.77400147482808</v>
      </c>
      <c r="CA163" s="2263">
        <v>2956.7731565002596</v>
      </c>
      <c r="CC163" s="2261">
        <v>711.22700533691716</v>
      </c>
      <c r="CD163" s="2262">
        <v>788.46222375207776</v>
      </c>
      <c r="CE163" s="2262">
        <v>787.26249003012572</v>
      </c>
      <c r="CF163" s="2262">
        <v>879.75225636117523</v>
      </c>
      <c r="CG163" s="2263">
        <v>3166.7039754802959</v>
      </c>
      <c r="CI163" s="2261">
        <v>749.40231176765747</v>
      </c>
      <c r="CJ163" s="2262">
        <v>830.86438726510255</v>
      </c>
      <c r="CK163" s="2262">
        <v>832.62791892981545</v>
      </c>
      <c r="CL163" s="2262">
        <v>929.72940333262727</v>
      </c>
      <c r="CM163" s="2263">
        <v>3342.6240212952025</v>
      </c>
      <c r="CR163"/>
      <c r="CS163"/>
      <c r="CT163"/>
      <c r="CU163"/>
      <c r="CV163"/>
      <c r="CW163"/>
    </row>
    <row r="164" spans="1:101" s="228" customFormat="1">
      <c r="A164" s="228" t="s">
        <v>696</v>
      </c>
      <c r="C164" s="2261">
        <v>43.086999999999975</v>
      </c>
      <c r="D164" s="2262">
        <v>50.774999999999977</v>
      </c>
      <c r="E164" s="2262">
        <v>58.006000000000029</v>
      </c>
      <c r="F164" s="2262">
        <v>71.664000000000044</v>
      </c>
      <c r="G164" s="2263">
        <v>223.53199999999993</v>
      </c>
      <c r="I164" s="2261">
        <v>48.370999999999981</v>
      </c>
      <c r="J164" s="2262">
        <v>59.649000000000058</v>
      </c>
      <c r="K164" s="2262">
        <v>64.183999999999997</v>
      </c>
      <c r="L164" s="2262">
        <v>85.837000000000018</v>
      </c>
      <c r="M164" s="2263">
        <v>258.04100000000005</v>
      </c>
      <c r="O164" s="2261">
        <v>47.991000000000014</v>
      </c>
      <c r="P164" s="2262">
        <v>52.500999999999948</v>
      </c>
      <c r="Q164" s="2262">
        <v>47.546999999999997</v>
      </c>
      <c r="R164" s="2262">
        <v>49.485999999999876</v>
      </c>
      <c r="S164" s="2263">
        <v>197.52499999999986</v>
      </c>
      <c r="U164" s="2261">
        <v>45.820999999999998</v>
      </c>
      <c r="V164" s="2262">
        <v>55.926999999999992</v>
      </c>
      <c r="W164" s="2262">
        <v>57.50800000000001</v>
      </c>
      <c r="X164" s="2262">
        <v>78.394000000000062</v>
      </c>
      <c r="Y164" s="2263">
        <v>237.65000000000009</v>
      </c>
      <c r="AA164" s="2261">
        <v>96.935000000000059</v>
      </c>
      <c r="AB164" s="2262">
        <v>108.64400000000009</v>
      </c>
      <c r="AC164" s="2262">
        <v>104.52699999999999</v>
      </c>
      <c r="AD164" s="2262">
        <v>101.19199999999975</v>
      </c>
      <c r="AE164" s="2263">
        <v>411.29799999999966</v>
      </c>
      <c r="AG164" s="2261">
        <v>78.957000000000079</v>
      </c>
      <c r="AH164" s="2262">
        <v>89.733000000000033</v>
      </c>
      <c r="AI164" s="2262">
        <v>78.273000000000025</v>
      </c>
      <c r="AJ164" s="2262">
        <v>105.58800000000011</v>
      </c>
      <c r="AK164" s="2263">
        <v>352.5509999999997</v>
      </c>
      <c r="AM164" s="2261">
        <v>63.893000000000001</v>
      </c>
      <c r="AN164" s="2262">
        <v>85.432000000000073</v>
      </c>
      <c r="AO164" s="2262">
        <v>82.062870660000073</v>
      </c>
      <c r="AP164" s="2262">
        <v>114.06600000000009</v>
      </c>
      <c r="AQ164" s="2263">
        <v>345.45387065999989</v>
      </c>
      <c r="AS164" s="2261">
        <v>79.464048000000304</v>
      </c>
      <c r="AT164" s="2262">
        <v>93.241607000000016</v>
      </c>
      <c r="AU164" s="2262">
        <v>91.35734620000008</v>
      </c>
      <c r="AV164" s="2262">
        <v>130.59428611680019</v>
      </c>
      <c r="AW164" s="2263">
        <v>394.65728731680076</v>
      </c>
      <c r="AY164" s="2261">
        <v>71.900000000000034</v>
      </c>
      <c r="AZ164" s="2262">
        <v>86.5</v>
      </c>
      <c r="BA164" s="2262">
        <v>86.700000000000017</v>
      </c>
      <c r="BB164" s="2262">
        <v>118.1</v>
      </c>
      <c r="BC164" s="2263">
        <v>363.19999999999982</v>
      </c>
      <c r="BE164" s="2261">
        <v>81.199999999999989</v>
      </c>
      <c r="BF164" s="2262">
        <v>94.000000000000028</v>
      </c>
      <c r="BG164" s="2262">
        <v>97.699999999999989</v>
      </c>
      <c r="BH164" s="2262">
        <v>120.69999999999999</v>
      </c>
      <c r="BI164" s="2263">
        <v>393.59999999999991</v>
      </c>
      <c r="BK164" s="2261">
        <v>84.064999999999941</v>
      </c>
      <c r="BL164" s="2262">
        <v>99.569000000000045</v>
      </c>
      <c r="BM164" s="2262">
        <v>107.00700000000006</v>
      </c>
      <c r="BN164" s="2262">
        <v>137</v>
      </c>
      <c r="BO164" s="2263">
        <v>427.64099999999985</v>
      </c>
      <c r="BQ164" s="2261">
        <v>101.31674757202813</v>
      </c>
      <c r="BR164" s="2262">
        <v>135.10194983858617</v>
      </c>
      <c r="BS164" s="2262">
        <v>142.03181826889846</v>
      </c>
      <c r="BT164" s="2262">
        <v>174.99778043558149</v>
      </c>
      <c r="BU164" s="2263">
        <v>553.44829611509419</v>
      </c>
      <c r="BW164" s="2261">
        <v>114.73800139038173</v>
      </c>
      <c r="BX164" s="2262">
        <v>152.29660063095443</v>
      </c>
      <c r="BY164" s="2262">
        <v>160.49747929378475</v>
      </c>
      <c r="BZ164" s="2262">
        <v>197.0845466335401</v>
      </c>
      <c r="CA164" s="2263">
        <v>624.61662794866095</v>
      </c>
      <c r="CC164" s="2261">
        <v>129.76705256017624</v>
      </c>
      <c r="CD164" s="2262">
        <v>171.07910229923755</v>
      </c>
      <c r="CE164" s="2262">
        <v>179.49048060893006</v>
      </c>
      <c r="CF164" s="2262">
        <v>218.57956696727985</v>
      </c>
      <c r="CG164" s="2263">
        <v>698.91620243562352</v>
      </c>
      <c r="CI164" s="2261">
        <v>143.85165699707974</v>
      </c>
      <c r="CJ164" s="2262">
        <v>188.17265845999083</v>
      </c>
      <c r="CK164" s="2262">
        <v>197.74345435162149</v>
      </c>
      <c r="CL164" s="2262">
        <v>239.82910925806286</v>
      </c>
      <c r="CM164" s="2263">
        <v>769.59687906675458</v>
      </c>
      <c r="CR164"/>
      <c r="CS164"/>
      <c r="CT164"/>
      <c r="CU164"/>
      <c r="CV164"/>
      <c r="CW164"/>
    </row>
    <row r="165" spans="1:101" s="228" customFormat="1">
      <c r="A165" s="228" t="s">
        <v>80</v>
      </c>
      <c r="C165" s="2261">
        <f>IS!C85</f>
        <v>0.24099853037230567</v>
      </c>
      <c r="D165" s="2262">
        <f>IS!D85</f>
        <v>0.24099853037230567</v>
      </c>
      <c r="E165" s="2262">
        <f>IS!E85</f>
        <v>0.24099853037230567</v>
      </c>
      <c r="F165" s="2262">
        <f>IS!F85</f>
        <v>0.24099853037230567</v>
      </c>
      <c r="G165" s="2263">
        <f>IS!G85</f>
        <v>0.24099853037230567</v>
      </c>
      <c r="I165" s="2261">
        <f>IS!I85</f>
        <v>0.27441150974713235</v>
      </c>
      <c r="J165" s="2262">
        <f>IS!J85</f>
        <v>0.27441150974713235</v>
      </c>
      <c r="K165" s="2262">
        <f>IS!K85</f>
        <v>0.27441150974713235</v>
      </c>
      <c r="L165" s="2262">
        <f>IS!L85</f>
        <v>0.27441150974713235</v>
      </c>
      <c r="M165" s="2263">
        <f>IS!M85</f>
        <v>0.27441150974713235</v>
      </c>
      <c r="O165" s="2261">
        <f>IS!O85</f>
        <v>0.30100343901634707</v>
      </c>
      <c r="P165" s="2262">
        <f>IS!P85</f>
        <v>0.30100343901634707</v>
      </c>
      <c r="Q165" s="2262">
        <f>IS!Q85</f>
        <v>0.30100343901634707</v>
      </c>
      <c r="R165" s="2262">
        <f>IS!R85</f>
        <v>0.30100343901634707</v>
      </c>
      <c r="S165" s="2263">
        <f>IS!S85</f>
        <v>0.30100343901634707</v>
      </c>
      <c r="U165" s="2261">
        <f>IS!U85</f>
        <v>0.23444908139075463</v>
      </c>
      <c r="V165" s="2262">
        <f>IS!V85</f>
        <v>0.23444908139075463</v>
      </c>
      <c r="W165" s="2262">
        <f>IS!W85</f>
        <v>0.23444908139075463</v>
      </c>
      <c r="X165" s="2262">
        <f>IS!X85</f>
        <v>0.23444908139075463</v>
      </c>
      <c r="Y165" s="2263">
        <f>IS!Y85</f>
        <v>0.23444908139075463</v>
      </c>
      <c r="AA165" s="2261">
        <f>IS!AA85</f>
        <v>0.28711502004537404</v>
      </c>
      <c r="AB165" s="2262">
        <f>IS!AB85</f>
        <v>0.28711502004537404</v>
      </c>
      <c r="AC165" s="2262">
        <f>IS!AC85</f>
        <v>0.28711502004537404</v>
      </c>
      <c r="AD165" s="2262">
        <f>IS!AD85</f>
        <v>0.28711502004537404</v>
      </c>
      <c r="AE165" s="2263">
        <f>IS!AE85</f>
        <v>0.28711502004537404</v>
      </c>
      <c r="AG165" s="2261">
        <f>IS!AG85</f>
        <v>0.28711502004537404</v>
      </c>
      <c r="AH165" s="2262">
        <f>IS!AH85</f>
        <v>0.28711502004537404</v>
      </c>
      <c r="AI165" s="2262">
        <f>IS!AI85</f>
        <v>0.28711502004537404</v>
      </c>
      <c r="AJ165" s="2262">
        <f>IS!AJ85</f>
        <v>0.20243363491218722</v>
      </c>
      <c r="AK165" s="2263">
        <f>IS!AK85</f>
        <v>0.22134425357376278</v>
      </c>
      <c r="AM165" s="2261">
        <f>IS!AM85</f>
        <v>0.19668094176920836</v>
      </c>
      <c r="AN165" s="2262">
        <f>IS!AN85</f>
        <v>0.21724202601144266</v>
      </c>
      <c r="AO165" s="2262">
        <f>IS!AO85</f>
        <v>0.20384821314066623</v>
      </c>
      <c r="AP165" s="2262">
        <f>IS!AP85</f>
        <v>0.18428361961859291</v>
      </c>
      <c r="AQ165" s="2263">
        <f>IS!AQ85</f>
        <v>0.19924193069190566</v>
      </c>
      <c r="AS165" s="2261">
        <f>IS!AS85</f>
        <v>0.22081835744202238</v>
      </c>
      <c r="AT165" s="2262">
        <f>IS!AT85</f>
        <v>0.20528141708635803</v>
      </c>
      <c r="AU165" s="2262">
        <f>IS!AU85</f>
        <v>0.20802554587702571</v>
      </c>
      <c r="AV165" s="2262">
        <f>IS!AV85</f>
        <v>0.31783063901689296</v>
      </c>
      <c r="AW165" s="2263">
        <f>IS!AW85</f>
        <v>0.25094021470263772</v>
      </c>
      <c r="AY165" s="2261">
        <f>IS!AY85</f>
        <v>0.21820966439126355</v>
      </c>
      <c r="AZ165" s="2262">
        <f>IS!AZ85</f>
        <v>0.20116251622801842</v>
      </c>
      <c r="BA165" s="2262">
        <f>IS!BA85</f>
        <v>0.18380632290589821</v>
      </c>
      <c r="BB165" s="2262">
        <f>IS!BB85</f>
        <v>0.1652772629749957</v>
      </c>
      <c r="BC165" s="2263">
        <f>IS!BC85</f>
        <v>0.18835227003735608</v>
      </c>
      <c r="BE165" s="2261">
        <f>IS!BE85</f>
        <v>0.21592984611947383</v>
      </c>
      <c r="BF165" s="2262">
        <f>IS!BF85</f>
        <v>0.23380087733910818</v>
      </c>
      <c r="BG165" s="2262">
        <f>IS!BG85</f>
        <v>0.19197004727561345</v>
      </c>
      <c r="BH165" s="2262">
        <f>IS!BH85</f>
        <v>0.15934801365839335</v>
      </c>
      <c r="BI165" s="2263">
        <f>IS!BI85</f>
        <v>0.19736395927728373</v>
      </c>
      <c r="BK165" s="2261">
        <f>IS!BK85</f>
        <v>0.16801832507692965</v>
      </c>
      <c r="BL165" s="2262">
        <f>IS!BL85</f>
        <v>0.21790937221821874</v>
      </c>
      <c r="BM165" s="2262">
        <f>IS!BM85</f>
        <v>0.20010075634389327</v>
      </c>
      <c r="BN165" s="2262">
        <f>IS!BN85</f>
        <v>9.7870877181325727E-2</v>
      </c>
      <c r="BO165" s="2263">
        <f>IS!BO85</f>
        <v>0.16676262387688076</v>
      </c>
      <c r="BQ165" s="2261">
        <f>IS!BQ85</f>
        <v>0.185</v>
      </c>
      <c r="BR165" s="2262">
        <f>IS!BR85</f>
        <v>0.185</v>
      </c>
      <c r="BS165" s="2262">
        <f>IS!BS85</f>
        <v>0.185</v>
      </c>
      <c r="BT165" s="2262">
        <f>IS!BT85</f>
        <v>0.185</v>
      </c>
      <c r="BU165" s="2263">
        <f>IS!BU85</f>
        <v>0.18500000000000003</v>
      </c>
      <c r="BW165" s="2261">
        <f>IS!BW85</f>
        <v>0.185</v>
      </c>
      <c r="BX165" s="2262">
        <f>IS!BX85</f>
        <v>0.185</v>
      </c>
      <c r="BY165" s="2262">
        <f>IS!BY85</f>
        <v>0.185</v>
      </c>
      <c r="BZ165" s="2262">
        <f>IS!BZ85</f>
        <v>0.185</v>
      </c>
      <c r="CA165" s="2263">
        <f>IS!CA85</f>
        <v>0.18500000000000003</v>
      </c>
      <c r="CC165" s="2261">
        <f>IS!CC85</f>
        <v>0.185</v>
      </c>
      <c r="CD165" s="2262">
        <f>IS!CD85</f>
        <v>0.185</v>
      </c>
      <c r="CE165" s="2262">
        <f>IS!CE85</f>
        <v>0.185</v>
      </c>
      <c r="CF165" s="2262">
        <f>IS!CF85</f>
        <v>0.185</v>
      </c>
      <c r="CG165" s="2263">
        <f>IS!CG85</f>
        <v>0.18500000000000003</v>
      </c>
      <c r="CI165" s="2261">
        <f>IS!CI85</f>
        <v>0.185</v>
      </c>
      <c r="CJ165" s="2262">
        <f>IS!CJ85</f>
        <v>0.185</v>
      </c>
      <c r="CK165" s="2262">
        <f>IS!CK85</f>
        <v>0.185</v>
      </c>
      <c r="CL165" s="2262">
        <f>IS!CL85</f>
        <v>0.185</v>
      </c>
      <c r="CM165" s="2263">
        <f>IS!CM85</f>
        <v>0.18500000000000008</v>
      </c>
      <c r="CR165"/>
      <c r="CS165"/>
      <c r="CT165"/>
      <c r="CU165"/>
      <c r="CV165"/>
      <c r="CW165"/>
    </row>
    <row r="166" spans="1:101" s="228" customFormat="1">
      <c r="A166" s="228" t="s">
        <v>697</v>
      </c>
      <c r="C166" s="1358">
        <f>C164*C165</f>
        <v>10.383903678151528</v>
      </c>
      <c r="D166" s="911">
        <f t="shared" ref="D166:G166" si="123">D164*D165</f>
        <v>12.236700379653815</v>
      </c>
      <c r="E166" s="911">
        <f t="shared" si="123"/>
        <v>13.979360752775969</v>
      </c>
      <c r="F166" s="911">
        <f t="shared" si="123"/>
        <v>17.270918680600925</v>
      </c>
      <c r="G166" s="1359">
        <f t="shared" si="123"/>
        <v>53.870883491182212</v>
      </c>
      <c r="I166" s="1358">
        <f>I164*I165</f>
        <v>13.273559137978534</v>
      </c>
      <c r="J166" s="911">
        <f t="shared" ref="J166:M166" si="124">J164*J165</f>
        <v>16.368372144906715</v>
      </c>
      <c r="K166" s="911">
        <f t="shared" si="124"/>
        <v>17.612828341609941</v>
      </c>
      <c r="L166" s="911">
        <f t="shared" si="124"/>
        <v>23.554660762164605</v>
      </c>
      <c r="M166" s="1359">
        <f t="shared" si="124"/>
        <v>70.809420386659795</v>
      </c>
      <c r="O166" s="1358">
        <f>O164*O165</f>
        <v>14.445456041833516</v>
      </c>
      <c r="P166" s="911">
        <f t="shared" ref="P166:S166" si="125">P164*P165</f>
        <v>15.802981551797222</v>
      </c>
      <c r="Q166" s="911">
        <f t="shared" si="125"/>
        <v>14.311810514910253</v>
      </c>
      <c r="R166" s="911">
        <f t="shared" si="125"/>
        <v>14.895456183162914</v>
      </c>
      <c r="S166" s="1359">
        <f t="shared" si="125"/>
        <v>59.455704291703917</v>
      </c>
      <c r="U166" s="1358">
        <f>U164*U165</f>
        <v>10.742691358405768</v>
      </c>
      <c r="V166" s="911">
        <f t="shared" ref="V166:Y166" si="126">V164*V165</f>
        <v>13.112033774940732</v>
      </c>
      <c r="W166" s="911">
        <f t="shared" si="126"/>
        <v>13.482697772619519</v>
      </c>
      <c r="X166" s="911">
        <f t="shared" si="126"/>
        <v>18.379401286546834</v>
      </c>
      <c r="Y166" s="1359">
        <f t="shared" si="126"/>
        <v>55.71682419251286</v>
      </c>
      <c r="AA166" s="1358">
        <f>AA164*AA165</f>
        <v>27.831494468098349</v>
      </c>
      <c r="AB166" s="911">
        <f t="shared" ref="AB166:AE166" si="127">AB164*AB165</f>
        <v>31.193324237809644</v>
      </c>
      <c r="AC166" s="911">
        <f t="shared" si="127"/>
        <v>30.011271700282808</v>
      </c>
      <c r="AD166" s="911">
        <f t="shared" si="127"/>
        <v>29.053743108431419</v>
      </c>
      <c r="AE166" s="1359">
        <f t="shared" si="127"/>
        <v>118.08983351462216</v>
      </c>
      <c r="AG166" s="1358">
        <f>AG164*AG165</f>
        <v>22.669740637722619</v>
      </c>
      <c r="AH166" s="911">
        <f t="shared" ref="AH166:AK166" si="128">AH164*AH165</f>
        <v>25.763692093731557</v>
      </c>
      <c r="AI166" s="911">
        <f t="shared" si="128"/>
        <v>22.473353964011569</v>
      </c>
      <c r="AJ166" s="911">
        <f t="shared" si="128"/>
        <v>21.374562643108046</v>
      </c>
      <c r="AK166" s="1359">
        <f t="shared" si="128"/>
        <v>78.035137941683573</v>
      </c>
      <c r="AM166" s="1358">
        <f>AM164*AM165</f>
        <v>12.566535412460031</v>
      </c>
      <c r="AN166" s="911">
        <f t="shared" ref="AN166:AQ166" si="129">AN164*AN165</f>
        <v>18.559420766209584</v>
      </c>
      <c r="AO166" s="911">
        <f t="shared" si="129"/>
        <v>16.728369549234621</v>
      </c>
      <c r="AP166" s="911">
        <f t="shared" si="129"/>
        <v>21.020495355414436</v>
      </c>
      <c r="AQ166" s="1359">
        <f t="shared" si="129"/>
        <v>68.828896155290238</v>
      </c>
      <c r="AS166" s="1358">
        <f>AS164*AS165</f>
        <v>17.547120555054089</v>
      </c>
      <c r="AT166" s="911">
        <f t="shared" ref="AT166:AW166" si="130">AT164*AT165</f>
        <v>19.140769216369282</v>
      </c>
      <c r="AU166" s="911">
        <f t="shared" si="130"/>
        <v>19.004661813131438</v>
      </c>
      <c r="AV166" s="911">
        <f t="shared" si="130"/>
        <v>41.506865408457557</v>
      </c>
      <c r="AW166" s="1359">
        <f t="shared" si="130"/>
        <v>99.03538441323856</v>
      </c>
      <c r="AY166" s="1358">
        <f>AY164*AY165</f>
        <v>15.689274869731856</v>
      </c>
      <c r="AZ166" s="911">
        <f t="shared" ref="AZ166:BC166" si="131">AZ164*AZ165</f>
        <v>17.400557653723595</v>
      </c>
      <c r="BA166" s="911">
        <f t="shared" si="131"/>
        <v>15.936008195941378</v>
      </c>
      <c r="BB166" s="911">
        <f t="shared" si="131"/>
        <v>19.519244757346993</v>
      </c>
      <c r="BC166" s="1359">
        <f t="shared" si="131"/>
        <v>68.409544477567692</v>
      </c>
      <c r="BE166" s="1358">
        <f>BE164*BE165</f>
        <v>17.533503504901272</v>
      </c>
      <c r="BF166" s="911">
        <f t="shared" ref="BF166:BI166" si="132">BF164*BF165</f>
        <v>21.977282469876176</v>
      </c>
      <c r="BG166" s="911">
        <f t="shared" si="132"/>
        <v>18.75547361882743</v>
      </c>
      <c r="BH166" s="911">
        <f t="shared" si="132"/>
        <v>19.233305248568076</v>
      </c>
      <c r="BI166" s="1359">
        <f t="shared" si="132"/>
        <v>77.682454371538853</v>
      </c>
      <c r="BK166" s="1358">
        <f>BK164*BK165</f>
        <v>14.124460497592082</v>
      </c>
      <c r="BL166" s="911">
        <f t="shared" ref="BL166:BO166" si="133">BL164*BL165</f>
        <v>21.697018282395831</v>
      </c>
      <c r="BM166" s="911">
        <f t="shared" si="133"/>
        <v>21.412181634090999</v>
      </c>
      <c r="BN166" s="911">
        <f t="shared" si="133"/>
        <v>13.408310173841624</v>
      </c>
      <c r="BO166" s="1359">
        <f t="shared" si="133"/>
        <v>71.314535237333146</v>
      </c>
      <c r="BQ166" s="1358">
        <f>BQ164*BQ165</f>
        <v>18.743598300825205</v>
      </c>
      <c r="BR166" s="911">
        <f t="shared" ref="BR166:BU166" si="134">BR164*BR165</f>
        <v>24.993860720138439</v>
      </c>
      <c r="BS166" s="911">
        <f t="shared" si="134"/>
        <v>26.275886379746215</v>
      </c>
      <c r="BT166" s="911">
        <f t="shared" si="134"/>
        <v>32.374589380582577</v>
      </c>
      <c r="BU166" s="1359">
        <f t="shared" si="134"/>
        <v>102.38793478129244</v>
      </c>
      <c r="BW166" s="1358">
        <f>BW164*BW165</f>
        <v>21.22653025722062</v>
      </c>
      <c r="BX166" s="911">
        <f t="shared" ref="BX166:CA166" si="135">BX164*BX165</f>
        <v>28.174871116726568</v>
      </c>
      <c r="BY166" s="911">
        <f t="shared" si="135"/>
        <v>29.692033669350177</v>
      </c>
      <c r="BZ166" s="911">
        <f t="shared" si="135"/>
        <v>36.460641127204916</v>
      </c>
      <c r="CA166" s="1359">
        <f t="shared" si="135"/>
        <v>115.55407617050228</v>
      </c>
      <c r="CC166" s="1358">
        <f>CC164*CC165</f>
        <v>24.006904723632605</v>
      </c>
      <c r="CD166" s="911">
        <f t="shared" ref="CD166:CG166" si="136">CD164*CD165</f>
        <v>31.649633925358945</v>
      </c>
      <c r="CE166" s="911">
        <f t="shared" si="136"/>
        <v>33.205738912652059</v>
      </c>
      <c r="CF166" s="911">
        <f t="shared" si="136"/>
        <v>40.437219888946771</v>
      </c>
      <c r="CG166" s="1359">
        <f t="shared" si="136"/>
        <v>129.29949745059037</v>
      </c>
      <c r="CI166" s="1358">
        <f>CI164*CI165</f>
        <v>26.612556544459753</v>
      </c>
      <c r="CJ166" s="911">
        <f t="shared" ref="CJ166:CM166" si="137">CJ164*CJ165</f>
        <v>34.811941815098301</v>
      </c>
      <c r="CK166" s="911">
        <f t="shared" si="137"/>
        <v>36.582539055049978</v>
      </c>
      <c r="CL166" s="911">
        <f t="shared" si="137"/>
        <v>44.368385212741629</v>
      </c>
      <c r="CM166" s="1359">
        <f t="shared" si="137"/>
        <v>142.37542262734965</v>
      </c>
      <c r="CR166"/>
      <c r="CS166"/>
      <c r="CT166"/>
      <c r="CU166"/>
      <c r="CV166"/>
      <c r="CW166"/>
    </row>
    <row r="167" spans="1:101" s="228" customFormat="1">
      <c r="A167" s="856" t="s">
        <v>698</v>
      </c>
      <c r="B167" s="856"/>
      <c r="C167" s="2256">
        <f>C164-C166</f>
        <v>32.703096321848449</v>
      </c>
      <c r="D167" s="2257">
        <f t="shared" ref="D167:G167" si="138">D164-D166</f>
        <v>38.538299620346166</v>
      </c>
      <c r="E167" s="2257">
        <f t="shared" si="138"/>
        <v>44.026639247224061</v>
      </c>
      <c r="F167" s="2257">
        <f t="shared" si="138"/>
        <v>54.393081319399116</v>
      </c>
      <c r="G167" s="2258">
        <f t="shared" si="138"/>
        <v>169.66111650881771</v>
      </c>
      <c r="H167" s="856"/>
      <c r="I167" s="2256">
        <f>I164-I166</f>
        <v>35.097440862021443</v>
      </c>
      <c r="J167" s="2257">
        <f t="shared" ref="J167:M167" si="139">J164-J166</f>
        <v>43.280627855093343</v>
      </c>
      <c r="K167" s="2257">
        <f t="shared" si="139"/>
        <v>46.571171658390057</v>
      </c>
      <c r="L167" s="2257">
        <f t="shared" si="139"/>
        <v>62.282339237835416</v>
      </c>
      <c r="M167" s="2258">
        <f t="shared" si="139"/>
        <v>187.23157961334027</v>
      </c>
      <c r="N167" s="856"/>
      <c r="O167" s="2256">
        <f>O164-O166</f>
        <v>33.545543958166498</v>
      </c>
      <c r="P167" s="2257">
        <f t="shared" ref="P167:S167" si="140">P164-P166</f>
        <v>36.698018448202724</v>
      </c>
      <c r="Q167" s="2257">
        <f t="shared" si="140"/>
        <v>33.235189485089748</v>
      </c>
      <c r="R167" s="2257">
        <f t="shared" si="140"/>
        <v>34.590543816836963</v>
      </c>
      <c r="S167" s="2258">
        <f t="shared" si="140"/>
        <v>138.06929570829595</v>
      </c>
      <c r="T167" s="856"/>
      <c r="U167" s="2256">
        <f>U164-U166</f>
        <v>35.078308641594234</v>
      </c>
      <c r="V167" s="2257">
        <f t="shared" ref="V167:Y167" si="141">V164-V166</f>
        <v>42.814966225059258</v>
      </c>
      <c r="W167" s="2257">
        <f t="shared" si="141"/>
        <v>44.025302227380493</v>
      </c>
      <c r="X167" s="2257">
        <f t="shared" si="141"/>
        <v>60.014598713453225</v>
      </c>
      <c r="Y167" s="2258">
        <f t="shared" si="141"/>
        <v>181.93317580748723</v>
      </c>
      <c r="Z167" s="856"/>
      <c r="AA167" s="2256">
        <f>AA164-AA166</f>
        <v>69.103505531901703</v>
      </c>
      <c r="AB167" s="2257">
        <f t="shared" ref="AB167:AE167" si="142">AB164-AB166</f>
        <v>77.450675762190443</v>
      </c>
      <c r="AC167" s="2257">
        <f t="shared" si="142"/>
        <v>74.515728299717182</v>
      </c>
      <c r="AD167" s="2257">
        <f t="shared" si="142"/>
        <v>72.138256891568332</v>
      </c>
      <c r="AE167" s="2258">
        <f t="shared" si="142"/>
        <v>293.20816648537749</v>
      </c>
      <c r="AF167" s="856"/>
      <c r="AG167" s="2256">
        <f>AG164-AG166</f>
        <v>56.28725936227746</v>
      </c>
      <c r="AH167" s="2257">
        <f t="shared" ref="AH167:AK167" si="143">AH164-AH166</f>
        <v>63.969307906268476</v>
      </c>
      <c r="AI167" s="2257">
        <f t="shared" si="143"/>
        <v>55.799646035988459</v>
      </c>
      <c r="AJ167" s="2257">
        <f t="shared" si="143"/>
        <v>84.213437356892058</v>
      </c>
      <c r="AK167" s="2258">
        <f t="shared" si="143"/>
        <v>274.51586205831615</v>
      </c>
      <c r="AL167" s="856"/>
      <c r="AM167" s="2256">
        <f>AM164-AM166</f>
        <v>51.326464587539974</v>
      </c>
      <c r="AN167" s="2257">
        <f t="shared" ref="AN167:AQ167" si="144">AN164-AN166</f>
        <v>66.872579233790489</v>
      </c>
      <c r="AO167" s="2257">
        <f t="shared" si="144"/>
        <v>65.334501110765444</v>
      </c>
      <c r="AP167" s="2257">
        <f t="shared" si="144"/>
        <v>93.045504644585648</v>
      </c>
      <c r="AQ167" s="2258">
        <f t="shared" si="144"/>
        <v>276.62497450470966</v>
      </c>
      <c r="AR167" s="856"/>
      <c r="AS167" s="2256">
        <f>AS164-AS166</f>
        <v>61.916927444946211</v>
      </c>
      <c r="AT167" s="2257">
        <f t="shared" ref="AT167:AW167" si="145">AT164-AT166</f>
        <v>74.100837783630737</v>
      </c>
      <c r="AU167" s="2257">
        <f t="shared" si="145"/>
        <v>72.352684386868646</v>
      </c>
      <c r="AV167" s="2257">
        <f t="shared" si="145"/>
        <v>89.087420708342634</v>
      </c>
      <c r="AW167" s="2258">
        <f t="shared" si="145"/>
        <v>295.62190290356222</v>
      </c>
      <c r="AX167" s="856"/>
      <c r="AY167" s="2256">
        <f>AY164-AY166</f>
        <v>56.21072513026818</v>
      </c>
      <c r="AZ167" s="2257">
        <f t="shared" ref="AZ167:BC167" si="146">AZ164-AZ166</f>
        <v>69.099442346276405</v>
      </c>
      <c r="BA167" s="2257">
        <f t="shared" si="146"/>
        <v>70.763991804058634</v>
      </c>
      <c r="BB167" s="2257">
        <f t="shared" si="146"/>
        <v>98.580755242652998</v>
      </c>
      <c r="BC167" s="2258">
        <f t="shared" si="146"/>
        <v>294.79045552243213</v>
      </c>
      <c r="BD167" s="856"/>
      <c r="BE167" s="2256">
        <f>BE164-BE166</f>
        <v>63.666496495098713</v>
      </c>
      <c r="BF167" s="2257">
        <f t="shared" ref="BF167:BI167" si="147">BF164-BF166</f>
        <v>72.022717530123856</v>
      </c>
      <c r="BG167" s="2257">
        <f t="shared" si="147"/>
        <v>78.944526381172551</v>
      </c>
      <c r="BH167" s="2257">
        <f t="shared" si="147"/>
        <v>101.46669475143192</v>
      </c>
      <c r="BI167" s="2258">
        <f t="shared" si="147"/>
        <v>315.91754562846108</v>
      </c>
      <c r="BJ167" s="856"/>
      <c r="BK167" s="2256">
        <f>BK164-BK166</f>
        <v>69.940539502407859</v>
      </c>
      <c r="BL167" s="2257">
        <f t="shared" ref="BL167:BO167" si="148">BL164-BL166</f>
        <v>77.871981717604214</v>
      </c>
      <c r="BM167" s="2257">
        <f t="shared" si="148"/>
        <v>85.594818365909063</v>
      </c>
      <c r="BN167" s="2257">
        <f t="shared" si="148"/>
        <v>123.59168982615837</v>
      </c>
      <c r="BO167" s="2258">
        <f t="shared" si="148"/>
        <v>356.32646476266672</v>
      </c>
      <c r="BP167" s="856"/>
      <c r="BQ167" s="2256">
        <f>BQ164-BQ166</f>
        <v>82.573149271202936</v>
      </c>
      <c r="BR167" s="2257">
        <f t="shared" ref="BR167:BU167" si="149">BR164-BR166</f>
        <v>110.10808911844772</v>
      </c>
      <c r="BS167" s="2257">
        <f t="shared" si="149"/>
        <v>115.75593188915225</v>
      </c>
      <c r="BT167" s="2257">
        <f t="shared" si="149"/>
        <v>142.62319105499893</v>
      </c>
      <c r="BU167" s="2258">
        <f t="shared" si="149"/>
        <v>451.06036133380178</v>
      </c>
      <c r="BV167" s="856"/>
      <c r="BW167" s="2256">
        <f>BW164-BW166</f>
        <v>93.511471133161109</v>
      </c>
      <c r="BX167" s="2257">
        <f t="shared" ref="BX167:CA167" si="150">BX164-BX166</f>
        <v>124.12172951422787</v>
      </c>
      <c r="BY167" s="2257">
        <f t="shared" si="150"/>
        <v>130.80544562443458</v>
      </c>
      <c r="BZ167" s="2257">
        <f t="shared" si="150"/>
        <v>160.62390550633518</v>
      </c>
      <c r="CA167" s="2258">
        <f t="shared" si="150"/>
        <v>509.06255177815865</v>
      </c>
      <c r="CB167" s="856"/>
      <c r="CC167" s="2256">
        <f>CC164-CC166</f>
        <v>105.76014783654364</v>
      </c>
      <c r="CD167" s="2257">
        <f t="shared" ref="CD167:CG167" si="151">CD164-CD166</f>
        <v>139.42946837387859</v>
      </c>
      <c r="CE167" s="2257">
        <f t="shared" si="151"/>
        <v>146.28474169627799</v>
      </c>
      <c r="CF167" s="2257">
        <f t="shared" si="151"/>
        <v>178.14234707833307</v>
      </c>
      <c r="CG167" s="2258">
        <f t="shared" si="151"/>
        <v>569.61670498503315</v>
      </c>
      <c r="CH167" s="856"/>
      <c r="CI167" s="2256">
        <f>CI164-CI166</f>
        <v>117.23910045261999</v>
      </c>
      <c r="CJ167" s="2257">
        <f t="shared" ref="CJ167:CM167" si="152">CJ164-CJ166</f>
        <v>153.36071664489253</v>
      </c>
      <c r="CK167" s="2257">
        <f t="shared" si="152"/>
        <v>161.16091529657152</v>
      </c>
      <c r="CL167" s="2257">
        <f t="shared" si="152"/>
        <v>195.46072404532123</v>
      </c>
      <c r="CM167" s="2258">
        <f t="shared" si="152"/>
        <v>627.22145643940496</v>
      </c>
      <c r="CR167"/>
      <c r="CS167"/>
      <c r="CT167"/>
      <c r="CU167"/>
      <c r="CV167"/>
      <c r="CW167"/>
    </row>
    <row r="168" spans="1:101" s="228" customFormat="1">
      <c r="A168" s="856" t="s">
        <v>699</v>
      </c>
      <c r="B168" s="856"/>
      <c r="C168" s="2259">
        <f>C167/C163</f>
        <v>8.1169263643207867E-2</v>
      </c>
      <c r="D168" s="2233">
        <f t="shared" ref="D168:G168" si="153">D167/D163</f>
        <v>8.8129844314633693E-2</v>
      </c>
      <c r="E168" s="2233">
        <f t="shared" si="153"/>
        <v>0.10105548088733637</v>
      </c>
      <c r="F168" s="2233">
        <f t="shared" si="153"/>
        <v>0.11315508028874673</v>
      </c>
      <c r="G168" s="2232">
        <f t="shared" si="153"/>
        <v>9.6587530526444532E-2</v>
      </c>
      <c r="H168" s="856"/>
      <c r="I168" s="2259">
        <f>I167/I163</f>
        <v>7.6511686567015708E-2</v>
      </c>
      <c r="J168" s="2233">
        <f t="shared" ref="J168:M168" si="154">J167/J163</f>
        <v>8.5710153882137055E-2</v>
      </c>
      <c r="K168" s="2233">
        <f t="shared" si="154"/>
        <v>9.7277208334235102E-2</v>
      </c>
      <c r="L168" s="2233">
        <f t="shared" si="154"/>
        <v>0.12459707371483669</v>
      </c>
      <c r="M168" s="2232">
        <f t="shared" si="154"/>
        <v>9.6396739339886531E-2</v>
      </c>
      <c r="N168" s="856"/>
      <c r="O168" s="2259">
        <f>O167/O163</f>
        <v>7.7088370308110638E-2</v>
      </c>
      <c r="P168" s="2233">
        <f t="shared" ref="P168:S168" si="155">P167/P163</f>
        <v>8.3733813512681055E-2</v>
      </c>
      <c r="Q168" s="2233">
        <f t="shared" si="155"/>
        <v>8.8148583915301851E-2</v>
      </c>
      <c r="R168" s="2233">
        <f t="shared" si="155"/>
        <v>0.11518547539264333</v>
      </c>
      <c r="S168" s="2232">
        <f t="shared" si="155"/>
        <v>8.9032965455972043E-2</v>
      </c>
      <c r="T168" s="856"/>
      <c r="U168" s="2259">
        <f>U167/U163</f>
        <v>8.9117190797200943E-2</v>
      </c>
      <c r="V168" s="2233">
        <f t="shared" ref="V168:Y168" si="156">V167/V163</f>
        <v>0.10150657600270098</v>
      </c>
      <c r="W168" s="2233">
        <f t="shared" si="156"/>
        <v>0.10499088350892623</v>
      </c>
      <c r="X168" s="2233">
        <f t="shared" si="156"/>
        <v>0.12759833038536642</v>
      </c>
      <c r="Y168" s="2232">
        <f t="shared" si="156"/>
        <v>0.10670066847742465</v>
      </c>
      <c r="Z168" s="856"/>
      <c r="AA168" s="2259">
        <f>AA167/AA163</f>
        <v>0.14301547744650997</v>
      </c>
      <c r="AB168" s="2233">
        <f t="shared" ref="AB168:AE168" si="157">AB167/AB163</f>
        <v>0.1479215263805865</v>
      </c>
      <c r="AC168" s="2233">
        <f t="shared" si="157"/>
        <v>0.14909049643602301</v>
      </c>
      <c r="AD168" s="2233">
        <f t="shared" si="157"/>
        <v>0.13024707982668512</v>
      </c>
      <c r="AE168" s="2232">
        <f t="shared" si="157"/>
        <v>0.14230359737812318</v>
      </c>
      <c r="AF168" s="856"/>
      <c r="AG168" s="2259">
        <f>AG167/AG163</f>
        <v>0.10879645309439881</v>
      </c>
      <c r="AH168" s="2233">
        <f t="shared" ref="AH168:AK168" si="158">AH167/AH163</f>
        <v>0.12018590389583238</v>
      </c>
      <c r="AI168" s="2233">
        <f t="shared" si="158"/>
        <v>0.1083822889707472</v>
      </c>
      <c r="AJ168" s="2233">
        <f t="shared" si="158"/>
        <v>0.14595125686423335</v>
      </c>
      <c r="AK168" s="2232">
        <f t="shared" si="158"/>
        <v>0.12819134198461241</v>
      </c>
      <c r="AL168" s="856"/>
      <c r="AM168" s="2259">
        <f>AM167/AM163</f>
        <v>0.10117376867702188</v>
      </c>
      <c r="AN168" s="2233">
        <f t="shared" ref="AN168:AQ168" si="159">AN167/AN163</f>
        <v>0.12282097010276098</v>
      </c>
      <c r="AO168" s="2233">
        <f t="shared" si="159"/>
        <v>0.12492378945957106</v>
      </c>
      <c r="AP168" s="2233">
        <f t="shared" si="159"/>
        <v>0.15663725342890653</v>
      </c>
      <c r="AQ168" s="2232">
        <f t="shared" si="159"/>
        <v>0.12754772279261492</v>
      </c>
      <c r="AR168" s="856"/>
      <c r="AS168" s="2259">
        <f>AS167/AS163</f>
        <v>0.11636703645733547</v>
      </c>
      <c r="AT168" s="2233">
        <f t="shared" ref="AT168:AW168" si="160">AT167/AT163</f>
        <v>0.13313251125990652</v>
      </c>
      <c r="AU168" s="2233">
        <f t="shared" si="160"/>
        <v>0.13327139079477901</v>
      </c>
      <c r="AV168" s="2233">
        <f t="shared" si="160"/>
        <v>0.14637530758434697</v>
      </c>
      <c r="AW168" s="2232">
        <f t="shared" si="160"/>
        <v>0.13196238233787938</v>
      </c>
      <c r="AX168" s="856"/>
      <c r="AY168" s="2259">
        <f>AY167/AY163</f>
        <v>0.11603908476723983</v>
      </c>
      <c r="AZ168" s="2233">
        <f t="shared" ref="AZ168:BC168" si="161">AZ167/AZ163</f>
        <v>0.13150201316986432</v>
      </c>
      <c r="BA168" s="2233">
        <f t="shared" si="161"/>
        <v>0.13461599093744331</v>
      </c>
      <c r="BB168" s="2233">
        <f t="shared" si="161"/>
        <v>0.17292685001658212</v>
      </c>
      <c r="BC168" s="2232">
        <f t="shared" si="161"/>
        <v>0.14000173607888988</v>
      </c>
      <c r="BD168" s="856"/>
      <c r="BE168" s="2259">
        <f>BE167/BE163</f>
        <v>0.12779535659034127</v>
      </c>
      <c r="BF168" s="2233">
        <f t="shared" ref="BF168:BI168" si="162">BF167/BF163</f>
        <v>0.13426603419371433</v>
      </c>
      <c r="BG168" s="2233">
        <f t="shared" si="162"/>
        <v>0.15339012052727999</v>
      </c>
      <c r="BH168" s="2233">
        <f t="shared" si="162"/>
        <v>0.17896812572348361</v>
      </c>
      <c r="BI168" s="2232">
        <f t="shared" si="162"/>
        <v>0.14928332184833631</v>
      </c>
      <c r="BJ168" s="856"/>
      <c r="BK168" s="2259">
        <f>BK167/BK163</f>
        <v>0.13599171592923948</v>
      </c>
      <c r="BL168" s="2233">
        <f t="shared" ref="BL168:BO168" si="163">BL167/BL163</f>
        <v>0.14232343299729544</v>
      </c>
      <c r="BM168" s="2233">
        <f t="shared" si="163"/>
        <v>0.15437510075732977</v>
      </c>
      <c r="BN168" s="2233">
        <f t="shared" si="163"/>
        <v>0.192564710340701</v>
      </c>
      <c r="BO168" s="2232">
        <f t="shared" si="163"/>
        <v>0.15782531048380372</v>
      </c>
      <c r="BP168" s="856"/>
      <c r="BQ168" s="2259">
        <f>BQ167/BQ163</f>
        <v>0.13240097316741198</v>
      </c>
      <c r="BR168" s="2233">
        <f t="shared" ref="BR168:BU168" si="164">BR167/BR163</f>
        <v>0.16053722082507846</v>
      </c>
      <c r="BS168" s="2233">
        <f t="shared" si="164"/>
        <v>0.16951444378314043</v>
      </c>
      <c r="BT168" s="2233">
        <f t="shared" si="164"/>
        <v>0.18619149211070415</v>
      </c>
      <c r="BU168" s="2232">
        <f t="shared" si="164"/>
        <v>0.16352230114829813</v>
      </c>
      <c r="BV168" s="856"/>
      <c r="BW168" s="2259">
        <f>BW167/BW163</f>
        <v>0.14095847316741195</v>
      </c>
      <c r="BX168" s="2233">
        <f t="shared" ref="BX168:CA168" si="165">BX167/BX163</f>
        <v>0.16909472082507851</v>
      </c>
      <c r="BY168" s="2233">
        <f t="shared" si="165"/>
        <v>0.17807194378314042</v>
      </c>
      <c r="BZ168" s="2233">
        <f t="shared" si="165"/>
        <v>0.19474899211070415</v>
      </c>
      <c r="CA168" s="2232">
        <f t="shared" si="165"/>
        <v>0.17216828103942303</v>
      </c>
      <c r="CB168" s="856"/>
      <c r="CC168" s="2259">
        <f>CC167/CC163</f>
        <v>0.1487009731674119</v>
      </c>
      <c r="CD168" s="2233">
        <f t="shared" ref="CD168:CG168" si="166">CD167/CD163</f>
        <v>0.17683722082507844</v>
      </c>
      <c r="CE168" s="2233">
        <f t="shared" si="166"/>
        <v>0.18581444378314049</v>
      </c>
      <c r="CF168" s="2233">
        <f t="shared" si="166"/>
        <v>0.20249149211070414</v>
      </c>
      <c r="CG168" s="2232">
        <f t="shared" si="166"/>
        <v>0.17987684020848177</v>
      </c>
      <c r="CH168" s="856"/>
      <c r="CI168" s="2259">
        <f>CI167/CI163</f>
        <v>0.15644347316741194</v>
      </c>
      <c r="CJ168" s="2233">
        <f t="shared" ref="CJ168:CM168" si="167">CJ167/CJ163</f>
        <v>0.18457972082507851</v>
      </c>
      <c r="CK168" s="2233">
        <f t="shared" si="167"/>
        <v>0.19355694378314045</v>
      </c>
      <c r="CL168" s="2233">
        <f t="shared" si="167"/>
        <v>0.21023399211070415</v>
      </c>
      <c r="CM168" s="2232">
        <f t="shared" si="167"/>
        <v>0.18764343594837468</v>
      </c>
      <c r="CR168"/>
      <c r="CS168"/>
      <c r="CT168"/>
      <c r="CU168"/>
      <c r="CV168"/>
      <c r="CW168"/>
    </row>
    <row r="169" spans="1:101" s="228" customFormat="1">
      <c r="C169" s="418"/>
      <c r="D169" s="353"/>
      <c r="E169" s="353"/>
      <c r="F169" s="353"/>
      <c r="G169" s="865"/>
      <c r="I169" s="418"/>
      <c r="J169" s="353"/>
      <c r="K169" s="353"/>
      <c r="L169" s="353"/>
      <c r="M169" s="865"/>
      <c r="O169" s="418"/>
      <c r="P169" s="353"/>
      <c r="Q169" s="353"/>
      <c r="R169" s="353"/>
      <c r="S169" s="865"/>
      <c r="U169" s="418"/>
      <c r="V169" s="353"/>
      <c r="W169" s="353"/>
      <c r="X169" s="353"/>
      <c r="Y169" s="865"/>
      <c r="AA169" s="418"/>
      <c r="AB169" s="353"/>
      <c r="AC169" s="353"/>
      <c r="AD169" s="353"/>
      <c r="AE169" s="865"/>
      <c r="AG169" s="418"/>
      <c r="AH169" s="353"/>
      <c r="AI169" s="353"/>
      <c r="AJ169" s="353"/>
      <c r="AK169" s="865"/>
      <c r="AM169" s="418"/>
      <c r="AN169" s="353"/>
      <c r="AO169" s="353"/>
      <c r="AP169" s="353"/>
      <c r="AQ169" s="865"/>
      <c r="AS169" s="418"/>
      <c r="AT169" s="353"/>
      <c r="AU169" s="353"/>
      <c r="AV169" s="353"/>
      <c r="AW169" s="865"/>
      <c r="AY169" s="418"/>
      <c r="AZ169" s="353"/>
      <c r="BA169" s="353"/>
      <c r="BB169" s="353"/>
      <c r="BC169" s="865"/>
      <c r="BE169" s="418"/>
      <c r="BF169" s="353"/>
      <c r="BG169" s="353"/>
      <c r="BH169" s="353"/>
      <c r="BI169" s="865"/>
      <c r="BK169" s="418"/>
      <c r="BL169" s="353"/>
      <c r="BM169" s="353"/>
      <c r="BN169" s="353"/>
      <c r="BO169" s="865"/>
      <c r="BQ169" s="418"/>
      <c r="BR169" s="353"/>
      <c r="BS169" s="353"/>
      <c r="BT169" s="353"/>
      <c r="BU169" s="865"/>
      <c r="BW169" s="418"/>
      <c r="BX169" s="353"/>
      <c r="BY169" s="353"/>
      <c r="BZ169" s="353"/>
      <c r="CA169" s="865"/>
      <c r="CC169" s="418"/>
      <c r="CD169" s="353"/>
      <c r="CE169" s="353"/>
      <c r="CF169" s="353"/>
      <c r="CG169" s="865"/>
      <c r="CI169" s="418"/>
      <c r="CJ169" s="353"/>
      <c r="CK169" s="353"/>
      <c r="CL169" s="353"/>
      <c r="CM169" s="865"/>
      <c r="CR169"/>
      <c r="CS169"/>
      <c r="CT169"/>
      <c r="CU169"/>
      <c r="CV169"/>
      <c r="CW169"/>
    </row>
    <row r="170" spans="1:101" s="228" customFormat="1">
      <c r="A170" s="856" t="s">
        <v>700</v>
      </c>
      <c r="C170" s="418"/>
      <c r="D170" s="353"/>
      <c r="E170" s="353"/>
      <c r="F170" s="353"/>
      <c r="G170" s="865"/>
      <c r="I170" s="418"/>
      <c r="J170" s="353"/>
      <c r="K170" s="353"/>
      <c r="L170" s="353"/>
      <c r="M170" s="865"/>
      <c r="O170" s="418"/>
      <c r="P170" s="353"/>
      <c r="Q170" s="353"/>
      <c r="R170" s="353"/>
      <c r="S170" s="865"/>
      <c r="U170" s="418"/>
      <c r="V170" s="353"/>
      <c r="W170" s="353"/>
      <c r="X170" s="353"/>
      <c r="Y170" s="865"/>
      <c r="AA170" s="418"/>
      <c r="AB170" s="353"/>
      <c r="AC170" s="353"/>
      <c r="AD170" s="353"/>
      <c r="AE170" s="865"/>
      <c r="AG170" s="418"/>
      <c r="AH170" s="353"/>
      <c r="AI170" s="353"/>
      <c r="AJ170" s="353"/>
      <c r="AK170" s="865"/>
      <c r="AM170" s="418"/>
      <c r="AN170" s="353"/>
      <c r="AO170" s="353"/>
      <c r="AP170" s="353"/>
      <c r="AQ170" s="865"/>
      <c r="AS170" s="418"/>
      <c r="AT170" s="353"/>
      <c r="AU170" s="353"/>
      <c r="AV170" s="353"/>
      <c r="AW170" s="865"/>
      <c r="AY170" s="418"/>
      <c r="AZ170" s="353"/>
      <c r="BA170" s="353"/>
      <c r="BB170" s="353"/>
      <c r="BC170" s="865"/>
      <c r="BE170" s="418"/>
      <c r="BF170" s="353"/>
      <c r="BG170" s="353"/>
      <c r="BH170" s="353"/>
      <c r="BI170" s="865"/>
      <c r="BK170" s="418"/>
      <c r="BL170" s="353"/>
      <c r="BM170" s="353"/>
      <c r="BN170" s="353"/>
      <c r="BO170" s="865"/>
      <c r="BQ170" s="418"/>
      <c r="BR170" s="353"/>
      <c r="BS170" s="353"/>
      <c r="BT170" s="353"/>
      <c r="BU170" s="865"/>
      <c r="BW170" s="418"/>
      <c r="BX170" s="353"/>
      <c r="BY170" s="353"/>
      <c r="BZ170" s="353"/>
      <c r="CA170" s="865"/>
      <c r="CC170" s="418"/>
      <c r="CD170" s="353"/>
      <c r="CE170" s="353"/>
      <c r="CF170" s="353"/>
      <c r="CG170" s="865"/>
      <c r="CI170" s="418"/>
      <c r="CJ170" s="353"/>
      <c r="CK170" s="353"/>
      <c r="CL170" s="353"/>
      <c r="CM170" s="865"/>
      <c r="CR170"/>
      <c r="CS170"/>
      <c r="CT170"/>
      <c r="CU170"/>
      <c r="CV170"/>
      <c r="CW170"/>
    </row>
    <row r="171" spans="1:101" s="228" customFormat="1">
      <c r="A171" s="228" t="s">
        <v>253</v>
      </c>
      <c r="C171" s="2264">
        <f t="shared" ref="C171" si="168">C46</f>
        <v>179.74600000000001</v>
      </c>
      <c r="D171" s="2265">
        <f>D46</f>
        <v>235.40199999999999</v>
      </c>
      <c r="E171" s="434">
        <f t="shared" ref="E171:G171" si="169">E46</f>
        <v>247.03</v>
      </c>
      <c r="F171" s="434">
        <f t="shared" si="169"/>
        <v>516.64</v>
      </c>
      <c r="G171" s="2266">
        <f t="shared" si="169"/>
        <v>516.64</v>
      </c>
      <c r="I171" s="2264">
        <f t="shared" ref="I171" si="170">I46</f>
        <v>566.61699999999996</v>
      </c>
      <c r="J171" s="2265">
        <f>J46</f>
        <v>521.10199999999998</v>
      </c>
      <c r="K171" s="434">
        <f t="shared" ref="K171:M171" si="171">K46</f>
        <v>544.08999999999992</v>
      </c>
      <c r="L171" s="434">
        <f t="shared" si="171"/>
        <v>509.08000000000004</v>
      </c>
      <c r="M171" s="2266">
        <f t="shared" si="171"/>
        <v>509.08000000000004</v>
      </c>
      <c r="O171" s="2264">
        <f t="shared" ref="O171" si="172">O46</f>
        <v>544.06999999999994</v>
      </c>
      <c r="P171" s="2265">
        <f>P46</f>
        <v>524</v>
      </c>
      <c r="Q171" s="434">
        <f t="shared" ref="Q171:S171" si="173">Q46</f>
        <v>576.88</v>
      </c>
      <c r="R171" s="434">
        <f t="shared" si="173"/>
        <v>558.34299999999996</v>
      </c>
      <c r="S171" s="2266">
        <f t="shared" si="173"/>
        <v>558.34299999999996</v>
      </c>
      <c r="U171" s="2264">
        <f t="shared" ref="U171" si="174">U46</f>
        <v>528.30799999999999</v>
      </c>
      <c r="V171" s="2265">
        <f>V46</f>
        <v>620.28500000000008</v>
      </c>
      <c r="W171" s="434">
        <f t="shared" ref="W171:Y171" si="175">W46</f>
        <v>670.28099999999995</v>
      </c>
      <c r="X171" s="434">
        <f t="shared" si="175"/>
        <v>426.255</v>
      </c>
      <c r="Y171" s="2266">
        <f t="shared" si="175"/>
        <v>426.255</v>
      </c>
      <c r="AA171" s="2264">
        <f t="shared" ref="AA171" si="176">AA46</f>
        <v>516.25</v>
      </c>
      <c r="AB171" s="2265">
        <f>AB46</f>
        <v>671</v>
      </c>
      <c r="AC171" s="434">
        <f t="shared" ref="AC171:AE171" si="177">AC46</f>
        <v>508</v>
      </c>
      <c r="AD171" s="434">
        <f t="shared" si="177"/>
        <v>944.90800000000002</v>
      </c>
      <c r="AE171" s="2266">
        <f t="shared" si="177"/>
        <v>944.90800000000002</v>
      </c>
      <c r="AG171" s="2264">
        <f t="shared" ref="AG171" si="178">AG46</f>
        <v>933.971</v>
      </c>
      <c r="AH171" s="2265">
        <f>AH46</f>
        <v>911.04300000000001</v>
      </c>
      <c r="AI171" s="434">
        <f t="shared" ref="AI171:AK171" si="179">AI46</f>
        <v>932.33</v>
      </c>
      <c r="AJ171" s="434">
        <f t="shared" si="179"/>
        <v>940.596</v>
      </c>
      <c r="AK171" s="2266">
        <f t="shared" si="179"/>
        <v>940.596</v>
      </c>
      <c r="AM171" s="2264">
        <f t="shared" ref="AM171" si="180">AM46</f>
        <v>1026.646</v>
      </c>
      <c r="AN171" s="2265">
        <f>AN46</f>
        <v>1004.073</v>
      </c>
      <c r="AO171" s="434">
        <f t="shared" ref="AO171:AQ171" si="181">AO46</f>
        <v>935.91399999999999</v>
      </c>
      <c r="AP171" s="434">
        <f t="shared" si="181"/>
        <v>934.72800000000007</v>
      </c>
      <c r="AQ171" s="2266">
        <f t="shared" si="181"/>
        <v>934.72800000000007</v>
      </c>
      <c r="AS171" s="2264">
        <f t="shared" ref="AS171" si="182">AS46</f>
        <v>929.52300000000002</v>
      </c>
      <c r="AT171" s="2265">
        <f>AT46</f>
        <v>895.33300000000008</v>
      </c>
      <c r="AU171" s="434">
        <f t="shared" ref="AU171:AW171" si="183">AU46</f>
        <v>859.73500000000001</v>
      </c>
      <c r="AV171" s="434">
        <f t="shared" si="183"/>
        <v>1052.9670000000001</v>
      </c>
      <c r="AW171" s="2266">
        <f t="shared" si="183"/>
        <v>1052.9670000000001</v>
      </c>
      <c r="AY171" s="2264">
        <f t="shared" ref="AY171" si="184">AY46</f>
        <v>1015.749</v>
      </c>
      <c r="AZ171" s="2265">
        <f>AZ46</f>
        <v>988.42600000000004</v>
      </c>
      <c r="BA171" s="434">
        <f t="shared" ref="BA171:BC171" si="185">BA46</f>
        <v>1028.376</v>
      </c>
      <c r="BB171" s="434">
        <f t="shared" si="185"/>
        <v>1012.885</v>
      </c>
      <c r="BC171" s="2266">
        <f t="shared" si="185"/>
        <v>1012.885</v>
      </c>
      <c r="BE171" s="2264">
        <f t="shared" ref="BE171" si="186">BE46</f>
        <v>1120.9649999999999</v>
      </c>
      <c r="BF171" s="2265">
        <f>BF46</f>
        <v>1058.0809999999999</v>
      </c>
      <c r="BG171" s="434">
        <f t="shared" ref="BG171:BI171" si="187">BG46</f>
        <v>1133.085</v>
      </c>
      <c r="BH171" s="434">
        <f t="shared" si="187"/>
        <v>1046.4259999999999</v>
      </c>
      <c r="BI171" s="2266">
        <f t="shared" si="187"/>
        <v>1046.4259999999999</v>
      </c>
      <c r="BK171" s="2264">
        <f t="shared" ref="BK171" si="188">BK46</f>
        <v>1054.8639999999998</v>
      </c>
      <c r="BL171" s="2265">
        <f>BL46</f>
        <v>1091.6199999999999</v>
      </c>
      <c r="BM171" s="434">
        <f t="shared" ref="BM171:BO171" si="189">BM46</f>
        <v>1110.5630000000001</v>
      </c>
      <c r="BN171" s="434">
        <f t="shared" si="189"/>
        <v>2006.1090000000002</v>
      </c>
      <c r="BO171" s="2266">
        <f t="shared" si="189"/>
        <v>2006.1090000000002</v>
      </c>
      <c r="BQ171" s="2264">
        <f t="shared" ref="BQ171" si="190">BQ46</f>
        <v>1931.1089999999999</v>
      </c>
      <c r="BR171" s="2265">
        <f>BR46</f>
        <v>2049.509</v>
      </c>
      <c r="BS171" s="434">
        <f t="shared" ref="BS171:BU171" si="191">BS46</f>
        <v>1999.509</v>
      </c>
      <c r="BT171" s="434">
        <f t="shared" si="191"/>
        <v>1849.509</v>
      </c>
      <c r="BU171" s="2266">
        <f t="shared" si="191"/>
        <v>1849.509</v>
      </c>
      <c r="BW171" s="2264">
        <f t="shared" ref="BW171" si="192">BW46</f>
        <v>1749.509</v>
      </c>
      <c r="BX171" s="2265">
        <f>BX46</f>
        <v>1649.509</v>
      </c>
      <c r="BY171" s="434">
        <f t="shared" ref="BY171:CA171" si="193">BY46</f>
        <v>1549.509</v>
      </c>
      <c r="BZ171" s="434">
        <f t="shared" si="193"/>
        <v>1549.509</v>
      </c>
      <c r="CA171" s="2266">
        <f t="shared" si="193"/>
        <v>1549.509</v>
      </c>
      <c r="CC171" s="2264">
        <f t="shared" ref="CC171" si="194">CC46</f>
        <v>1549.509</v>
      </c>
      <c r="CD171" s="2265">
        <f>CD46</f>
        <v>1549.509</v>
      </c>
      <c r="CE171" s="434">
        <f t="shared" ref="CE171:CG171" si="195">CE46</f>
        <v>1549.509</v>
      </c>
      <c r="CF171" s="434">
        <f t="shared" si="195"/>
        <v>1449.509</v>
      </c>
      <c r="CG171" s="2266">
        <f t="shared" si="195"/>
        <v>1449.509</v>
      </c>
      <c r="CI171" s="2264">
        <f t="shared" ref="CI171" si="196">CI46</f>
        <v>1349.509</v>
      </c>
      <c r="CJ171" s="2265">
        <f>CJ46</f>
        <v>1249.509</v>
      </c>
      <c r="CK171" s="434">
        <f t="shared" ref="CK171:CM171" si="197">CK46</f>
        <v>1149.509</v>
      </c>
      <c r="CL171" s="434">
        <f t="shared" si="197"/>
        <v>987.70900000000006</v>
      </c>
      <c r="CM171" s="2266">
        <f t="shared" si="197"/>
        <v>987.70900000000006</v>
      </c>
      <c r="CR171"/>
      <c r="CS171"/>
      <c r="CT171"/>
      <c r="CU171"/>
      <c r="CV171"/>
      <c r="CW171"/>
    </row>
    <row r="172" spans="1:101" s="228" customFormat="1">
      <c r="A172" s="228" t="s">
        <v>701</v>
      </c>
      <c r="C172" s="1835">
        <v>0</v>
      </c>
      <c r="D172" s="1705">
        <v>0</v>
      </c>
      <c r="E172" s="1757">
        <v>0</v>
      </c>
      <c r="F172" s="1757">
        <v>0</v>
      </c>
      <c r="G172" s="2267">
        <v>0</v>
      </c>
      <c r="I172" s="1835">
        <v>0</v>
      </c>
      <c r="J172" s="1705">
        <v>0</v>
      </c>
      <c r="K172" s="1757">
        <v>0</v>
      </c>
      <c r="L172" s="1757">
        <v>0</v>
      </c>
      <c r="M172" s="2267">
        <v>0</v>
      </c>
      <c r="O172" s="1835">
        <v>0</v>
      </c>
      <c r="P172" s="1705">
        <v>0</v>
      </c>
      <c r="Q172" s="1757">
        <v>0</v>
      </c>
      <c r="R172" s="1757">
        <v>0</v>
      </c>
      <c r="S172" s="2267">
        <v>0</v>
      </c>
      <c r="U172" s="1835">
        <v>0</v>
      </c>
      <c r="V172" s="1705">
        <v>0</v>
      </c>
      <c r="W172" s="1757">
        <v>0</v>
      </c>
      <c r="X172" s="1757">
        <v>0</v>
      </c>
      <c r="Y172" s="2267">
        <v>0</v>
      </c>
      <c r="AA172" s="1835">
        <v>0</v>
      </c>
      <c r="AB172" s="1705">
        <v>0</v>
      </c>
      <c r="AC172" s="1757">
        <v>0</v>
      </c>
      <c r="AD172" s="1757">
        <v>0</v>
      </c>
      <c r="AE172" s="2267">
        <v>0</v>
      </c>
      <c r="AG172" s="1835">
        <v>0</v>
      </c>
      <c r="AH172" s="1705">
        <v>0</v>
      </c>
      <c r="AI172" s="1757">
        <v>0</v>
      </c>
      <c r="AJ172" s="1757">
        <v>0</v>
      </c>
      <c r="AK172" s="2267">
        <v>0</v>
      </c>
      <c r="AM172" s="1835">
        <v>0</v>
      </c>
      <c r="AN172" s="1705">
        <v>0</v>
      </c>
      <c r="AO172" s="1757">
        <v>0</v>
      </c>
      <c r="AP172" s="1757">
        <v>0</v>
      </c>
      <c r="AQ172" s="2267">
        <v>0</v>
      </c>
      <c r="AS172" s="1835">
        <v>0</v>
      </c>
      <c r="AT172" s="1705">
        <v>0</v>
      </c>
      <c r="AU172" s="1757">
        <v>0</v>
      </c>
      <c r="AV172" s="1757">
        <v>0</v>
      </c>
      <c r="AW172" s="2267">
        <v>0</v>
      </c>
      <c r="AY172" s="1835">
        <v>0</v>
      </c>
      <c r="AZ172" s="1705">
        <v>0</v>
      </c>
      <c r="BA172" s="1757">
        <v>0</v>
      </c>
      <c r="BB172" s="1757">
        <v>0</v>
      </c>
      <c r="BC172" s="2267">
        <v>0</v>
      </c>
      <c r="BE172" s="1835">
        <v>0</v>
      </c>
      <c r="BF172" s="1705">
        <v>0</v>
      </c>
      <c r="BG172" s="1757">
        <v>0</v>
      </c>
      <c r="BH172" s="1757">
        <v>0</v>
      </c>
      <c r="BI172" s="2267">
        <v>0</v>
      </c>
      <c r="BK172" s="1835">
        <v>0</v>
      </c>
      <c r="BL172" s="1705">
        <v>0</v>
      </c>
      <c r="BM172" s="1757">
        <v>0</v>
      </c>
      <c r="BN172" s="1757">
        <v>0</v>
      </c>
      <c r="BO172" s="2267">
        <v>0</v>
      </c>
      <c r="BQ172" s="1835">
        <v>0</v>
      </c>
      <c r="BR172" s="1705">
        <v>0</v>
      </c>
      <c r="BS172" s="1757">
        <v>0</v>
      </c>
      <c r="BT172" s="1757">
        <v>0</v>
      </c>
      <c r="BU172" s="2267">
        <v>0</v>
      </c>
      <c r="BW172" s="1835">
        <v>0</v>
      </c>
      <c r="BX172" s="1705">
        <v>0</v>
      </c>
      <c r="BY172" s="1757">
        <v>0</v>
      </c>
      <c r="BZ172" s="1757">
        <v>0</v>
      </c>
      <c r="CA172" s="2267">
        <v>0</v>
      </c>
      <c r="CC172" s="1835">
        <v>0</v>
      </c>
      <c r="CD172" s="1705">
        <v>0</v>
      </c>
      <c r="CE172" s="1757">
        <v>0</v>
      </c>
      <c r="CF172" s="1757">
        <v>0</v>
      </c>
      <c r="CG172" s="2267">
        <v>0</v>
      </c>
      <c r="CI172" s="1835">
        <v>0</v>
      </c>
      <c r="CJ172" s="1705">
        <v>0</v>
      </c>
      <c r="CK172" s="1757">
        <v>0</v>
      </c>
      <c r="CL172" s="1757">
        <v>0</v>
      </c>
      <c r="CM172" s="2267">
        <v>0</v>
      </c>
      <c r="CR172"/>
      <c r="CS172"/>
      <c r="CT172"/>
      <c r="CU172"/>
      <c r="CV172"/>
      <c r="CW172"/>
    </row>
    <row r="173" spans="1:101" s="228" customFormat="1">
      <c r="A173" s="228" t="s">
        <v>702</v>
      </c>
      <c r="C173" s="2264">
        <f>C31+C32</f>
        <v>356.755</v>
      </c>
      <c r="D173" s="434">
        <f t="shared" ref="D173:G173" si="198">D31+D32</f>
        <v>351.90300000000002</v>
      </c>
      <c r="E173" s="434">
        <f t="shared" si="198"/>
        <v>363.73399999999998</v>
      </c>
      <c r="F173" s="434">
        <f t="shared" si="198"/>
        <v>310.38400000000001</v>
      </c>
      <c r="G173" s="2266">
        <f t="shared" si="198"/>
        <v>310.38400000000001</v>
      </c>
      <c r="I173" s="2264">
        <f>I31+I32</f>
        <v>336.892</v>
      </c>
      <c r="J173" s="434">
        <f t="shared" ref="J173:M173" si="199">J31+J32</f>
        <v>329.32400000000001</v>
      </c>
      <c r="K173" s="434">
        <f t="shared" si="199"/>
        <v>321.15499999999997</v>
      </c>
      <c r="L173" s="434">
        <f t="shared" si="199"/>
        <v>338.54199999999997</v>
      </c>
      <c r="M173" s="2266">
        <f t="shared" si="199"/>
        <v>338.54199999999997</v>
      </c>
      <c r="O173" s="2264">
        <f>O31+O32</f>
        <v>333.21699999999998</v>
      </c>
      <c r="P173" s="434">
        <f t="shared" ref="P173:S173" si="200">P31+P32</f>
        <v>350.733</v>
      </c>
      <c r="Q173" s="434">
        <f t="shared" si="200"/>
        <v>367.36599999999999</v>
      </c>
      <c r="R173" s="434">
        <f t="shared" si="200"/>
        <v>374.68199999999996</v>
      </c>
      <c r="S173" s="2266">
        <f t="shared" si="200"/>
        <v>374.68199999999996</v>
      </c>
      <c r="U173" s="2264">
        <f>U31+U32</f>
        <v>369.096</v>
      </c>
      <c r="V173" s="434">
        <f t="shared" ref="V173:Y173" si="201">V31+V32</f>
        <v>368.29599999999999</v>
      </c>
      <c r="W173" s="434">
        <f t="shared" si="201"/>
        <v>357</v>
      </c>
      <c r="X173" s="434">
        <f t="shared" si="201"/>
        <v>344.35300000000001</v>
      </c>
      <c r="Y173" s="2266">
        <f t="shared" si="201"/>
        <v>344.35300000000001</v>
      </c>
      <c r="AA173" s="2264">
        <f>AA31+AA32</f>
        <v>372.95400000000001</v>
      </c>
      <c r="AB173" s="434">
        <f t="shared" ref="AB173:AE173" si="202">AB31+AB32</f>
        <v>409.04599999999999</v>
      </c>
      <c r="AC173" s="434">
        <f t="shared" si="202"/>
        <v>430.84100000000001</v>
      </c>
      <c r="AD173" s="434">
        <f t="shared" si="202"/>
        <v>447.00799999999998</v>
      </c>
      <c r="AE173" s="2266">
        <f t="shared" si="202"/>
        <v>447.00799999999998</v>
      </c>
      <c r="AG173" s="2264">
        <f>AG31+AG32</f>
        <v>444.89800000000002</v>
      </c>
      <c r="AH173" s="434">
        <f t="shared" ref="AH173:AK173" si="203">AH31+AH32</f>
        <v>416.87900000000002</v>
      </c>
      <c r="AI173" s="434">
        <f t="shared" si="203"/>
        <v>434.39400000000001</v>
      </c>
      <c r="AJ173" s="434">
        <f t="shared" si="203"/>
        <v>442.02600000000001</v>
      </c>
      <c r="AK173" s="2266">
        <f t="shared" si="203"/>
        <v>442.02600000000001</v>
      </c>
      <c r="AM173" s="2264">
        <f>AM31+AM32</f>
        <v>381.024</v>
      </c>
      <c r="AN173" s="434">
        <f t="shared" ref="AN173:AQ173" si="204">AN31+AN32</f>
        <v>386.29300000000001</v>
      </c>
      <c r="AO173" s="434">
        <f t="shared" si="204"/>
        <v>409.27199999999999</v>
      </c>
      <c r="AP173" s="434">
        <f t="shared" si="204"/>
        <v>417.32499999999999</v>
      </c>
      <c r="AQ173" s="2266">
        <f t="shared" si="204"/>
        <v>417.32499999999999</v>
      </c>
      <c r="AS173" s="2264">
        <f>AS31+AS32</f>
        <v>409.28300000000002</v>
      </c>
      <c r="AT173" s="434">
        <f t="shared" ref="AT173:AW173" si="205">AT31+AT32</f>
        <v>407.69600000000003</v>
      </c>
      <c r="AU173" s="434">
        <f t="shared" si="205"/>
        <v>397.70499999999998</v>
      </c>
      <c r="AV173" s="434">
        <f t="shared" si="205"/>
        <v>442.77100000000002</v>
      </c>
      <c r="AW173" s="2266">
        <f t="shared" si="205"/>
        <v>442.77100000000002</v>
      </c>
      <c r="AY173" s="2264">
        <f>AY31+AY32</f>
        <v>403.13900000000001</v>
      </c>
      <c r="AZ173" s="434">
        <f t="shared" ref="AZ173:BC173" si="206">AZ31+AZ32</f>
        <v>401.05599999999998</v>
      </c>
      <c r="BA173" s="434">
        <f t="shared" si="206"/>
        <v>395.798</v>
      </c>
      <c r="BB173" s="434">
        <f t="shared" si="206"/>
        <v>482.60700000000003</v>
      </c>
      <c r="BC173" s="2266">
        <f t="shared" si="206"/>
        <v>482.60700000000003</v>
      </c>
      <c r="BE173" s="2264">
        <f>BE31+BE32</f>
        <v>486.86399999999998</v>
      </c>
      <c r="BF173" s="434">
        <f t="shared" ref="BF173:BI173" si="207">BF31+BF32</f>
        <v>487.678</v>
      </c>
      <c r="BG173" s="434">
        <f t="shared" si="207"/>
        <v>489.21800000000002</v>
      </c>
      <c r="BH173" s="434">
        <f t="shared" si="207"/>
        <v>474.50399999999996</v>
      </c>
      <c r="BI173" s="2266">
        <f t="shared" si="207"/>
        <v>474.50399999999996</v>
      </c>
      <c r="BK173" s="2264">
        <f>BK31+BK32</f>
        <v>478.22899999999998</v>
      </c>
      <c r="BL173" s="434">
        <f t="shared" ref="BL173:BO173" si="208">BL31+BL32</f>
        <v>487.685</v>
      </c>
      <c r="BM173" s="434">
        <f t="shared" si="208"/>
        <v>496.14499999999998</v>
      </c>
      <c r="BN173" s="434">
        <f t="shared" si="208"/>
        <v>848.57</v>
      </c>
      <c r="BO173" s="2266">
        <f t="shared" si="208"/>
        <v>848.57</v>
      </c>
      <c r="BQ173" s="2264">
        <f>BQ31+BQ32</f>
        <v>848.57</v>
      </c>
      <c r="BR173" s="434">
        <f t="shared" ref="BR173:BU173" si="209">BR31+BR32</f>
        <v>848.57</v>
      </c>
      <c r="BS173" s="434">
        <f t="shared" si="209"/>
        <v>848.57</v>
      </c>
      <c r="BT173" s="434">
        <f t="shared" si="209"/>
        <v>848.57</v>
      </c>
      <c r="BU173" s="2266">
        <f t="shared" si="209"/>
        <v>848.57</v>
      </c>
      <c r="BW173" s="2264">
        <f>BW31+BW32</f>
        <v>848.57</v>
      </c>
      <c r="BX173" s="434">
        <f t="shared" ref="BX173:CA173" si="210">BX31+BX32</f>
        <v>848.57</v>
      </c>
      <c r="BY173" s="434">
        <f t="shared" si="210"/>
        <v>848.57</v>
      </c>
      <c r="BZ173" s="434">
        <f t="shared" si="210"/>
        <v>848.57</v>
      </c>
      <c r="CA173" s="2266">
        <f t="shared" si="210"/>
        <v>848.57</v>
      </c>
      <c r="CC173" s="2264">
        <f>CC31+CC32</f>
        <v>848.57</v>
      </c>
      <c r="CD173" s="434">
        <f t="shared" ref="CD173:CG173" si="211">CD31+CD32</f>
        <v>848.57</v>
      </c>
      <c r="CE173" s="434">
        <f t="shared" si="211"/>
        <v>848.57</v>
      </c>
      <c r="CF173" s="434">
        <f t="shared" si="211"/>
        <v>848.57</v>
      </c>
      <c r="CG173" s="2266">
        <f t="shared" si="211"/>
        <v>848.57</v>
      </c>
      <c r="CI173" s="2264">
        <f>CI31+CI32</f>
        <v>848.57</v>
      </c>
      <c r="CJ173" s="434">
        <f t="shared" ref="CJ173:CM173" si="212">CJ31+CJ32</f>
        <v>848.57</v>
      </c>
      <c r="CK173" s="434">
        <f t="shared" si="212"/>
        <v>848.57</v>
      </c>
      <c r="CL173" s="434">
        <f t="shared" si="212"/>
        <v>848.57</v>
      </c>
      <c r="CM173" s="2266">
        <f t="shared" si="212"/>
        <v>848.57</v>
      </c>
      <c r="CR173"/>
      <c r="CS173"/>
      <c r="CT173"/>
      <c r="CU173"/>
      <c r="CV173"/>
      <c r="CW173"/>
    </row>
    <row r="174" spans="1:101" s="228" customFormat="1">
      <c r="A174" s="863" t="s">
        <v>703</v>
      </c>
      <c r="C174" s="418"/>
      <c r="D174" s="353"/>
      <c r="E174" s="353"/>
      <c r="F174" s="353"/>
      <c r="G174" s="865"/>
      <c r="I174" s="418"/>
      <c r="J174" s="353"/>
      <c r="K174" s="353"/>
      <c r="L174" s="353"/>
      <c r="M174" s="865"/>
      <c r="O174" s="418"/>
      <c r="P174" s="353"/>
      <c r="Q174" s="353"/>
      <c r="R174" s="353"/>
      <c r="S174" s="865"/>
      <c r="U174" s="418"/>
      <c r="V174" s="353"/>
      <c r="W174" s="353"/>
      <c r="X174" s="353"/>
      <c r="Y174" s="865"/>
      <c r="AA174" s="418"/>
      <c r="AB174" s="353"/>
      <c r="AC174" s="353"/>
      <c r="AD174" s="353"/>
      <c r="AE174" s="865"/>
      <c r="AG174" s="418"/>
      <c r="AH174" s="353"/>
      <c r="AI174" s="353"/>
      <c r="AJ174" s="353"/>
      <c r="AK174" s="865"/>
      <c r="AM174" s="418"/>
      <c r="AN174" s="353"/>
      <c r="AO174" s="353"/>
      <c r="AP174" s="353"/>
      <c r="AQ174" s="865"/>
      <c r="AS174" s="418"/>
      <c r="AT174" s="353"/>
      <c r="AU174" s="353"/>
      <c r="AV174" s="353"/>
      <c r="AW174" s="865"/>
      <c r="AY174" s="418"/>
      <c r="AZ174" s="353"/>
      <c r="BA174" s="353"/>
      <c r="BB174" s="353"/>
      <c r="BC174" s="865"/>
      <c r="BE174" s="418"/>
      <c r="BF174" s="353"/>
      <c r="BG174" s="353"/>
      <c r="BH174" s="353"/>
      <c r="BI174" s="865"/>
      <c r="BK174" s="418"/>
      <c r="BL174" s="353"/>
      <c r="BM174" s="353"/>
      <c r="BN174" s="353"/>
      <c r="BO174" s="865"/>
      <c r="BQ174" s="418"/>
      <c r="BR174" s="353"/>
      <c r="BS174" s="353"/>
      <c r="BT174" s="353"/>
      <c r="BU174" s="865"/>
      <c r="BW174" s="418"/>
      <c r="BX174" s="353"/>
      <c r="BY174" s="353"/>
      <c r="BZ174" s="353"/>
      <c r="CA174" s="865"/>
      <c r="CC174" s="418"/>
      <c r="CD174" s="353"/>
      <c r="CE174" s="353"/>
      <c r="CF174" s="353"/>
      <c r="CG174" s="865"/>
      <c r="CI174" s="418"/>
      <c r="CJ174" s="353"/>
      <c r="CK174" s="353"/>
      <c r="CL174" s="353"/>
      <c r="CM174" s="865"/>
      <c r="CR174"/>
      <c r="CS174"/>
      <c r="CT174"/>
      <c r="CU174"/>
      <c r="CV174"/>
      <c r="CW174"/>
    </row>
    <row r="175" spans="1:101" s="228" customFormat="1">
      <c r="A175" s="856" t="s">
        <v>704</v>
      </c>
      <c r="C175" s="418"/>
      <c r="D175" s="353"/>
      <c r="E175" s="353"/>
      <c r="F175" s="353"/>
      <c r="G175" s="865"/>
      <c r="I175" s="418"/>
      <c r="J175" s="353"/>
      <c r="K175" s="353"/>
      <c r="L175" s="353"/>
      <c r="M175" s="865"/>
      <c r="O175" s="418"/>
      <c r="P175" s="353"/>
      <c r="Q175" s="353"/>
      <c r="R175" s="353"/>
      <c r="S175" s="865"/>
      <c r="U175" s="418"/>
      <c r="V175" s="353"/>
      <c r="W175" s="353"/>
      <c r="X175" s="353"/>
      <c r="Y175" s="865"/>
      <c r="AA175" s="418"/>
      <c r="AB175" s="353"/>
      <c r="AC175" s="353"/>
      <c r="AD175" s="353"/>
      <c r="AE175" s="865"/>
      <c r="AG175" s="418"/>
      <c r="AH175" s="353"/>
      <c r="AI175" s="353"/>
      <c r="AJ175" s="353"/>
      <c r="AK175" s="865"/>
      <c r="AM175" s="418"/>
      <c r="AN175" s="353"/>
      <c r="AO175" s="353"/>
      <c r="AP175" s="353"/>
      <c r="AQ175" s="865"/>
      <c r="AS175" s="418"/>
      <c r="AT175" s="353"/>
      <c r="AU175" s="353"/>
      <c r="AV175" s="353"/>
      <c r="AW175" s="865"/>
      <c r="AY175" s="418"/>
      <c r="AZ175" s="353"/>
      <c r="BA175" s="353"/>
      <c r="BB175" s="353"/>
      <c r="BC175" s="865"/>
      <c r="BE175" s="418"/>
      <c r="BF175" s="353"/>
      <c r="BG175" s="353"/>
      <c r="BH175" s="353"/>
      <c r="BI175" s="865"/>
      <c r="BK175" s="418"/>
      <c r="BL175" s="353"/>
      <c r="BM175" s="353"/>
      <c r="BN175" s="353"/>
      <c r="BO175" s="865"/>
      <c r="BQ175" s="418"/>
      <c r="BR175" s="353"/>
      <c r="BS175" s="353"/>
      <c r="BT175" s="353"/>
      <c r="BU175" s="865"/>
      <c r="BW175" s="418"/>
      <c r="BX175" s="353"/>
      <c r="BY175" s="353"/>
      <c r="BZ175" s="353"/>
      <c r="CA175" s="865"/>
      <c r="CC175" s="418"/>
      <c r="CD175" s="353"/>
      <c r="CE175" s="353"/>
      <c r="CF175" s="353"/>
      <c r="CG175" s="865"/>
      <c r="CI175" s="418"/>
      <c r="CJ175" s="353"/>
      <c r="CK175" s="353"/>
      <c r="CL175" s="353"/>
      <c r="CM175" s="865"/>
      <c r="CR175"/>
      <c r="CS175"/>
      <c r="CT175"/>
      <c r="CU175"/>
      <c r="CV175"/>
      <c r="CW175"/>
    </row>
    <row r="176" spans="1:101" s="228" customFormat="1">
      <c r="A176" s="228" t="s">
        <v>705</v>
      </c>
      <c r="C176" s="1835">
        <v>0</v>
      </c>
      <c r="D176" s="1705">
        <v>0</v>
      </c>
      <c r="E176" s="1757">
        <v>0</v>
      </c>
      <c r="F176" s="1757">
        <v>0</v>
      </c>
      <c r="G176" s="2267">
        <v>0</v>
      </c>
      <c r="I176" s="1835">
        <v>0</v>
      </c>
      <c r="J176" s="1705">
        <v>0</v>
      </c>
      <c r="K176" s="1757">
        <v>0</v>
      </c>
      <c r="L176" s="1757">
        <v>0</v>
      </c>
      <c r="M176" s="2267">
        <v>0</v>
      </c>
      <c r="O176" s="1835">
        <v>0</v>
      </c>
      <c r="P176" s="1705">
        <v>0</v>
      </c>
      <c r="Q176" s="1757">
        <v>0</v>
      </c>
      <c r="R176" s="1757">
        <v>0</v>
      </c>
      <c r="S176" s="2267">
        <v>0</v>
      </c>
      <c r="U176" s="1835">
        <v>0</v>
      </c>
      <c r="V176" s="1705">
        <v>0</v>
      </c>
      <c r="W176" s="1757">
        <v>0</v>
      </c>
      <c r="X176" s="1757">
        <v>0</v>
      </c>
      <c r="Y176" s="2267">
        <v>0</v>
      </c>
      <c r="AA176" s="1835">
        <v>0</v>
      </c>
      <c r="AB176" s="1705">
        <v>0</v>
      </c>
      <c r="AC176" s="1757">
        <v>0</v>
      </c>
      <c r="AD176" s="1757">
        <v>0</v>
      </c>
      <c r="AE176" s="2267">
        <v>0</v>
      </c>
      <c r="AG176" s="1835">
        <v>0</v>
      </c>
      <c r="AH176" s="1705">
        <v>0</v>
      </c>
      <c r="AI176" s="1757">
        <v>0</v>
      </c>
      <c r="AJ176" s="1757">
        <v>0</v>
      </c>
      <c r="AK176" s="2267">
        <v>0</v>
      </c>
      <c r="AM176" s="1835">
        <v>0</v>
      </c>
      <c r="AN176" s="1705">
        <v>0</v>
      </c>
      <c r="AO176" s="1757">
        <v>0</v>
      </c>
      <c r="AP176" s="1757">
        <v>0</v>
      </c>
      <c r="AQ176" s="2267">
        <v>0</v>
      </c>
      <c r="AS176" s="1835">
        <v>0</v>
      </c>
      <c r="AT176" s="1705">
        <v>0</v>
      </c>
      <c r="AU176" s="1757">
        <v>0</v>
      </c>
      <c r="AV176" s="1757">
        <v>0</v>
      </c>
      <c r="AW176" s="2267">
        <v>0</v>
      </c>
      <c r="AY176" s="1835">
        <v>0</v>
      </c>
      <c r="AZ176" s="1705">
        <v>0</v>
      </c>
      <c r="BA176" s="1757">
        <v>0</v>
      </c>
      <c r="BB176" s="1757">
        <v>0</v>
      </c>
      <c r="BC176" s="2267">
        <v>0</v>
      </c>
      <c r="BE176" s="1835">
        <v>0</v>
      </c>
      <c r="BF176" s="1705">
        <v>0</v>
      </c>
      <c r="BG176" s="1757">
        <v>0</v>
      </c>
      <c r="BH176" s="1757">
        <v>0</v>
      </c>
      <c r="BI176" s="2267">
        <v>0</v>
      </c>
      <c r="BK176" s="1835">
        <v>0</v>
      </c>
      <c r="BL176" s="1705">
        <v>0</v>
      </c>
      <c r="BM176" s="1757">
        <v>0</v>
      </c>
      <c r="BN176" s="1757">
        <v>0</v>
      </c>
      <c r="BO176" s="2267">
        <v>0</v>
      </c>
      <c r="BQ176" s="1835">
        <v>0</v>
      </c>
      <c r="BR176" s="1705">
        <v>0</v>
      </c>
      <c r="BS176" s="1757">
        <v>0</v>
      </c>
      <c r="BT176" s="1757">
        <v>0</v>
      </c>
      <c r="BU176" s="2267">
        <v>0</v>
      </c>
      <c r="BW176" s="1835">
        <v>0</v>
      </c>
      <c r="BX176" s="1705">
        <v>0</v>
      </c>
      <c r="BY176" s="1757">
        <v>0</v>
      </c>
      <c r="BZ176" s="1757">
        <v>0</v>
      </c>
      <c r="CA176" s="2267">
        <v>0</v>
      </c>
      <c r="CC176" s="1835">
        <v>0</v>
      </c>
      <c r="CD176" s="1705">
        <v>0</v>
      </c>
      <c r="CE176" s="1757">
        <v>0</v>
      </c>
      <c r="CF176" s="1757">
        <v>0</v>
      </c>
      <c r="CG176" s="2267">
        <v>0</v>
      </c>
      <c r="CI176" s="1835">
        <v>0</v>
      </c>
      <c r="CJ176" s="1705">
        <v>0</v>
      </c>
      <c r="CK176" s="1757">
        <v>0</v>
      </c>
      <c r="CL176" s="1757">
        <v>0</v>
      </c>
      <c r="CM176" s="2267">
        <v>0</v>
      </c>
      <c r="CR176"/>
      <c r="CS176"/>
      <c r="CT176"/>
      <c r="CU176"/>
      <c r="CV176"/>
      <c r="CW176"/>
    </row>
    <row r="177" spans="1:101" s="228" customFormat="1">
      <c r="A177" s="228" t="s">
        <v>706</v>
      </c>
      <c r="C177" s="1835">
        <v>0</v>
      </c>
      <c r="D177" s="1705">
        <v>0</v>
      </c>
      <c r="E177" s="1757">
        <v>0</v>
      </c>
      <c r="F177" s="1757">
        <v>0</v>
      </c>
      <c r="G177" s="2267">
        <v>0</v>
      </c>
      <c r="I177" s="1835">
        <v>0</v>
      </c>
      <c r="J177" s="1705">
        <v>0</v>
      </c>
      <c r="K177" s="1757">
        <v>0</v>
      </c>
      <c r="L177" s="1757">
        <v>0</v>
      </c>
      <c r="M177" s="2267">
        <v>0</v>
      </c>
      <c r="O177" s="1835">
        <v>0</v>
      </c>
      <c r="P177" s="1705">
        <v>0</v>
      </c>
      <c r="Q177" s="1757">
        <v>0</v>
      </c>
      <c r="R177" s="1757">
        <v>0</v>
      </c>
      <c r="S177" s="2267">
        <v>0</v>
      </c>
      <c r="U177" s="1835">
        <v>0</v>
      </c>
      <c r="V177" s="1705">
        <v>0</v>
      </c>
      <c r="W177" s="1757">
        <v>0</v>
      </c>
      <c r="X177" s="1757">
        <v>0</v>
      </c>
      <c r="Y177" s="2267">
        <v>0</v>
      </c>
      <c r="AA177" s="1835">
        <v>0</v>
      </c>
      <c r="AB177" s="1705">
        <v>0</v>
      </c>
      <c r="AC177" s="1757">
        <v>0</v>
      </c>
      <c r="AD177" s="1757">
        <v>0</v>
      </c>
      <c r="AE177" s="2267">
        <v>0</v>
      </c>
      <c r="AG177" s="1835">
        <v>0</v>
      </c>
      <c r="AH177" s="1705">
        <v>0</v>
      </c>
      <c r="AI177" s="1757">
        <v>0</v>
      </c>
      <c r="AJ177" s="1757">
        <v>0</v>
      </c>
      <c r="AK177" s="2267">
        <v>0</v>
      </c>
      <c r="AM177" s="1835">
        <v>0</v>
      </c>
      <c r="AN177" s="1705">
        <v>0</v>
      </c>
      <c r="AO177" s="1757">
        <v>0</v>
      </c>
      <c r="AP177" s="1757">
        <v>0</v>
      </c>
      <c r="AQ177" s="2267">
        <v>0</v>
      </c>
      <c r="AS177" s="1835">
        <v>0</v>
      </c>
      <c r="AT177" s="1705">
        <v>0</v>
      </c>
      <c r="AU177" s="1757">
        <v>0</v>
      </c>
      <c r="AV177" s="1757">
        <v>0</v>
      </c>
      <c r="AW177" s="2267">
        <v>0</v>
      </c>
      <c r="AY177" s="1835">
        <v>0</v>
      </c>
      <c r="AZ177" s="1705">
        <v>0</v>
      </c>
      <c r="BA177" s="1757">
        <v>0</v>
      </c>
      <c r="BB177" s="1757">
        <v>0</v>
      </c>
      <c r="BC177" s="2267">
        <v>0</v>
      </c>
      <c r="BE177" s="1835">
        <v>0</v>
      </c>
      <c r="BF177" s="1705">
        <v>0</v>
      </c>
      <c r="BG177" s="1757">
        <v>0</v>
      </c>
      <c r="BH177" s="1757">
        <v>0</v>
      </c>
      <c r="BI177" s="2267">
        <v>0</v>
      </c>
      <c r="BK177" s="1835">
        <v>0</v>
      </c>
      <c r="BL177" s="1705">
        <v>0</v>
      </c>
      <c r="BM177" s="1757">
        <v>0</v>
      </c>
      <c r="BN177" s="1757">
        <v>0</v>
      </c>
      <c r="BO177" s="2267">
        <v>0</v>
      </c>
      <c r="BQ177" s="1835">
        <v>0</v>
      </c>
      <c r="BR177" s="1705">
        <v>0</v>
      </c>
      <c r="BS177" s="1757">
        <v>0</v>
      </c>
      <c r="BT177" s="1757">
        <v>0</v>
      </c>
      <c r="BU177" s="2267">
        <v>0</v>
      </c>
      <c r="BW177" s="1835">
        <v>0</v>
      </c>
      <c r="BX177" s="1705">
        <v>0</v>
      </c>
      <c r="BY177" s="1757">
        <v>0</v>
      </c>
      <c r="BZ177" s="1757">
        <v>0</v>
      </c>
      <c r="CA177" s="2267">
        <v>0</v>
      </c>
      <c r="CC177" s="1835">
        <v>0</v>
      </c>
      <c r="CD177" s="1705">
        <v>0</v>
      </c>
      <c r="CE177" s="1757">
        <v>0</v>
      </c>
      <c r="CF177" s="1757">
        <v>0</v>
      </c>
      <c r="CG177" s="2267">
        <v>0</v>
      </c>
      <c r="CI177" s="1835">
        <v>0</v>
      </c>
      <c r="CJ177" s="1705">
        <v>0</v>
      </c>
      <c r="CK177" s="1757">
        <v>0</v>
      </c>
      <c r="CL177" s="1757">
        <v>0</v>
      </c>
      <c r="CM177" s="2267">
        <v>0</v>
      </c>
      <c r="CR177"/>
      <c r="CS177"/>
      <c r="CT177"/>
      <c r="CU177"/>
      <c r="CV177"/>
      <c r="CW177"/>
    </row>
    <row r="178" spans="1:101" s="228" customFormat="1">
      <c r="A178" s="228" t="s">
        <v>17</v>
      </c>
      <c r="C178" s="2264">
        <f t="shared" ref="C178" si="213">C40</f>
        <v>1541.8240000000001</v>
      </c>
      <c r="D178" s="434">
        <f>D40</f>
        <v>1496.3059999999998</v>
      </c>
      <c r="E178" s="434">
        <f t="shared" ref="E178:G178" si="214">E40</f>
        <v>1536.2370000000001</v>
      </c>
      <c r="F178" s="434">
        <f t="shared" si="214"/>
        <v>1575.277</v>
      </c>
      <c r="G178" s="2266">
        <f t="shared" si="214"/>
        <v>1575.277</v>
      </c>
      <c r="I178" s="2264">
        <f t="shared" ref="I178" si="215">I40</f>
        <v>1617.9189999999999</v>
      </c>
      <c r="J178" s="434">
        <f>J40</f>
        <v>1655.5</v>
      </c>
      <c r="K178" s="434">
        <f t="shared" ref="K178:M178" si="216">K40</f>
        <v>1635.0839999999998</v>
      </c>
      <c r="L178" s="434">
        <f t="shared" si="216"/>
        <v>1567.943</v>
      </c>
      <c r="M178" s="2266">
        <f t="shared" si="216"/>
        <v>1567.943</v>
      </c>
      <c r="O178" s="2264">
        <f t="shared" ref="O178" si="217">O40</f>
        <v>1512.4010000000001</v>
      </c>
      <c r="P178" s="434">
        <f>P40</f>
        <v>1574.3320000000001</v>
      </c>
      <c r="Q178" s="434">
        <f t="shared" ref="Q178:S178" si="218">Q40</f>
        <v>1601.758</v>
      </c>
      <c r="R178" s="434">
        <f t="shared" si="218"/>
        <v>1628.9570000000001</v>
      </c>
      <c r="S178" s="2266">
        <f t="shared" si="218"/>
        <v>1628.9570000000001</v>
      </c>
      <c r="U178" s="2264">
        <f t="shared" ref="U178" si="219">U40</f>
        <v>1631.404</v>
      </c>
      <c r="V178" s="434">
        <f>V40</f>
        <v>1643.692</v>
      </c>
      <c r="W178" s="434">
        <f t="shared" ref="W178:Y178" si="220">W40</f>
        <v>1707.0350000000001</v>
      </c>
      <c r="X178" s="434">
        <f t="shared" si="220"/>
        <v>1925.818</v>
      </c>
      <c r="Y178" s="2266">
        <f t="shared" si="220"/>
        <v>1925.818</v>
      </c>
      <c r="AA178" s="2264">
        <f t="shared" ref="AA178" si="221">AA40</f>
        <v>1907.9319999999998</v>
      </c>
      <c r="AB178" s="434">
        <f>AB40</f>
        <v>1956.4609999999998</v>
      </c>
      <c r="AC178" s="434">
        <f t="shared" ref="AC178:AE178" si="222">AC40</f>
        <v>1945.14</v>
      </c>
      <c r="AD178" s="434">
        <f t="shared" si="222"/>
        <v>1842.2160000000001</v>
      </c>
      <c r="AE178" s="2266">
        <f t="shared" si="222"/>
        <v>1842.2160000000001</v>
      </c>
      <c r="AG178" s="2264">
        <f t="shared" ref="AG178" si="223">AG40</f>
        <v>1882.5829999999999</v>
      </c>
      <c r="AH178" s="434">
        <f>AH40</f>
        <v>1885.3299999999997</v>
      </c>
      <c r="AI178" s="434">
        <f t="shared" ref="AI178:AK178" si="224">AI40</f>
        <v>1942.44</v>
      </c>
      <c r="AJ178" s="434">
        <f t="shared" si="224"/>
        <v>1939.8120000000001</v>
      </c>
      <c r="AK178" s="2266">
        <f t="shared" si="224"/>
        <v>1939.8120000000001</v>
      </c>
      <c r="AM178" s="2264">
        <f t="shared" ref="AM178" si="225">AM40</f>
        <v>1834.423</v>
      </c>
      <c r="AN178" s="434">
        <f>AN40</f>
        <v>1859.8520000000001</v>
      </c>
      <c r="AO178" s="434">
        <f t="shared" ref="AO178:AQ178" si="226">AO40</f>
        <v>1919.5710000000001</v>
      </c>
      <c r="AP178" s="434">
        <f t="shared" si="226"/>
        <v>1994.4869999999999</v>
      </c>
      <c r="AQ178" s="2266">
        <f t="shared" si="226"/>
        <v>1994.4869999999999</v>
      </c>
      <c r="AS178" s="2264">
        <f t="shared" ref="AS178" si="227">AS40</f>
        <v>2029.4359999999999</v>
      </c>
      <c r="AT178" s="434">
        <f>AT40</f>
        <v>2055.991</v>
      </c>
      <c r="AU178" s="434">
        <f t="shared" ref="AU178:AW178" si="228">AU40</f>
        <v>2062.7539999999999</v>
      </c>
      <c r="AV178" s="434">
        <f t="shared" si="228"/>
        <v>2042.1020000000001</v>
      </c>
      <c r="AW178" s="2266">
        <f t="shared" si="228"/>
        <v>2042.1020000000001</v>
      </c>
      <c r="AY178" s="2264">
        <f t="shared" ref="AY178" si="229">AY40</f>
        <v>2059.8850000000002</v>
      </c>
      <c r="AZ178" s="434">
        <f>AZ40</f>
        <v>2120.904</v>
      </c>
      <c r="BA178" s="434">
        <f t="shared" ref="BA178:BC178" si="230">BA40</f>
        <v>2054.3240000000001</v>
      </c>
      <c r="BB178" s="434">
        <f t="shared" si="230"/>
        <v>2110.4409999999998</v>
      </c>
      <c r="BC178" s="2266">
        <f t="shared" si="230"/>
        <v>2110.4409999999998</v>
      </c>
      <c r="BE178" s="2264">
        <f t="shared" ref="BE178" si="231">BE40</f>
        <v>2049.48</v>
      </c>
      <c r="BF178" s="434">
        <f>BF40</f>
        <v>2088.203</v>
      </c>
      <c r="BG178" s="434">
        <f t="shared" ref="BG178:BI178" si="232">BG40</f>
        <v>2135.422</v>
      </c>
      <c r="BH178" s="434">
        <f t="shared" si="232"/>
        <v>2153.5700000000002</v>
      </c>
      <c r="BI178" s="2266">
        <f t="shared" si="232"/>
        <v>2153.5700000000002</v>
      </c>
      <c r="BK178" s="2264">
        <f t="shared" ref="BK178" si="233">BK40</f>
        <v>2208.9870000000001</v>
      </c>
      <c r="BL178" s="434">
        <f>BL40</f>
        <v>2438.636</v>
      </c>
      <c r="BM178" s="434">
        <f t="shared" ref="BM178:BO178" si="234">BM40</f>
        <v>2536.029</v>
      </c>
      <c r="BN178" s="434">
        <f t="shared" si="234"/>
        <v>2503.1879999999996</v>
      </c>
      <c r="BO178" s="2266">
        <f t="shared" si="234"/>
        <v>2503.1879999999996</v>
      </c>
      <c r="BQ178" s="2264">
        <f t="shared" ref="BQ178" si="235">BQ40</f>
        <v>2555.7302104700516</v>
      </c>
      <c r="BR178" s="434">
        <f>BR40</f>
        <v>2638.3577995033947</v>
      </c>
      <c r="BS178" s="434">
        <f t="shared" ref="BS178:BU178" si="236">BS40</f>
        <v>2723.8422300489406</v>
      </c>
      <c r="BT178" s="434">
        <f t="shared" si="236"/>
        <v>2834.5894180044688</v>
      </c>
      <c r="BU178" s="2266">
        <f t="shared" si="236"/>
        <v>2834.5894180044688</v>
      </c>
      <c r="BW178" s="2264">
        <f t="shared" ref="BW178" si="237">BW40</f>
        <v>2880.6953623835789</v>
      </c>
      <c r="BX178" s="434">
        <f>BX40</f>
        <v>2966.0869451128269</v>
      </c>
      <c r="BY178" s="434">
        <f t="shared" ref="BY178:CA178" si="238">BY40</f>
        <v>3054.8458741538179</v>
      </c>
      <c r="BZ178" s="434">
        <f t="shared" si="238"/>
        <v>3170.9749187740772</v>
      </c>
      <c r="CA178" s="2266">
        <f t="shared" si="238"/>
        <v>3170.9749187740772</v>
      </c>
      <c r="CC178" s="2264">
        <f t="shared" ref="CC178" si="239">CC40</f>
        <v>3231.6709833569939</v>
      </c>
      <c r="CD178" s="434">
        <f>CD40</f>
        <v>3353.8925430206154</v>
      </c>
      <c r="CE178" s="434">
        <f t="shared" ref="CE178:CG178" si="240">CE40</f>
        <v>3478.5186457799309</v>
      </c>
      <c r="CF178" s="434">
        <f t="shared" si="240"/>
        <v>3633.8567931285024</v>
      </c>
      <c r="CG178" s="2266">
        <f t="shared" si="240"/>
        <v>3633.8567931285024</v>
      </c>
      <c r="CI178" s="2264">
        <f t="shared" ref="CI178" si="241">CI40</f>
        <v>3727.9883737885707</v>
      </c>
      <c r="CJ178" s="434">
        <f>CJ40</f>
        <v>3883.1671191540322</v>
      </c>
      <c r="CK178" s="434">
        <f t="shared" ref="CK178:CM178" si="242">CK40</f>
        <v>4035.3888321511909</v>
      </c>
      <c r="CL178" s="434">
        <f t="shared" si="242"/>
        <v>4214.6282409754413</v>
      </c>
      <c r="CM178" s="2266">
        <f t="shared" si="242"/>
        <v>4214.6282409754413</v>
      </c>
      <c r="CR178"/>
      <c r="CS178"/>
      <c r="CT178"/>
      <c r="CU178"/>
      <c r="CV178"/>
      <c r="CW178"/>
    </row>
    <row r="179" spans="1:101" s="228" customFormat="1">
      <c r="A179" s="863" t="s">
        <v>707</v>
      </c>
      <c r="C179" s="418"/>
      <c r="D179" s="353"/>
      <c r="E179" s="353"/>
      <c r="F179" s="353"/>
      <c r="G179" s="865"/>
      <c r="I179" s="418"/>
      <c r="J179" s="353"/>
      <c r="K179" s="353"/>
      <c r="L179" s="353"/>
      <c r="M179" s="865"/>
      <c r="O179" s="418"/>
      <c r="P179" s="353"/>
      <c r="Q179" s="353"/>
      <c r="R179" s="353"/>
      <c r="S179" s="865"/>
      <c r="U179" s="418"/>
      <c r="V179" s="353"/>
      <c r="W179" s="353"/>
      <c r="X179" s="353"/>
      <c r="Y179" s="865"/>
      <c r="AA179" s="418"/>
      <c r="AB179" s="353"/>
      <c r="AC179" s="353"/>
      <c r="AD179" s="353"/>
      <c r="AE179" s="865"/>
      <c r="AG179" s="418"/>
      <c r="AH179" s="353"/>
      <c r="AI179" s="353"/>
      <c r="AJ179" s="353"/>
      <c r="AK179" s="865"/>
      <c r="AM179" s="418"/>
      <c r="AN179" s="353"/>
      <c r="AO179" s="353"/>
      <c r="AP179" s="353"/>
      <c r="AQ179" s="865"/>
      <c r="AS179" s="418"/>
      <c r="AT179" s="353"/>
      <c r="AU179" s="353"/>
      <c r="AV179" s="353"/>
      <c r="AW179" s="865"/>
      <c r="AY179" s="418"/>
      <c r="AZ179" s="353"/>
      <c r="BA179" s="353"/>
      <c r="BB179" s="353"/>
      <c r="BC179" s="865"/>
      <c r="BE179" s="418"/>
      <c r="BF179" s="353"/>
      <c r="BG179" s="353"/>
      <c r="BH179" s="353"/>
      <c r="BI179" s="865"/>
      <c r="BK179" s="418"/>
      <c r="BL179" s="353"/>
      <c r="BM179" s="353"/>
      <c r="BN179" s="353"/>
      <c r="BO179" s="865"/>
      <c r="BQ179" s="418"/>
      <c r="BR179" s="353"/>
      <c r="BS179" s="353"/>
      <c r="BT179" s="353"/>
      <c r="BU179" s="865"/>
      <c r="BW179" s="418"/>
      <c r="BX179" s="353"/>
      <c r="BY179" s="353"/>
      <c r="BZ179" s="353"/>
      <c r="CA179" s="865"/>
      <c r="CC179" s="418"/>
      <c r="CD179" s="353"/>
      <c r="CE179" s="353"/>
      <c r="CF179" s="353"/>
      <c r="CG179" s="865"/>
      <c r="CI179" s="418"/>
      <c r="CJ179" s="353"/>
      <c r="CK179" s="353"/>
      <c r="CL179" s="353"/>
      <c r="CM179" s="865"/>
      <c r="CR179"/>
      <c r="CS179"/>
      <c r="CT179"/>
      <c r="CU179"/>
      <c r="CV179"/>
      <c r="CW179"/>
    </row>
    <row r="180" spans="1:101" s="228" customFormat="1">
      <c r="A180" s="856" t="s">
        <v>708</v>
      </c>
      <c r="C180" s="418"/>
      <c r="D180" s="353"/>
      <c r="E180" s="353"/>
      <c r="F180" s="353"/>
      <c r="G180" s="865"/>
      <c r="I180" s="418"/>
      <c r="J180" s="353"/>
      <c r="K180" s="353"/>
      <c r="L180" s="353"/>
      <c r="M180" s="865"/>
      <c r="O180" s="418"/>
      <c r="P180" s="353"/>
      <c r="Q180" s="353"/>
      <c r="R180" s="353"/>
      <c r="S180" s="865"/>
      <c r="U180" s="418"/>
      <c r="V180" s="353"/>
      <c r="W180" s="353"/>
      <c r="X180" s="353"/>
      <c r="Y180" s="865"/>
      <c r="AA180" s="418"/>
      <c r="AB180" s="353"/>
      <c r="AC180" s="353"/>
      <c r="AD180" s="353"/>
      <c r="AE180" s="865"/>
      <c r="AG180" s="418"/>
      <c r="AH180" s="353"/>
      <c r="AI180" s="353"/>
      <c r="AJ180" s="353"/>
      <c r="AK180" s="865"/>
      <c r="AM180" s="418"/>
      <c r="AN180" s="353"/>
      <c r="AO180" s="353"/>
      <c r="AP180" s="353"/>
      <c r="AQ180" s="865"/>
      <c r="AS180" s="418"/>
      <c r="AT180" s="353"/>
      <c r="AU180" s="353"/>
      <c r="AV180" s="353"/>
      <c r="AW180" s="865"/>
      <c r="AY180" s="418"/>
      <c r="AZ180" s="353"/>
      <c r="BA180" s="353"/>
      <c r="BB180" s="353"/>
      <c r="BC180" s="865"/>
      <c r="BE180" s="418"/>
      <c r="BF180" s="353"/>
      <c r="BG180" s="353"/>
      <c r="BH180" s="353"/>
      <c r="BI180" s="865"/>
      <c r="BK180" s="418"/>
      <c r="BL180" s="353"/>
      <c r="BM180" s="353"/>
      <c r="BN180" s="353"/>
      <c r="BO180" s="865"/>
      <c r="BQ180" s="418"/>
      <c r="BR180" s="353"/>
      <c r="BS180" s="353"/>
      <c r="BT180" s="353"/>
      <c r="BU180" s="865"/>
      <c r="BW180" s="418"/>
      <c r="BX180" s="353"/>
      <c r="BY180" s="353"/>
      <c r="BZ180" s="353"/>
      <c r="CA180" s="865"/>
      <c r="CC180" s="418"/>
      <c r="CD180" s="353"/>
      <c r="CE180" s="353"/>
      <c r="CF180" s="353"/>
      <c r="CG180" s="865"/>
      <c r="CI180" s="418"/>
      <c r="CJ180" s="353"/>
      <c r="CK180" s="353"/>
      <c r="CL180" s="353"/>
      <c r="CM180" s="865"/>
      <c r="CR180"/>
      <c r="CS180"/>
      <c r="CT180"/>
      <c r="CU180"/>
      <c r="CV180"/>
      <c r="CW180"/>
    </row>
    <row r="181" spans="1:101" s="228" customFormat="1">
      <c r="A181" s="228" t="s">
        <v>709</v>
      </c>
      <c r="C181" s="2264">
        <f t="shared" ref="C181" si="243">-C10</f>
        <v>-119.56199999999998</v>
      </c>
      <c r="D181" s="434">
        <f>-D10</f>
        <v>-150.03999999999996</v>
      </c>
      <c r="E181" s="434">
        <f t="shared" ref="E181:G181" si="244">-E10</f>
        <v>-160.90099999999993</v>
      </c>
      <c r="F181" s="434">
        <f t="shared" si="244"/>
        <v>-203.34799999999993</v>
      </c>
      <c r="G181" s="2266">
        <f t="shared" si="244"/>
        <v>-203.34800000000001</v>
      </c>
      <c r="I181" s="2264">
        <f t="shared" ref="I181" si="245">-I10</f>
        <v>-185.262</v>
      </c>
      <c r="J181" s="434">
        <f>-J10</f>
        <v>-193.45099999999996</v>
      </c>
      <c r="K181" s="434">
        <f t="shared" ref="K181:M181" si="246">-K10</f>
        <v>-188.80799999999996</v>
      </c>
      <c r="L181" s="434">
        <f t="shared" si="246"/>
        <v>-179.10999999999999</v>
      </c>
      <c r="M181" s="2266">
        <f t="shared" si="246"/>
        <v>-179.10999999999999</v>
      </c>
      <c r="O181" s="2264">
        <f t="shared" ref="O181" si="247">-O10</f>
        <v>-162.04900000000001</v>
      </c>
      <c r="P181" s="434">
        <f>-P10</f>
        <v>-151.339</v>
      </c>
      <c r="Q181" s="434">
        <f t="shared" ref="Q181:S181" si="248">-Q10</f>
        <v>-150.58599999999996</v>
      </c>
      <c r="R181" s="434">
        <f t="shared" si="248"/>
        <v>-179.70699999999999</v>
      </c>
      <c r="S181" s="2266">
        <f t="shared" si="248"/>
        <v>-179.70700000000005</v>
      </c>
      <c r="U181" s="2264">
        <f t="shared" ref="U181" si="249">-U10</f>
        <v>-181.74400000000006</v>
      </c>
      <c r="V181" s="434">
        <f>-V10</f>
        <v>-215.66400000000004</v>
      </c>
      <c r="W181" s="434">
        <f t="shared" ref="W181:Y181" si="250">-W10</f>
        <v>-250.98800000000006</v>
      </c>
      <c r="X181" s="434">
        <f t="shared" si="250"/>
        <v>-420.08600000000001</v>
      </c>
      <c r="Y181" s="2266">
        <f t="shared" si="250"/>
        <v>-420.08600000000001</v>
      </c>
      <c r="AA181" s="2264">
        <f t="shared" ref="AA181" si="251">-AA10</f>
        <v>-415.84800000000001</v>
      </c>
      <c r="AB181" s="434">
        <f>-AB10</f>
        <v>-395.20800000000003</v>
      </c>
      <c r="AC181" s="434">
        <f t="shared" ref="AC181:AE181" si="252">-AC10</f>
        <v>-248.102</v>
      </c>
      <c r="AD181" s="434">
        <f t="shared" si="252"/>
        <v>-142.34200000000004</v>
      </c>
      <c r="AE181" s="2266">
        <f t="shared" si="252"/>
        <v>-142.34199999999998</v>
      </c>
      <c r="AG181" s="2264">
        <f t="shared" ref="AG181" si="253">-AG10</f>
        <v>-144.75700000000001</v>
      </c>
      <c r="AH181" s="434">
        <f>-AH10</f>
        <v>-171.40299999999999</v>
      </c>
      <c r="AI181" s="434">
        <f t="shared" ref="AI181:AK181" si="254">-AI10</f>
        <v>-170.828</v>
      </c>
      <c r="AJ181" s="434">
        <f t="shared" si="254"/>
        <v>-171.44399999999999</v>
      </c>
      <c r="AK181" s="2266">
        <f t="shared" si="254"/>
        <v>-171.44399999999999</v>
      </c>
      <c r="AM181" s="2264">
        <f t="shared" ref="AM181" si="255">-AM10</f>
        <v>-125.871</v>
      </c>
      <c r="AN181" s="434">
        <f>-AN10</f>
        <v>-112.47</v>
      </c>
      <c r="AO181" s="434">
        <f t="shared" ref="AO181:AQ181" si="256">-AO10</f>
        <v>-132.303</v>
      </c>
      <c r="AP181" s="434">
        <f t="shared" si="256"/>
        <v>-173.24199999999999</v>
      </c>
      <c r="AQ181" s="2266">
        <f t="shared" si="256"/>
        <v>-173.24199999999999</v>
      </c>
      <c r="AS181" s="2264">
        <f t="shared" ref="AS181" si="257">-AS10</f>
        <v>-224.113</v>
      </c>
      <c r="AT181" s="434">
        <f>-AT10</f>
        <v>-205.25800000000001</v>
      </c>
      <c r="AU181" s="434">
        <f t="shared" ref="AU181:AW181" si="258">-AU10</f>
        <v>-203.68299999999999</v>
      </c>
      <c r="AV181" s="434">
        <f t="shared" si="258"/>
        <v>-174.821</v>
      </c>
      <c r="AW181" s="2266">
        <f t="shared" si="258"/>
        <v>-174.821</v>
      </c>
      <c r="AY181" s="2264">
        <f t="shared" ref="AY181" si="259">-AY10</f>
        <v>-168.92400000000001</v>
      </c>
      <c r="AZ181" s="434">
        <f>-AZ10</f>
        <v>-192.17</v>
      </c>
      <c r="BA181" s="434">
        <f t="shared" ref="BA181:BC181" si="260">-BA10</f>
        <v>-195.066</v>
      </c>
      <c r="BB181" s="434">
        <f t="shared" si="260"/>
        <v>-237.93199999999999</v>
      </c>
      <c r="BC181" s="2266">
        <f t="shared" si="260"/>
        <v>-237.9319999999999</v>
      </c>
      <c r="BE181" s="2264">
        <f t="shared" ref="BE181" si="261">-BE10</f>
        <v>-210.73099999999999</v>
      </c>
      <c r="BF181" s="434">
        <f>-BF10</f>
        <v>-248.083</v>
      </c>
      <c r="BG181" s="434">
        <f t="shared" ref="BG181:BI181" si="262">-BG10</f>
        <v>-311.66300000000001</v>
      </c>
      <c r="BH181" s="434">
        <f t="shared" si="262"/>
        <v>-359.26499999999999</v>
      </c>
      <c r="BI181" s="2266">
        <f t="shared" si="262"/>
        <v>-359.2650000000001</v>
      </c>
      <c r="BK181" s="2264">
        <f t="shared" ref="BK181" si="263">-BK10</f>
        <v>-288.32900000000001</v>
      </c>
      <c r="BL181" s="434">
        <f>-BL10</f>
        <v>-616.30799999999999</v>
      </c>
      <c r="BM181" s="434">
        <f t="shared" ref="BM181:BO181" si="264">-BM10</f>
        <v>-709.48800000000006</v>
      </c>
      <c r="BN181" s="434">
        <f t="shared" si="264"/>
        <v>-202.13399999999999</v>
      </c>
      <c r="BO181" s="2266">
        <f t="shared" si="264"/>
        <v>-202.13399999999999</v>
      </c>
      <c r="BQ181" s="2264">
        <f t="shared" ref="BQ181" si="265">-BQ10</f>
        <v>-255.20448090663058</v>
      </c>
      <c r="BR181" s="434">
        <f>-BR10</f>
        <v>-430.69340058408403</v>
      </c>
      <c r="BS181" s="434">
        <f t="shared" ref="BS181:BU181" si="266">-BS10</f>
        <v>-485.50787212989223</v>
      </c>
      <c r="BT181" s="434">
        <f t="shared" si="266"/>
        <v>-452.65784870023589</v>
      </c>
      <c r="BU181" s="2266">
        <f t="shared" si="266"/>
        <v>-452.65784870023595</v>
      </c>
      <c r="BW181" s="2264">
        <f t="shared" ref="BW181" si="267">-BW10</f>
        <v>-424.42425199596994</v>
      </c>
      <c r="BX181" s="434">
        <f>-BX10</f>
        <v>-377.46428275559299</v>
      </c>
      <c r="BY181" s="434">
        <f t="shared" ref="BY181:CA181" si="268">-BY10</f>
        <v>-386.91606490056881</v>
      </c>
      <c r="BZ181" s="434">
        <f t="shared" si="268"/>
        <v>-502.35963436609313</v>
      </c>
      <c r="CA181" s="2266">
        <f t="shared" si="268"/>
        <v>-502.35963436609325</v>
      </c>
      <c r="CC181" s="2264">
        <f t="shared" ref="CC181" si="269">-CC10</f>
        <v>-598.9721282458911</v>
      </c>
      <c r="CD181" s="434">
        <f>-CD10</f>
        <v>-679.95017940829098</v>
      </c>
      <c r="CE181" s="434">
        <f t="shared" ref="CE181:CG181" si="270">-CE10</f>
        <v>-827.31103714077506</v>
      </c>
      <c r="CF181" s="434">
        <f t="shared" si="270"/>
        <v>-874.80801740136087</v>
      </c>
      <c r="CG181" s="2266">
        <f t="shared" si="270"/>
        <v>-874.80801740136087</v>
      </c>
      <c r="CI181" s="2264">
        <f t="shared" ref="CI181" si="271">-CI10</f>
        <v>-919.19826955712983</v>
      </c>
      <c r="CJ181" s="434">
        <f>-CJ10</f>
        <v>-925.32758228587011</v>
      </c>
      <c r="CK181" s="434">
        <f t="shared" ref="CK181:CM181" si="272">-CK10</f>
        <v>-999.78557469135114</v>
      </c>
      <c r="CL181" s="434">
        <f t="shared" si="272"/>
        <v>-1000.2750922614124</v>
      </c>
      <c r="CM181" s="2266">
        <f t="shared" si="272"/>
        <v>-1000.2750922614124</v>
      </c>
      <c r="CR181"/>
      <c r="CS181"/>
      <c r="CT181"/>
      <c r="CU181"/>
      <c r="CV181"/>
      <c r="CW181"/>
    </row>
    <row r="182" spans="1:101" s="228" customFormat="1">
      <c r="A182" s="228" t="s">
        <v>710</v>
      </c>
      <c r="C182" s="1835">
        <v>0</v>
      </c>
      <c r="D182" s="1705">
        <v>0</v>
      </c>
      <c r="E182" s="1757">
        <v>0</v>
      </c>
      <c r="F182" s="1757">
        <v>0</v>
      </c>
      <c r="G182" s="2267">
        <v>0</v>
      </c>
      <c r="I182" s="1835">
        <v>0</v>
      </c>
      <c r="J182" s="1705">
        <v>0</v>
      </c>
      <c r="K182" s="1757">
        <v>0</v>
      </c>
      <c r="L182" s="1757">
        <v>0</v>
      </c>
      <c r="M182" s="2267">
        <v>0</v>
      </c>
      <c r="O182" s="1835">
        <v>0</v>
      </c>
      <c r="P182" s="1705">
        <v>0</v>
      </c>
      <c r="Q182" s="1757">
        <v>0</v>
      </c>
      <c r="R182" s="1757">
        <v>0</v>
      </c>
      <c r="S182" s="2267">
        <v>0</v>
      </c>
      <c r="U182" s="1835">
        <v>0</v>
      </c>
      <c r="V182" s="1705">
        <v>0</v>
      </c>
      <c r="W182" s="1757">
        <v>0</v>
      </c>
      <c r="X182" s="1757">
        <v>0</v>
      </c>
      <c r="Y182" s="2267">
        <v>0</v>
      </c>
      <c r="AA182" s="1835">
        <v>0</v>
      </c>
      <c r="AB182" s="1705">
        <v>0</v>
      </c>
      <c r="AC182" s="1757">
        <v>0</v>
      </c>
      <c r="AD182" s="1757">
        <v>0</v>
      </c>
      <c r="AE182" s="2267">
        <v>0</v>
      </c>
      <c r="AG182" s="1835">
        <v>0</v>
      </c>
      <c r="AH182" s="1705">
        <v>0</v>
      </c>
      <c r="AI182" s="1757">
        <v>0</v>
      </c>
      <c r="AJ182" s="1757">
        <v>0</v>
      </c>
      <c r="AK182" s="2267">
        <v>0</v>
      </c>
      <c r="AM182" s="1835">
        <v>0</v>
      </c>
      <c r="AN182" s="1705">
        <v>0</v>
      </c>
      <c r="AO182" s="1757">
        <v>0</v>
      </c>
      <c r="AP182" s="1757">
        <v>0</v>
      </c>
      <c r="AQ182" s="2267">
        <v>0</v>
      </c>
      <c r="AS182" s="1835">
        <v>0</v>
      </c>
      <c r="AT182" s="1705">
        <v>0</v>
      </c>
      <c r="AU182" s="1757">
        <v>0</v>
      </c>
      <c r="AV182" s="1757">
        <v>0</v>
      </c>
      <c r="AW182" s="2267">
        <v>0</v>
      </c>
      <c r="AY182" s="1835">
        <v>0</v>
      </c>
      <c r="AZ182" s="1705">
        <v>0</v>
      </c>
      <c r="BA182" s="1757">
        <v>0</v>
      </c>
      <c r="BB182" s="1757">
        <v>0</v>
      </c>
      <c r="BC182" s="2267">
        <v>0</v>
      </c>
      <c r="BE182" s="1835">
        <v>0</v>
      </c>
      <c r="BF182" s="1705">
        <v>0</v>
      </c>
      <c r="BG182" s="1757">
        <v>0</v>
      </c>
      <c r="BH182" s="1757">
        <v>0</v>
      </c>
      <c r="BI182" s="2267">
        <v>0</v>
      </c>
      <c r="BK182" s="1835">
        <v>0</v>
      </c>
      <c r="BL182" s="1705">
        <v>0</v>
      </c>
      <c r="BM182" s="1757">
        <v>0</v>
      </c>
      <c r="BN182" s="1757">
        <v>0</v>
      </c>
      <c r="BO182" s="2267">
        <v>0</v>
      </c>
      <c r="BQ182" s="1835">
        <v>0</v>
      </c>
      <c r="BR182" s="1705">
        <v>0</v>
      </c>
      <c r="BS182" s="1757">
        <v>0</v>
      </c>
      <c r="BT182" s="1757">
        <v>0</v>
      </c>
      <c r="BU182" s="2267">
        <v>0</v>
      </c>
      <c r="BW182" s="1835">
        <v>0</v>
      </c>
      <c r="BX182" s="1705">
        <v>0</v>
      </c>
      <c r="BY182" s="1757">
        <v>0</v>
      </c>
      <c r="BZ182" s="1757">
        <v>0</v>
      </c>
      <c r="CA182" s="2267">
        <v>0</v>
      </c>
      <c r="CC182" s="1835">
        <v>0</v>
      </c>
      <c r="CD182" s="1705">
        <v>0</v>
      </c>
      <c r="CE182" s="1757">
        <v>0</v>
      </c>
      <c r="CF182" s="1757">
        <v>0</v>
      </c>
      <c r="CG182" s="2267">
        <v>0</v>
      </c>
      <c r="CI182" s="1835">
        <v>0</v>
      </c>
      <c r="CJ182" s="1705">
        <v>0</v>
      </c>
      <c r="CK182" s="1757">
        <v>0</v>
      </c>
      <c r="CL182" s="1757">
        <v>0</v>
      </c>
      <c r="CM182" s="2267">
        <v>0</v>
      </c>
      <c r="CR182"/>
      <c r="CS182"/>
      <c r="CT182"/>
      <c r="CU182"/>
      <c r="CV182"/>
      <c r="CW182"/>
    </row>
    <row r="183" spans="1:101" s="228" customFormat="1">
      <c r="A183" s="228" t="s">
        <v>711</v>
      </c>
      <c r="C183" s="2264">
        <f t="shared" ref="C183" si="273">-C19</f>
        <v>-1156.4690000000001</v>
      </c>
      <c r="D183" s="434">
        <f>-D19</f>
        <v>-1158.836</v>
      </c>
      <c r="E183" s="434">
        <f t="shared" ref="E183:G183" si="274">-E19</f>
        <v>-1178.008</v>
      </c>
      <c r="F183" s="434">
        <f t="shared" si="274"/>
        <v>-1355.6559999999999</v>
      </c>
      <c r="G183" s="2266">
        <f t="shared" si="274"/>
        <v>-1355.6559999999999</v>
      </c>
      <c r="I183" s="2264">
        <f t="shared" ref="I183" si="275">-I19</f>
        <v>-1437.817</v>
      </c>
      <c r="J183" s="434">
        <f>-J19</f>
        <v>-1442.4870000000001</v>
      </c>
      <c r="K183" s="434">
        <f t="shared" ref="K183:M183" si="276">-K19</f>
        <v>-1419.01</v>
      </c>
      <c r="L183" s="434">
        <f t="shared" si="276"/>
        <v>-1396.2919999999999</v>
      </c>
      <c r="M183" s="2266">
        <f t="shared" si="276"/>
        <v>-1396.2919999999999</v>
      </c>
      <c r="O183" s="2264">
        <f t="shared" ref="O183" si="277">-O19</f>
        <v>-1385.268</v>
      </c>
      <c r="P183" s="434">
        <f>-P19</f>
        <v>-1425.4369999999999</v>
      </c>
      <c r="Q183" s="434">
        <f t="shared" ref="Q183:S183" si="278">-Q19</f>
        <v>-1473.547</v>
      </c>
      <c r="R183" s="434">
        <f t="shared" si="278"/>
        <v>-1419.4849999999999</v>
      </c>
      <c r="S183" s="2266">
        <f t="shared" si="278"/>
        <v>-1419.4849999999999</v>
      </c>
      <c r="U183" s="2264">
        <f t="shared" ref="U183" si="279">-U19</f>
        <v>-1440.463</v>
      </c>
      <c r="V183" s="434">
        <f>-V19</f>
        <v>-1525.098</v>
      </c>
      <c r="W183" s="434">
        <f t="shared" ref="W183:Y183" si="280">-W19</f>
        <v>-1528.0840000000001</v>
      </c>
      <c r="X183" s="434">
        <f t="shared" si="280"/>
        <v>-1504.8150000000001</v>
      </c>
      <c r="Y183" s="2266">
        <f t="shared" si="280"/>
        <v>-1504.8150000000001</v>
      </c>
      <c r="AA183" s="2264">
        <f t="shared" ref="AA183" si="281">-AA19</f>
        <v>-1585.355</v>
      </c>
      <c r="AB183" s="434">
        <f>-AB19</f>
        <v>-1781.127</v>
      </c>
      <c r="AC183" s="434">
        <f t="shared" ref="AC183:AE183" si="282">-AC19</f>
        <v>-1758.405</v>
      </c>
      <c r="AD183" s="434">
        <f t="shared" si="282"/>
        <v>-2093.6260000000002</v>
      </c>
      <c r="AE183" s="2266">
        <f t="shared" si="282"/>
        <v>-2093.6260000000002</v>
      </c>
      <c r="AG183" s="2264">
        <f t="shared" ref="AG183" si="283">-AG19</f>
        <v>-2103.0590000000002</v>
      </c>
      <c r="AH183" s="434">
        <f>-AH19</f>
        <v>-2080.0309999999999</v>
      </c>
      <c r="AI183" s="434">
        <f t="shared" ref="AI183:AK183" si="284">-AI19</f>
        <v>-2092.3510000000001</v>
      </c>
      <c r="AJ183" s="434">
        <f t="shared" si="284"/>
        <v>-2122.788</v>
      </c>
      <c r="AK183" s="2266">
        <f t="shared" si="284"/>
        <v>-2122.788</v>
      </c>
      <c r="AM183" s="2264">
        <f t="shared" ref="AM183" si="285">-AM19</f>
        <v>-2111.6210000000001</v>
      </c>
      <c r="AN183" s="434">
        <f>-AN19</f>
        <v>-2117.0619999999999</v>
      </c>
      <c r="AO183" s="434">
        <f t="shared" ref="AO183:AQ183" si="286">-AO19</f>
        <v>-2131.0509999999999</v>
      </c>
      <c r="AP183" s="434">
        <f t="shared" si="286"/>
        <v>-2143.12</v>
      </c>
      <c r="AQ183" s="2266">
        <f t="shared" si="286"/>
        <v>-2143.12</v>
      </c>
      <c r="AS183" s="2264">
        <f t="shared" ref="AS183" si="287">-AS19</f>
        <v>-2142.4749999999999</v>
      </c>
      <c r="AT183" s="434">
        <f>-AT19</f>
        <v>-2141.819</v>
      </c>
      <c r="AU183" s="434">
        <f t="shared" ref="AU183:AW183" si="288">-AU19</f>
        <v>-2123.2350000000001</v>
      </c>
      <c r="AV183" s="434">
        <f t="shared" si="288"/>
        <v>-2284.0770000000002</v>
      </c>
      <c r="AW183" s="2266">
        <f t="shared" si="288"/>
        <v>-2284.0770000000002</v>
      </c>
      <c r="AY183" s="2264">
        <f t="shared" ref="AY183" si="289">-AY19</f>
        <v>-2253.2080000000001</v>
      </c>
      <c r="AZ183" s="434">
        <f>-AZ19</f>
        <v>-2275.8980000000001</v>
      </c>
      <c r="BA183" s="434">
        <f t="shared" ref="BA183:BC183" si="290">-BA19</f>
        <v>-2253.9430000000002</v>
      </c>
      <c r="BB183" s="434">
        <f t="shared" si="290"/>
        <v>-2276.1489999999999</v>
      </c>
      <c r="BC183" s="2266">
        <f t="shared" si="290"/>
        <v>-2276.1489999999999</v>
      </c>
      <c r="BE183" s="2264">
        <f t="shared" ref="BE183" si="291">-BE19</f>
        <v>-2296.1460000000002</v>
      </c>
      <c r="BF183" s="434">
        <f>-BF19</f>
        <v>-2272.2020000000002</v>
      </c>
      <c r="BG183" s="434">
        <f t="shared" ref="BG183:BI183" si="292">-BG19</f>
        <v>-2313.9</v>
      </c>
      <c r="BH183" s="434">
        <f t="shared" si="292"/>
        <v>-2247.9659999999999</v>
      </c>
      <c r="BI183" s="2266">
        <f t="shared" si="292"/>
        <v>-2247.9659999999999</v>
      </c>
      <c r="BK183" s="2264">
        <f t="shared" ref="BK183" si="293">-BK19</f>
        <v>-2332.5329999999999</v>
      </c>
      <c r="BL183" s="434">
        <f>-BL19</f>
        <v>-2356.69</v>
      </c>
      <c r="BM183" s="434">
        <f t="shared" ref="BM183:BO183" si="294">-BM19</f>
        <v>-2373.009</v>
      </c>
      <c r="BN183" s="434">
        <f t="shared" si="294"/>
        <v>-3002.1979999999999</v>
      </c>
      <c r="BO183" s="2266">
        <f t="shared" si="294"/>
        <v>-3002.1979999999999</v>
      </c>
      <c r="BQ183" s="2264">
        <f t="shared" ref="BQ183" si="295">-BQ19</f>
        <v>-3002.1979999999999</v>
      </c>
      <c r="BR183" s="434">
        <f>-BR19</f>
        <v>-3002.1979999999999</v>
      </c>
      <c r="BS183" s="434">
        <f t="shared" ref="BS183:BU183" si="296">-BS19</f>
        <v>-3002.1979999999999</v>
      </c>
      <c r="BT183" s="434">
        <f t="shared" si="296"/>
        <v>-3002.1979999999999</v>
      </c>
      <c r="BU183" s="2266">
        <f t="shared" si="296"/>
        <v>-3002.1979999999999</v>
      </c>
      <c r="BW183" s="2264">
        <f t="shared" ref="BW183" si="297">-BW19</f>
        <v>-3002.1979999999999</v>
      </c>
      <c r="BX183" s="434">
        <f>-BX19</f>
        <v>-3002.1979999999999</v>
      </c>
      <c r="BY183" s="434">
        <f t="shared" ref="BY183:CA183" si="298">-BY19</f>
        <v>-3002.1979999999999</v>
      </c>
      <c r="BZ183" s="434">
        <f t="shared" si="298"/>
        <v>-3002.1979999999999</v>
      </c>
      <c r="CA183" s="2266">
        <f t="shared" si="298"/>
        <v>-3002.1979999999999</v>
      </c>
      <c r="CC183" s="2264">
        <f t="shared" ref="CC183" si="299">-CC19</f>
        <v>-3002.1979999999999</v>
      </c>
      <c r="CD183" s="434">
        <f>-CD19</f>
        <v>-3002.1979999999999</v>
      </c>
      <c r="CE183" s="434">
        <f t="shared" ref="CE183:CG183" si="300">-CE19</f>
        <v>-3002.1979999999999</v>
      </c>
      <c r="CF183" s="434">
        <f t="shared" si="300"/>
        <v>-3002.1979999999999</v>
      </c>
      <c r="CG183" s="2266">
        <f t="shared" si="300"/>
        <v>-3002.1979999999999</v>
      </c>
      <c r="CI183" s="2264">
        <f t="shared" ref="CI183" si="301">-CI19</f>
        <v>-3002.1979999999999</v>
      </c>
      <c r="CJ183" s="434">
        <f>-CJ19</f>
        <v>-3002.1979999999999</v>
      </c>
      <c r="CK183" s="434">
        <f t="shared" ref="CK183:CM183" si="302">-CK19</f>
        <v>-3002.1979999999999</v>
      </c>
      <c r="CL183" s="434">
        <f t="shared" si="302"/>
        <v>-3002.1979999999999</v>
      </c>
      <c r="CM183" s="2266">
        <f t="shared" si="302"/>
        <v>-3002.1979999999999</v>
      </c>
      <c r="CR183"/>
      <c r="CS183"/>
      <c r="CT183"/>
      <c r="CU183"/>
      <c r="CV183"/>
      <c r="CW183"/>
    </row>
    <row r="184" spans="1:101">
      <c r="A184" s="856" t="s">
        <v>712</v>
      </c>
      <c r="B184" s="856"/>
      <c r="C184" s="1891">
        <f>SUM(C171:C182)</f>
        <v>1958.7629999999999</v>
      </c>
      <c r="D184" s="518">
        <f t="shared" ref="D184:G184" si="303">SUM(D171:D182)</f>
        <v>1933.5709999999999</v>
      </c>
      <c r="E184" s="518">
        <f t="shared" si="303"/>
        <v>1986.1000000000004</v>
      </c>
      <c r="F184" s="518">
        <f t="shared" si="303"/>
        <v>2198.953</v>
      </c>
      <c r="G184" s="1892">
        <f t="shared" si="303"/>
        <v>2198.953</v>
      </c>
      <c r="H184" s="856"/>
      <c r="I184" s="1891">
        <f>SUM(I171:I182)</f>
        <v>2336.1659999999997</v>
      </c>
      <c r="J184" s="518">
        <f t="shared" ref="J184:M184" si="304">SUM(J171:J182)</f>
        <v>2312.4749999999999</v>
      </c>
      <c r="K184" s="518">
        <f t="shared" si="304"/>
        <v>2311.5209999999997</v>
      </c>
      <c r="L184" s="518">
        <f t="shared" si="304"/>
        <v>2236.4549999999999</v>
      </c>
      <c r="M184" s="1892">
        <f t="shared" si="304"/>
        <v>2236.4549999999999</v>
      </c>
      <c r="N184" s="856"/>
      <c r="O184" s="1891">
        <f>SUM(O171:O182)</f>
        <v>2227.6390000000001</v>
      </c>
      <c r="P184" s="518">
        <f t="shared" ref="P184:S184" si="305">SUM(P171:P182)</f>
        <v>2297.7260000000001</v>
      </c>
      <c r="Q184" s="518">
        <f t="shared" si="305"/>
        <v>2395.4180000000001</v>
      </c>
      <c r="R184" s="518">
        <f t="shared" si="305"/>
        <v>2382.2750000000001</v>
      </c>
      <c r="S184" s="1892">
        <f t="shared" si="305"/>
        <v>2382.2750000000001</v>
      </c>
      <c r="T184" s="856"/>
      <c r="U184" s="1891">
        <f>SUM(U171:U182)</f>
        <v>2347.0639999999999</v>
      </c>
      <c r="V184" s="518">
        <f t="shared" ref="V184:Y184" si="306">SUM(V171:V182)</f>
        <v>2416.6089999999999</v>
      </c>
      <c r="W184" s="518">
        <f t="shared" si="306"/>
        <v>2483.3279999999995</v>
      </c>
      <c r="X184" s="518">
        <f t="shared" si="306"/>
        <v>2276.34</v>
      </c>
      <c r="Y184" s="1892">
        <f t="shared" si="306"/>
        <v>2276.34</v>
      </c>
      <c r="Z184" s="856"/>
      <c r="AA184" s="1891">
        <f>SUM(AA171:AA182)</f>
        <v>2381.2879999999996</v>
      </c>
      <c r="AB184" s="518">
        <f t="shared" ref="AB184:AE184" si="307">SUM(AB171:AB182)</f>
        <v>2641.2989999999995</v>
      </c>
      <c r="AC184" s="518">
        <f t="shared" si="307"/>
        <v>2635.8790000000004</v>
      </c>
      <c r="AD184" s="518">
        <f t="shared" si="307"/>
        <v>3091.79</v>
      </c>
      <c r="AE184" s="1892">
        <f t="shared" si="307"/>
        <v>3091.79</v>
      </c>
      <c r="AF184" s="856"/>
      <c r="AG184" s="1891">
        <f>SUM(AG171:AG182)</f>
        <v>3116.6950000000002</v>
      </c>
      <c r="AH184" s="518">
        <f t="shared" ref="AH184:AK184" si="308">SUM(AH171:AH182)</f>
        <v>3041.8489999999997</v>
      </c>
      <c r="AI184" s="518">
        <f t="shared" si="308"/>
        <v>3138.3360000000002</v>
      </c>
      <c r="AJ184" s="518">
        <f t="shared" si="308"/>
        <v>3150.9900000000002</v>
      </c>
      <c r="AK184" s="1892">
        <f t="shared" si="308"/>
        <v>3150.9900000000002</v>
      </c>
      <c r="AL184" s="856"/>
      <c r="AM184" s="1891">
        <f>SUM(AM171:AM182)</f>
        <v>3116.2219999999998</v>
      </c>
      <c r="AN184" s="518">
        <f t="shared" ref="AN184:AQ184" si="309">SUM(AN171:AN182)</f>
        <v>3137.748</v>
      </c>
      <c r="AO184" s="518">
        <f t="shared" si="309"/>
        <v>3132.4540000000002</v>
      </c>
      <c r="AP184" s="518">
        <f t="shared" si="309"/>
        <v>3173.2979999999998</v>
      </c>
      <c r="AQ184" s="1892">
        <f t="shared" si="309"/>
        <v>3173.2979999999998</v>
      </c>
      <c r="AR184" s="856"/>
      <c r="AS184" s="1891">
        <f>SUM(AS171:AS182)</f>
        <v>3144.1290000000004</v>
      </c>
      <c r="AT184" s="518">
        <f t="shared" ref="AT184:AW184" si="310">SUM(AT171:AT182)</f>
        <v>3153.7620000000002</v>
      </c>
      <c r="AU184" s="518">
        <f t="shared" si="310"/>
        <v>3116.511</v>
      </c>
      <c r="AV184" s="518">
        <f t="shared" si="310"/>
        <v>3363.0190000000002</v>
      </c>
      <c r="AW184" s="1892">
        <f t="shared" si="310"/>
        <v>3363.0190000000002</v>
      </c>
      <c r="AX184" s="856"/>
      <c r="AY184" s="1891">
        <f>SUM(AY171:AY182)</f>
        <v>3309.8490000000002</v>
      </c>
      <c r="AZ184" s="518">
        <f t="shared" ref="AZ184:BC184" si="311">SUM(AZ171:AZ182)</f>
        <v>3318.2159999999999</v>
      </c>
      <c r="BA184" s="518">
        <f t="shared" si="311"/>
        <v>3283.4320000000002</v>
      </c>
      <c r="BB184" s="518">
        <f t="shared" si="311"/>
        <v>3368.0010000000002</v>
      </c>
      <c r="BC184" s="1892">
        <f t="shared" si="311"/>
        <v>3368.0010000000002</v>
      </c>
      <c r="BD184" s="856"/>
      <c r="BE184" s="1891">
        <f>SUM(BE171:BE182)</f>
        <v>3446.5780000000004</v>
      </c>
      <c r="BF184" s="518">
        <f t="shared" ref="BF184:BI184" si="312">SUM(BF171:BF182)</f>
        <v>3385.8789999999999</v>
      </c>
      <c r="BG184" s="518">
        <f t="shared" si="312"/>
        <v>3446.0620000000004</v>
      </c>
      <c r="BH184" s="518">
        <f t="shared" si="312"/>
        <v>3315.2350000000001</v>
      </c>
      <c r="BI184" s="1892">
        <f t="shared" si="312"/>
        <v>3315.2349999999997</v>
      </c>
      <c r="BJ184" s="856"/>
      <c r="BK184" s="1891">
        <f>SUM(BK171:BK182)</f>
        <v>3453.7509999999997</v>
      </c>
      <c r="BL184" s="518">
        <f t="shared" ref="BL184:BO184" si="313">SUM(BL171:BL182)</f>
        <v>3401.6329999999998</v>
      </c>
      <c r="BM184" s="518">
        <f t="shared" si="313"/>
        <v>3433.2489999999998</v>
      </c>
      <c r="BN184" s="518">
        <f t="shared" si="313"/>
        <v>5155.7330000000002</v>
      </c>
      <c r="BO184" s="1892">
        <f t="shared" si="313"/>
        <v>5155.7330000000002</v>
      </c>
      <c r="BP184" s="856"/>
      <c r="BQ184" s="1891">
        <f>SUM(BQ171:BQ182)</f>
        <v>5080.204729563422</v>
      </c>
      <c r="BR184" s="518">
        <f t="shared" ref="BR184:BU184" si="314">SUM(BR171:BR182)</f>
        <v>5105.7433989193114</v>
      </c>
      <c r="BS184" s="518">
        <f t="shared" si="314"/>
        <v>5086.4133579190484</v>
      </c>
      <c r="BT184" s="518">
        <f t="shared" si="314"/>
        <v>5080.0105693042324</v>
      </c>
      <c r="BU184" s="1892">
        <f t="shared" si="314"/>
        <v>5080.0105693042324</v>
      </c>
      <c r="BV184" s="856"/>
      <c r="BW184" s="1891">
        <f>SUM(BW171:BW182)</f>
        <v>5054.3501103876097</v>
      </c>
      <c r="BX184" s="518">
        <f t="shared" ref="BX184:CA184" si="315">SUM(BX171:BX182)</f>
        <v>5086.7016623572345</v>
      </c>
      <c r="BY184" s="518">
        <f t="shared" si="315"/>
        <v>5066.0088092532487</v>
      </c>
      <c r="BZ184" s="518">
        <f t="shared" si="315"/>
        <v>5066.6942844079849</v>
      </c>
      <c r="CA184" s="1892">
        <f t="shared" si="315"/>
        <v>5066.6942844079849</v>
      </c>
      <c r="CB184" s="856"/>
      <c r="CC184" s="1891">
        <f>SUM(CC171:CC182)</f>
        <v>5030.7778551111032</v>
      </c>
      <c r="CD184" s="518">
        <f t="shared" ref="CD184:CG184" si="316">SUM(CD171:CD182)</f>
        <v>5072.0213636123253</v>
      </c>
      <c r="CE184" s="518">
        <f t="shared" si="316"/>
        <v>5049.2866086391568</v>
      </c>
      <c r="CF184" s="518">
        <f t="shared" si="316"/>
        <v>5057.1277757271419</v>
      </c>
      <c r="CG184" s="1892">
        <f t="shared" si="316"/>
        <v>5057.1277757271419</v>
      </c>
      <c r="CH184" s="856"/>
      <c r="CI184" s="1891">
        <f>SUM(CI171:CI182)</f>
        <v>5006.8691042314413</v>
      </c>
      <c r="CJ184" s="518">
        <f t="shared" ref="CJ184:CM184" si="317">SUM(CJ171:CJ182)</f>
        <v>5055.9185368681619</v>
      </c>
      <c r="CK184" s="518">
        <f t="shared" si="317"/>
        <v>5033.68225745984</v>
      </c>
      <c r="CL184" s="518">
        <f t="shared" si="317"/>
        <v>5050.6321487140285</v>
      </c>
      <c r="CM184" s="1892">
        <f t="shared" si="317"/>
        <v>5050.6321487140285</v>
      </c>
    </row>
    <row r="185" spans="1:101">
      <c r="A185" s="856" t="s">
        <v>713</v>
      </c>
      <c r="B185" s="856"/>
      <c r="C185" s="1891">
        <f>SUM(C171:C183)</f>
        <v>802.29399999999987</v>
      </c>
      <c r="D185" s="518">
        <f t="shared" ref="D185:G185" si="318">SUM(D171:D183)</f>
        <v>774.7349999999999</v>
      </c>
      <c r="E185" s="518">
        <f t="shared" si="318"/>
        <v>808.09200000000033</v>
      </c>
      <c r="F185" s="518">
        <f t="shared" si="318"/>
        <v>843.29700000000003</v>
      </c>
      <c r="G185" s="1892">
        <f t="shared" si="318"/>
        <v>843.29700000000003</v>
      </c>
      <c r="H185" s="856"/>
      <c r="I185" s="1891">
        <f>SUM(I171:I183)</f>
        <v>898.34899999999971</v>
      </c>
      <c r="J185" s="518">
        <f t="shared" ref="J185:M185" si="319">SUM(J171:J183)</f>
        <v>869.98799999999983</v>
      </c>
      <c r="K185" s="518">
        <f t="shared" si="319"/>
        <v>892.51099999999974</v>
      </c>
      <c r="L185" s="518">
        <f t="shared" si="319"/>
        <v>840.16300000000001</v>
      </c>
      <c r="M185" s="1892">
        <f t="shared" si="319"/>
        <v>840.16300000000001</v>
      </c>
      <c r="N185" s="856"/>
      <c r="O185" s="1891">
        <f>SUM(O171:O183)</f>
        <v>842.37100000000009</v>
      </c>
      <c r="P185" s="518">
        <f t="shared" ref="P185:S185" si="320">SUM(P171:P183)</f>
        <v>872.28900000000021</v>
      </c>
      <c r="Q185" s="518">
        <f t="shared" si="320"/>
        <v>921.87100000000009</v>
      </c>
      <c r="R185" s="518">
        <f t="shared" si="320"/>
        <v>962.79000000000019</v>
      </c>
      <c r="S185" s="1892">
        <f t="shared" si="320"/>
        <v>962.79000000000019</v>
      </c>
      <c r="T185" s="856"/>
      <c r="U185" s="1891">
        <f>SUM(U171:U183)</f>
        <v>906.60099999999989</v>
      </c>
      <c r="V185" s="518">
        <f t="shared" ref="V185:Y185" si="321">SUM(V171:V183)</f>
        <v>891.51099999999997</v>
      </c>
      <c r="W185" s="518">
        <f t="shared" si="321"/>
        <v>955.24399999999946</v>
      </c>
      <c r="X185" s="518">
        <f t="shared" si="321"/>
        <v>771.52500000000009</v>
      </c>
      <c r="Y185" s="1892">
        <f t="shared" si="321"/>
        <v>771.52500000000009</v>
      </c>
      <c r="Z185" s="856"/>
      <c r="AA185" s="1891">
        <f>SUM(AA171:AA183)</f>
        <v>795.93299999999954</v>
      </c>
      <c r="AB185" s="518">
        <f t="shared" ref="AB185:AE185" si="322">SUM(AB171:AB183)</f>
        <v>860.17199999999957</v>
      </c>
      <c r="AC185" s="518">
        <f t="shared" si="322"/>
        <v>877.47400000000039</v>
      </c>
      <c r="AD185" s="518">
        <f t="shared" si="322"/>
        <v>998.16399999999976</v>
      </c>
      <c r="AE185" s="1892">
        <f t="shared" si="322"/>
        <v>998.16399999999976</v>
      </c>
      <c r="AF185" s="856"/>
      <c r="AG185" s="1891">
        <f>SUM(AG171:AG183)</f>
        <v>1013.636</v>
      </c>
      <c r="AH185" s="518">
        <f t="shared" ref="AH185:AK185" si="323">SUM(AH171:AH183)</f>
        <v>961.81799999999976</v>
      </c>
      <c r="AI185" s="518">
        <f t="shared" si="323"/>
        <v>1045.9850000000001</v>
      </c>
      <c r="AJ185" s="518">
        <f t="shared" si="323"/>
        <v>1028.2020000000002</v>
      </c>
      <c r="AK185" s="1892">
        <f t="shared" si="323"/>
        <v>1028.2020000000002</v>
      </c>
      <c r="AL185" s="856"/>
      <c r="AM185" s="1891">
        <f>SUM(AM171:AM183)</f>
        <v>1004.6009999999997</v>
      </c>
      <c r="AN185" s="518">
        <f t="shared" ref="AN185:AQ185" si="324">SUM(AN171:AN183)</f>
        <v>1020.6860000000001</v>
      </c>
      <c r="AO185" s="518">
        <f t="shared" si="324"/>
        <v>1001.4030000000002</v>
      </c>
      <c r="AP185" s="518">
        <f t="shared" si="324"/>
        <v>1030.1779999999999</v>
      </c>
      <c r="AQ185" s="1892">
        <f t="shared" si="324"/>
        <v>1030.1779999999999</v>
      </c>
      <c r="AR185" s="856"/>
      <c r="AS185" s="1891">
        <f>SUM(AS171:AS183)</f>
        <v>1001.6540000000005</v>
      </c>
      <c r="AT185" s="518">
        <f t="shared" ref="AT185:AW185" si="325">SUM(AT171:AT183)</f>
        <v>1011.9430000000002</v>
      </c>
      <c r="AU185" s="518">
        <f t="shared" si="325"/>
        <v>993.27599999999984</v>
      </c>
      <c r="AV185" s="518">
        <f t="shared" si="325"/>
        <v>1078.942</v>
      </c>
      <c r="AW185" s="1892">
        <f t="shared" si="325"/>
        <v>1078.942</v>
      </c>
      <c r="AX185" s="856"/>
      <c r="AY185" s="1891">
        <f>SUM(AY171:AY183)</f>
        <v>1056.6410000000001</v>
      </c>
      <c r="AZ185" s="518">
        <f t="shared" ref="AZ185:BC185" si="326">SUM(AZ171:AZ183)</f>
        <v>1042.3179999999998</v>
      </c>
      <c r="BA185" s="518">
        <f t="shared" si="326"/>
        <v>1029.489</v>
      </c>
      <c r="BB185" s="518">
        <f t="shared" si="326"/>
        <v>1091.8520000000003</v>
      </c>
      <c r="BC185" s="1892">
        <f t="shared" si="326"/>
        <v>1091.8520000000003</v>
      </c>
      <c r="BD185" s="856"/>
      <c r="BE185" s="1891">
        <f>SUM(BE171:BE183)</f>
        <v>1150.4320000000002</v>
      </c>
      <c r="BF185" s="518">
        <f t="shared" ref="BF185:BI185" si="327">SUM(BF171:BF183)</f>
        <v>1113.6769999999997</v>
      </c>
      <c r="BG185" s="518">
        <f t="shared" si="327"/>
        <v>1132.1620000000003</v>
      </c>
      <c r="BH185" s="518">
        <f t="shared" si="327"/>
        <v>1067.2690000000002</v>
      </c>
      <c r="BI185" s="1892">
        <f t="shared" si="327"/>
        <v>1067.2689999999998</v>
      </c>
      <c r="BJ185" s="856"/>
      <c r="BK185" s="1891">
        <f>SUM(BK171:BK183)</f>
        <v>1121.2179999999998</v>
      </c>
      <c r="BL185" s="518">
        <f t="shared" ref="BL185:BO185" si="328">SUM(BL171:BL183)</f>
        <v>1044.9429999999998</v>
      </c>
      <c r="BM185" s="518">
        <f t="shared" si="328"/>
        <v>1060.2399999999998</v>
      </c>
      <c r="BN185" s="518">
        <f t="shared" si="328"/>
        <v>2153.5350000000003</v>
      </c>
      <c r="BO185" s="1892">
        <f t="shared" si="328"/>
        <v>2153.5350000000003</v>
      </c>
      <c r="BP185" s="856"/>
      <c r="BQ185" s="1891">
        <f>SUM(BQ171:BQ183)</f>
        <v>2078.0067295634221</v>
      </c>
      <c r="BR185" s="518">
        <f t="shared" ref="BR185:BU185" si="329">SUM(BR171:BR183)</f>
        <v>2103.5453989193115</v>
      </c>
      <c r="BS185" s="518">
        <f t="shared" si="329"/>
        <v>2084.2153579190485</v>
      </c>
      <c r="BT185" s="518">
        <f t="shared" si="329"/>
        <v>2077.8125693042325</v>
      </c>
      <c r="BU185" s="1892">
        <f t="shared" si="329"/>
        <v>2077.8125693042325</v>
      </c>
      <c r="BV185" s="856"/>
      <c r="BW185" s="1891">
        <f>SUM(BW171:BW183)</f>
        <v>2052.1521103876098</v>
      </c>
      <c r="BX185" s="518">
        <f t="shared" ref="BX185:CA185" si="330">SUM(BX171:BX183)</f>
        <v>2084.5036623572346</v>
      </c>
      <c r="BY185" s="518">
        <f t="shared" si="330"/>
        <v>2063.8108092532489</v>
      </c>
      <c r="BZ185" s="518">
        <f t="shared" si="330"/>
        <v>2064.4962844079851</v>
      </c>
      <c r="CA185" s="1892">
        <f t="shared" si="330"/>
        <v>2064.4962844079851</v>
      </c>
      <c r="CB185" s="856"/>
      <c r="CC185" s="1891">
        <f>SUM(CC171:CC183)</f>
        <v>2028.5798551111034</v>
      </c>
      <c r="CD185" s="518">
        <f t="shared" ref="CD185:CG185" si="331">SUM(CD171:CD183)</f>
        <v>2069.8233636123255</v>
      </c>
      <c r="CE185" s="518">
        <f t="shared" si="331"/>
        <v>2047.088608639157</v>
      </c>
      <c r="CF185" s="518">
        <f t="shared" si="331"/>
        <v>2054.929775727142</v>
      </c>
      <c r="CG185" s="1892">
        <f t="shared" si="331"/>
        <v>2054.929775727142</v>
      </c>
      <c r="CH185" s="856"/>
      <c r="CI185" s="1891">
        <f>SUM(CI171:CI183)</f>
        <v>2004.6711042314414</v>
      </c>
      <c r="CJ185" s="518">
        <f t="shared" ref="CJ185:CM185" si="332">SUM(CJ171:CJ183)</f>
        <v>2053.7205368681621</v>
      </c>
      <c r="CK185" s="518">
        <f t="shared" si="332"/>
        <v>2031.4842574598401</v>
      </c>
      <c r="CL185" s="518">
        <f t="shared" si="332"/>
        <v>2048.4341487140287</v>
      </c>
      <c r="CM185" s="1892">
        <f t="shared" si="332"/>
        <v>2048.4341487140287</v>
      </c>
    </row>
    <row r="186" spans="1:101">
      <c r="A186" s="856"/>
      <c r="B186" s="856"/>
      <c r="C186" s="1834"/>
      <c r="D186" s="58"/>
      <c r="E186" s="58"/>
      <c r="F186" s="58"/>
      <c r="G186" s="855"/>
      <c r="H186" s="856"/>
      <c r="I186" s="1834"/>
      <c r="J186" s="58"/>
      <c r="K186" s="58"/>
      <c r="L186" s="58"/>
      <c r="M186" s="855"/>
      <c r="N186" s="856"/>
      <c r="O186" s="1834"/>
      <c r="P186" s="58"/>
      <c r="Q186" s="58"/>
      <c r="R186" s="58"/>
      <c r="S186" s="855"/>
      <c r="T186" s="856"/>
      <c r="U186" s="1834"/>
      <c r="V186" s="58"/>
      <c r="W186" s="58"/>
      <c r="X186" s="58"/>
      <c r="Y186" s="855"/>
      <c r="Z186" s="856"/>
      <c r="AA186" s="1834"/>
      <c r="AB186" s="58"/>
      <c r="AC186" s="58"/>
      <c r="AD186" s="58"/>
      <c r="AE186" s="855"/>
      <c r="AF186" s="856"/>
      <c r="AG186" s="1834"/>
      <c r="AH186" s="58"/>
      <c r="AI186" s="58"/>
      <c r="AJ186" s="58"/>
      <c r="AK186" s="855"/>
      <c r="AL186" s="856"/>
      <c r="AM186" s="1834"/>
      <c r="AN186" s="58"/>
      <c r="AO186" s="58"/>
      <c r="AP186" s="58"/>
      <c r="AQ186" s="855"/>
      <c r="AR186" s="856"/>
      <c r="AS186" s="1834"/>
      <c r="AT186" s="58"/>
      <c r="AU186" s="58"/>
      <c r="AV186" s="58"/>
      <c r="AW186" s="855"/>
      <c r="AX186" s="856"/>
      <c r="AY186" s="1834"/>
      <c r="AZ186" s="58"/>
      <c r="BA186" s="58"/>
      <c r="BB186" s="58"/>
      <c r="BC186" s="855"/>
      <c r="BD186" s="856"/>
      <c r="BE186" s="1834"/>
      <c r="BF186" s="58"/>
      <c r="BG186" s="58"/>
      <c r="BH186" s="58"/>
      <c r="BI186" s="855"/>
      <c r="BJ186" s="856"/>
      <c r="BK186" s="1834"/>
      <c r="BL186" s="58"/>
      <c r="BM186" s="58"/>
      <c r="BN186" s="58"/>
      <c r="BO186" s="855"/>
      <c r="BP186" s="856"/>
      <c r="BQ186" s="1834"/>
      <c r="BR186" s="58"/>
      <c r="BS186" s="58"/>
      <c r="BT186" s="58"/>
      <c r="BU186" s="855"/>
      <c r="BV186" s="856"/>
      <c r="BW186" s="1834"/>
      <c r="BX186" s="58"/>
      <c r="BY186" s="58"/>
      <c r="BZ186" s="58"/>
      <c r="CA186" s="855"/>
      <c r="CB186" s="856"/>
      <c r="CC186" s="1834"/>
      <c r="CD186" s="58"/>
      <c r="CE186" s="58"/>
      <c r="CF186" s="58"/>
      <c r="CG186" s="855"/>
      <c r="CH186" s="856"/>
      <c r="CI186" s="1834"/>
      <c r="CJ186" s="58"/>
      <c r="CK186" s="58"/>
      <c r="CL186" s="58"/>
      <c r="CM186" s="855"/>
    </row>
    <row r="187" spans="1:101">
      <c r="A187" s="856" t="s">
        <v>714</v>
      </c>
      <c r="B187" s="856"/>
      <c r="C187" s="2259">
        <f>C167*4/C184</f>
        <v>6.6783161254012763E-2</v>
      </c>
      <c r="D187" s="2233">
        <f>D167*4/D184</f>
        <v>7.9724612378539325E-2</v>
      </c>
      <c r="E187" s="2233">
        <f>E167*4/E184</f>
        <v>8.8669531740041399E-2</v>
      </c>
      <c r="F187" s="2233">
        <f>F167*4/F184</f>
        <v>9.8943599648376512E-2</v>
      </c>
      <c r="G187" s="2232">
        <f>G167/AVERAGE(C184:F184)</f>
        <v>8.4017822352113469E-2</v>
      </c>
      <c r="H187" s="856"/>
      <c r="I187" s="2259">
        <f>I167*4/I184</f>
        <v>6.0094087255822486E-2</v>
      </c>
      <c r="J187" s="2233">
        <f>J167*4/J184</f>
        <v>7.4864598069329782E-2</v>
      </c>
      <c r="K187" s="2233">
        <f>K167*4/K184</f>
        <v>8.0589657906443526E-2</v>
      </c>
      <c r="L187" s="2233">
        <f>L167*4/L184</f>
        <v>0.11139475507056555</v>
      </c>
      <c r="M187" s="2232">
        <f>M167/AVERAGE(I184:L184)</f>
        <v>8.1434979672781987E-2</v>
      </c>
      <c r="N187" s="856"/>
      <c r="O187" s="2259">
        <f>O167*4/O184</f>
        <v>6.0235152927680821E-2</v>
      </c>
      <c r="P187" s="2233">
        <f>P167*4/P184</f>
        <v>6.388580439652547E-2</v>
      </c>
      <c r="Q187" s="2233">
        <f>Q167*4/Q184</f>
        <v>5.5497937287086838E-2</v>
      </c>
      <c r="R187" s="2233">
        <f>R167*4/R184</f>
        <v>5.8079850255469183E-2</v>
      </c>
      <c r="S187" s="2232">
        <f>S167/AVERAGE(O184:R184)</f>
        <v>5.9365123041604587E-2</v>
      </c>
      <c r="T187" s="856"/>
      <c r="U187" s="2259">
        <f>U167*4/U184</f>
        <v>5.9782449292553143E-2</v>
      </c>
      <c r="V187" s="2233">
        <f>V167*4/V184</f>
        <v>7.0867842046535887E-2</v>
      </c>
      <c r="W187" s="2233">
        <f>W167*4/W184</f>
        <v>7.0913390784270947E-2</v>
      </c>
      <c r="X187" s="2233">
        <f>X167*4/X184</f>
        <v>0.1054580576073051</v>
      </c>
      <c r="Y187" s="2232">
        <f>Y167/AVERAGE(U184:X184)</f>
        <v>7.641569310916714E-2</v>
      </c>
      <c r="Z187" s="856"/>
      <c r="AA187" s="2259">
        <f>AA167*4/AA184</f>
        <v>0.1160775270053882</v>
      </c>
      <c r="AB187" s="2233">
        <f>AB167*4/AB184</f>
        <v>0.11729179583559522</v>
      </c>
      <c r="AC187" s="2233">
        <f>AC167*4/AC184</f>
        <v>0.11307913344993024</v>
      </c>
      <c r="AD187" s="2233">
        <f>AD167*4/AD184</f>
        <v>9.332879256556019E-2</v>
      </c>
      <c r="AE187" s="2232">
        <f>AE167/AVERAGE(AA184:AD184)</f>
        <v>0.10909811505340057</v>
      </c>
      <c r="AF187" s="856"/>
      <c r="AG187" s="2259">
        <f>AG167*4/AG184</f>
        <v>7.2239676147043533E-2</v>
      </c>
      <c r="AH187" s="2233">
        <f>AH167*4/AH184</f>
        <v>8.4118978826718205E-2</v>
      </c>
      <c r="AI187" s="2233">
        <f>AI167*4/AI184</f>
        <v>7.1120040729849773E-2</v>
      </c>
      <c r="AJ187" s="2233">
        <f>AJ167*4/AJ184</f>
        <v>0.10690409979960844</v>
      </c>
      <c r="AK187" s="2232">
        <f>AK167/AVERAGE(AG184:AJ184)</f>
        <v>8.821295918364061E-2</v>
      </c>
      <c r="AL187" s="856"/>
      <c r="AM187" s="2259">
        <f>AM167*4/AM184</f>
        <v>6.5882937207349127E-2</v>
      </c>
      <c r="AN187" s="2233">
        <f>AN167*4/AN184</f>
        <v>8.5249139489583597E-2</v>
      </c>
      <c r="AO187" s="2233">
        <f>AO167*4/AO184</f>
        <v>8.3429159516169041E-2</v>
      </c>
      <c r="AP187" s="2233">
        <f>AP167*4/AP184</f>
        <v>0.11728555546259527</v>
      </c>
      <c r="AQ187" s="2232">
        <f>AQ167/AVERAGE(AM184:AP184)</f>
        <v>8.809907560205861E-2</v>
      </c>
      <c r="AR187" s="856"/>
      <c r="AS187" s="2259">
        <f>AS167*4/AS184</f>
        <v>7.8771484814963003E-2</v>
      </c>
      <c r="AT187" s="2233">
        <f>AT167*4/AT184</f>
        <v>9.3984058129472969E-2</v>
      </c>
      <c r="AU187" s="2233">
        <f>AU167*4/AU184</f>
        <v>9.2863698394606856E-2</v>
      </c>
      <c r="AV187" s="2233">
        <f>AV167*4/AV184</f>
        <v>0.10596124578343759</v>
      </c>
      <c r="AW187" s="2232">
        <f>AW167/AVERAGE(AS184:AV184)</f>
        <v>9.2545092754965877E-2</v>
      </c>
      <c r="AX187" s="856"/>
      <c r="AY187" s="2259">
        <f>AY167*4/AY184</f>
        <v>6.7931467725891037E-2</v>
      </c>
      <c r="AZ187" s="2233">
        <f>AZ167*4/AZ184</f>
        <v>8.3297099822647352E-2</v>
      </c>
      <c r="BA187" s="2233">
        <f>BA167*4/BA184</f>
        <v>8.6207348657208221E-2</v>
      </c>
      <c r="BB187" s="2233">
        <f>BB167*4/BB184</f>
        <v>0.11707924699862381</v>
      </c>
      <c r="BC187" s="2232">
        <f>BC167/AVERAGE(AY184:BB184)</f>
        <v>8.8795662463274472E-2</v>
      </c>
      <c r="BD187" s="856"/>
      <c r="BE187" s="2259">
        <f>BE167*4/BE184</f>
        <v>7.3889517655017473E-2</v>
      </c>
      <c r="BF187" s="2233">
        <f>BF167*4/BF184</f>
        <v>8.5085990999824695E-2</v>
      </c>
      <c r="BG187" s="2233">
        <f>BG167*4/BG184</f>
        <v>9.1634481772147502E-2</v>
      </c>
      <c r="BH187" s="2233">
        <f>BH167*4/BH184</f>
        <v>0.12242473882114771</v>
      </c>
      <c r="BI187" s="2232">
        <f>BI167/AVERAGE(BE184:BH184)</f>
        <v>9.295961825657903E-2</v>
      </c>
      <c r="BJ187" s="856"/>
      <c r="BK187" s="2259">
        <f>BK167*4/BK184</f>
        <v>8.1002411004624089E-2</v>
      </c>
      <c r="BL187" s="2233">
        <f>BL167*4/BL184</f>
        <v>9.1570115550506731E-2</v>
      </c>
      <c r="BM187" s="2233">
        <f>BM167*4/BM184</f>
        <v>9.9724568029768965E-2</v>
      </c>
      <c r="BN187" s="2233">
        <f>BN167*4/BN184</f>
        <v>9.5886803933530593E-2</v>
      </c>
      <c r="BO187" s="2232">
        <f>BO167/AVERAGE(BK184:BN184)</f>
        <v>9.2286459609327243E-2</v>
      </c>
      <c r="BP187" s="856"/>
      <c r="BQ187" s="2259">
        <f>BQ167*4/BQ184</f>
        <v>6.5015607572412953E-2</v>
      </c>
      <c r="BR187" s="2233">
        <f>BR167*4/BR184</f>
        <v>8.6262140899406231E-2</v>
      </c>
      <c r="BS187" s="2233">
        <f>BS167*4/BS184</f>
        <v>9.103147836691769E-2</v>
      </c>
      <c r="BT187" s="2233">
        <f>BT167*4/BT184</f>
        <v>0.11230149158885144</v>
      </c>
      <c r="BU187" s="2232">
        <f>BU167/AVERAGE(BQ184:BT184)</f>
        <v>8.8650179959213538E-2</v>
      </c>
      <c r="BV187" s="856"/>
      <c r="BW187" s="2259">
        <f>BW167*4/BW184</f>
        <v>7.4004743708575321E-2</v>
      </c>
      <c r="BX187" s="2233">
        <f>BX167*4/BX184</f>
        <v>9.7604882498029941E-2</v>
      </c>
      <c r="BY187" s="2233">
        <f>BY167*4/BY184</f>
        <v>0.10328086708851646</v>
      </c>
      <c r="BZ187" s="2233">
        <f>BZ167*4/BZ184</f>
        <v>0.12680765524032653</v>
      </c>
      <c r="CA187" s="2232">
        <f>CA167/AVERAGE(BW184:BZ184)</f>
        <v>0.10043774429209126</v>
      </c>
      <c r="CB187" s="856"/>
      <c r="CC187" s="2259">
        <f>CC167*4/CC184</f>
        <v>8.4090493265644661E-2</v>
      </c>
      <c r="CD187" s="2233">
        <f>CD167*4/CD184</f>
        <v>0.10995968540209464</v>
      </c>
      <c r="CE187" s="2233">
        <f>CE167*4/CE184</f>
        <v>0.11588547296641058</v>
      </c>
      <c r="CF187" s="2233">
        <f>CF167*4/CF184</f>
        <v>0.14090397156533682</v>
      </c>
      <c r="CG187" s="2232">
        <f>CG167/AVERAGE(CC184:CF184)</f>
        <v>0.11274396246629728</v>
      </c>
      <c r="CH187" s="856"/>
      <c r="CI187" s="2259">
        <f>CI167*4/CI184</f>
        <v>9.3662604723209586E-2</v>
      </c>
      <c r="CJ187" s="2233">
        <f>CJ167*4/CJ184</f>
        <v>0.12133163580589675</v>
      </c>
      <c r="CK187" s="2233">
        <f>CK167*4/CK184</f>
        <v>0.12806602169434395</v>
      </c>
      <c r="CL187" s="2233">
        <f>CL167*4/CL184</f>
        <v>0.15480099780783968</v>
      </c>
      <c r="CM187" s="2232">
        <f>CM167/AVERAGE(CI184:CL184)</f>
        <v>0.12452837236197697</v>
      </c>
    </row>
    <row r="188" spans="1:101">
      <c r="A188" s="1893" t="s">
        <v>715</v>
      </c>
      <c r="B188" s="856"/>
      <c r="C188" s="1360">
        <f>C167*4/C185</f>
        <v>0.16304794163659933</v>
      </c>
      <c r="D188" s="2260">
        <f>D167*4/D185</f>
        <v>0.19897538962533601</v>
      </c>
      <c r="E188" s="2260">
        <f>E167*4/E185</f>
        <v>0.21792884595924247</v>
      </c>
      <c r="F188" s="2260">
        <f>F167*4/F185</f>
        <v>0.2580020150404857</v>
      </c>
      <c r="G188" s="1550">
        <f>G167/AVERAGE(C185:F185)</f>
        <v>0.21020960298055297</v>
      </c>
      <c r="H188" s="856"/>
      <c r="I188" s="1360">
        <f>I167*4/I185</f>
        <v>0.1562753044174211</v>
      </c>
      <c r="J188" s="2260">
        <f>J167*4/J185</f>
        <v>0.19899413718393058</v>
      </c>
      <c r="K188" s="2260">
        <f>K167*4/K185</f>
        <v>0.20871976550827975</v>
      </c>
      <c r="L188" s="2260">
        <f>L167*4/L185</f>
        <v>0.29652502782357909</v>
      </c>
      <c r="M188" s="1550">
        <f>M167/AVERAGE(I185:L185)</f>
        <v>0.21391715663085928</v>
      </c>
      <c r="N188" s="856"/>
      <c r="O188" s="1360">
        <f>O167*4/O185</f>
        <v>0.15929106751379851</v>
      </c>
      <c r="P188" s="2260">
        <f>P167*4/P185</f>
        <v>0.16828376122226793</v>
      </c>
      <c r="Q188" s="2260">
        <f>Q167*4/Q185</f>
        <v>0.14420754958162149</v>
      </c>
      <c r="R188" s="2260">
        <f>R167*4/R185</f>
        <v>0.14370960984986117</v>
      </c>
      <c r="S188" s="1550">
        <f>S167/AVERAGE(O185:R185)</f>
        <v>0.15343926891577153</v>
      </c>
      <c r="T188" s="856"/>
      <c r="U188" s="1360">
        <f>U167*4/U185</f>
        <v>0.15476845333986722</v>
      </c>
      <c r="V188" s="2260">
        <f>V167*4/V185</f>
        <v>0.19210067503400075</v>
      </c>
      <c r="W188" s="2260">
        <f>W167*4/W185</f>
        <v>0.18435207016167815</v>
      </c>
      <c r="X188" s="2260">
        <f>X167*4/X185</f>
        <v>0.3111479146544997</v>
      </c>
      <c r="Y188" s="1550">
        <f>Y167/AVERAGE(U185:X185)</f>
        <v>0.20645596354315196</v>
      </c>
      <c r="Z188" s="856"/>
      <c r="AA188" s="1360">
        <f>AA167*4/AA185</f>
        <v>0.34728302775184217</v>
      </c>
      <c r="AB188" s="2260">
        <f>AB167*4/AB185</f>
        <v>0.36016366848579345</v>
      </c>
      <c r="AC188" s="2260">
        <f>AC167*4/AC185</f>
        <v>0.33968290023279163</v>
      </c>
      <c r="AD188" s="2260">
        <f>AD167*4/AD185</f>
        <v>0.28908378539626095</v>
      </c>
      <c r="AE188" s="1550">
        <f>AE167/AVERAGE(AA185:AD185)</f>
        <v>0.33208324216725571</v>
      </c>
      <c r="AF188" s="856"/>
      <c r="AG188" s="1360">
        <f>AG167*4/AG185</f>
        <v>0.22212020631578777</v>
      </c>
      <c r="AH188" s="2260">
        <f>AH167*4/AH185</f>
        <v>0.26603497920092362</v>
      </c>
      <c r="AI188" s="2260">
        <f>AI167*4/AI185</f>
        <v>0.21338602766192041</v>
      </c>
      <c r="AJ188" s="2260">
        <f>AJ167*4/AJ185</f>
        <v>0.32761436899322133</v>
      </c>
      <c r="AK188" s="1550">
        <f>AK167/AVERAGE(AG185:AJ185)</f>
        <v>0.27115081268518976</v>
      </c>
      <c r="AL188" s="856"/>
      <c r="AM188" s="1360">
        <f>AM167*4/AM185</f>
        <v>0.20436557235176947</v>
      </c>
      <c r="AN188" s="2260">
        <f>AN167*4/AN185</f>
        <v>0.26206915440709672</v>
      </c>
      <c r="AO188" s="2260">
        <f>AO167*4/AO185</f>
        <v>0.26097186092218788</v>
      </c>
      <c r="AP188" s="2260">
        <f>AP167*4/AP185</f>
        <v>0.36127933092955067</v>
      </c>
      <c r="AQ188" s="1550">
        <f>AQ167/AVERAGE(AM185:AP185)</f>
        <v>0.27274732577417815</v>
      </c>
      <c r="AR188" s="856"/>
      <c r="AS188" s="1360">
        <f>AS167*4/AS185</f>
        <v>0.24725874381751056</v>
      </c>
      <c r="AT188" s="2260">
        <f>AT167*4/AT185</f>
        <v>0.29290518451585007</v>
      </c>
      <c r="AU188" s="2260">
        <f>AU167*4/AU185</f>
        <v>0.29136990881434227</v>
      </c>
      <c r="AV188" s="2260">
        <f>AV167*4/AV185</f>
        <v>0.33027695912604249</v>
      </c>
      <c r="AW188" s="1550">
        <f>AW167/AVERAGE(AS185:AV185)</f>
        <v>0.28941291067124886</v>
      </c>
      <c r="AX188" s="856"/>
      <c r="AY188" s="1360">
        <f>AY167*4/AY185</f>
        <v>0.21279024807959629</v>
      </c>
      <c r="AZ188" s="2260">
        <f>AZ167*4/AZ185</f>
        <v>0.26517604932957667</v>
      </c>
      <c r="BA188" s="2260">
        <f>BA167*4/BA185</f>
        <v>0.27494802490967318</v>
      </c>
      <c r="BB188" s="2260">
        <f>BB167*4/BB185</f>
        <v>0.36115061470841459</v>
      </c>
      <c r="BC188" s="1550">
        <f>BC167/AVERAGE(AY185:BB185)</f>
        <v>0.27940236999495971</v>
      </c>
      <c r="BD188" s="856"/>
      <c r="BE188" s="1360">
        <f>BE167*4/BE185</f>
        <v>0.22136552701975848</v>
      </c>
      <c r="BF188" s="2260">
        <f>BF167*4/BF185</f>
        <v>0.25868440321609903</v>
      </c>
      <c r="BG188" s="2260">
        <f>BG167*4/BG185</f>
        <v>0.27891600806659306</v>
      </c>
      <c r="BH188" s="2260">
        <f>BH167*4/BH185</f>
        <v>0.38028536292699178</v>
      </c>
      <c r="BI188" s="1550">
        <f>BI167/AVERAGE(BE185:BH185)</f>
        <v>0.28310941147919455</v>
      </c>
      <c r="BJ188" s="856"/>
      <c r="BK188" s="1360">
        <f>BK167*4/BK185</f>
        <v>0.2495162921123559</v>
      </c>
      <c r="BL188" s="2260">
        <f>BL167*4/BL185</f>
        <v>0.29809083066771769</v>
      </c>
      <c r="BM188" s="2260">
        <f>BM167*4/BM185</f>
        <v>0.32292619922247445</v>
      </c>
      <c r="BN188" s="2260">
        <f>BN167*4/BN185</f>
        <v>0.2295605872691335</v>
      </c>
      <c r="BO188" s="1550">
        <f>BO167/AVERAGE(BK185:BN185)</f>
        <v>0.26492989118284438</v>
      </c>
      <c r="BP188" s="856"/>
      <c r="BQ188" s="1360">
        <f>BQ167*4/BQ185</f>
        <v>0.15894683707506779</v>
      </c>
      <c r="BR188" s="2260">
        <f>BR167*4/BR185</f>
        <v>0.20937620680783089</v>
      </c>
      <c r="BS188" s="2260">
        <f>BS167*4/BS185</f>
        <v>0.22215733407650715</v>
      </c>
      <c r="BT188" s="2260">
        <f>BT167*4/BT185</f>
        <v>0.27456411259030378</v>
      </c>
      <c r="BU188" s="1550">
        <f>BU167/AVERAGE(BQ185:BT185)</f>
        <v>0.21624307950414171</v>
      </c>
      <c r="BV188" s="856"/>
      <c r="BW188" s="1360">
        <f>BW167*4/BW185</f>
        <v>0.18227005816932099</v>
      </c>
      <c r="BX188" s="2260">
        <f>BX167*4/BX185</f>
        <v>0.2381799212074617</v>
      </c>
      <c r="BY188" s="2260">
        <f>BY167*4/BY185</f>
        <v>0.25352216402387012</v>
      </c>
      <c r="BZ188" s="2260">
        <f>BZ167*4/BZ185</f>
        <v>0.31121180836108053</v>
      </c>
      <c r="CA188" s="1550">
        <f>CA167/AVERAGE(BW185:BZ185)</f>
        <v>0.24637136790888861</v>
      </c>
      <c r="CB188" s="856"/>
      <c r="CC188" s="1360">
        <f>CC167*4/CC185</f>
        <v>0.20854027031783032</v>
      </c>
      <c r="CD188" s="2260">
        <f>CD167*4/CD185</f>
        <v>0.26945191715401567</v>
      </c>
      <c r="CE188" s="2260">
        <f>CE167*4/CE185</f>
        <v>0.28583958911973761</v>
      </c>
      <c r="CF188" s="2260">
        <f>CF167*4/CF185</f>
        <v>0.34676094372187871</v>
      </c>
      <c r="CG188" s="1550">
        <f>CG167/AVERAGE(CC185:CF185)</f>
        <v>0.27784752177639982</v>
      </c>
      <c r="CH188" s="856"/>
      <c r="CI188" s="1360">
        <f>CI167*4/CI185</f>
        <v>0.2339318408992932</v>
      </c>
      <c r="CJ188" s="2260">
        <f>CJ167*4/CJ185</f>
        <v>0.29869831633229166</v>
      </c>
      <c r="CK188" s="2260">
        <f>CK167*4/CK185</f>
        <v>0.31732643697290863</v>
      </c>
      <c r="CL188" s="2260">
        <f>CL167*4/CL185</f>
        <v>0.38167831593322749</v>
      </c>
      <c r="CM188" s="1550">
        <f>CM167/AVERAGE(CI185:CL185)</f>
        <v>0.30828093439351784</v>
      </c>
    </row>
  </sheetData>
  <phoneticPr fontId="2" type="noConversion"/>
  <pageMargins left="0" right="0" top="0" bottom="0" header="0" footer="0"/>
  <pageSetup orientation="landscape" r:id="rId1"/>
  <headerFooter alignWithMargins="0"/>
  <ignoredErrors>
    <ignoredError sqref="BQ143:BU160 BQ142:BU142 AX141 AS142:BD142 BJ141 BF142:BK142 BJ140 BJ139 AX140 AX139 C138:BK138 H140 AR139 AR140 H139 N139 T139 Z139 AF139 AL139 BD139 BP139 N140 T140 Z140 AF140 AL140 BD140 BP140 BD141 BP141 BM142 BM138 BO39 BO38 BO37 BO36 BO35 BO31 BO30 BU33:BU36 BI39:BJ39 BI38:BJ38 BI37:BJ37 BI36:BJ36 BI35:BJ35 BI31:BJ31 BI30:BJ30 BC38:BD38 BC37:BD37 BC35:BD35 BC30:BD30 BC39:BD39 BC36:BD36 BC31:BD31 AW30:AW39 AX38 AX37 AX35 AX30 AX39 AQ37:AR39 AQ35:AR36 AQ30:AR31 AX36 BU30:BU31 M37:M39 AK37:AK39 G37:G39 A37:F39 H37:L39 N37:AJ39 AL37:AN39 AX31 AL35:AN36 N35:AJ36 H35:L36 A35:F36 G36 AK36 M36 AK35 G35 AL30:AL31 AK30:AK31 Y30:Y31 Z30:AJ31 S30:X31 M32:M34 M35 G32:G34 G30:G31 AK32:AK34 M30:M31 A30:F31 N30:R31 A32:F34 AL32:AV34 H30:L31 H32:L34 N32:AJ34 AM30:AP30 AO35:AP35 AO36:AP36 AM31:AP31 AY31:BB31 AO37:AP39 BV30:CM30 BV31:CM31 AY36:BB36 AS30:AV30 AS31:AV31 AS35:AV35 AS36:AV36 AS38:AV38 AS39:AV39 AY39:BB39 AY30:BB30 AY35:BB35 AS37:AV37 AY37:BB37 AY38:BB38 AX32:BM32 BE31:BH31 BE36:BH36 BE39:BH39 BE30:BH30 BE35:BH35 BE37:BH37 BE38:BH38 BK30:BM30 BK31:BM31 BK35:BM35 BK36:BM36 BK37:BM37 BK38:BM38 BK39:BM39 AX33:BP34 BV33:CM34 BV35:CM35 BV36:CM36 BP30 BP31 BP35 BP36 BP37:CM37 BP38:CM38 BP39:CM39 BO32:CM32 BP142 BP138:BU138 CX141:CY141 CX139:CY139 CX142:CY142 CX140:CY140" unlockedFormula="1"/>
    <ignoredError sqref="BU26:CM26 BU20:CM20 BU19:CM19 BU18:CM18 BU16:CM16 BU24:CM24 BU22:CM23 BP28:CM28 BP26 BP24 BP21:CM21 BP20 BP19 BP18 BP17:CM17 BP16 BP14:CM14 BP10:CM10 BP27:CM27 BP25:CM25 BP12:BT12 BP11:BT11 BK28:BM28 BK27:BM27 BK25:BM25 BK21:BM21 BK20:BM20 BK19:BM19 BK18:BM18 BK17:BM17 BK16:BM16 BK14:BM14 BK13:BM13 BK12:BM12 BK11:BM11 BK10:BM10 BK24:BM24 BP22:BP23 BE13:BH13 BK26:BM26 BP13:BT13 BB22:BB23 BE27:BH27 BE26:BH26 BE25:BH25 BE24:BH24 BE28:BH28 BE21:BH21 BE20:BH20 BE19:BH19 BE18:BH18 BE17:BH17 BE16:BH16 BE12:BH12 BE11:BH11 BE14:BH14 BE10:BH10 AX15:BT15 AX29:CM29 AY22:AZ23 AY27:BB27 AY26:BB26 AS26:AV26 AY25:BB25 AS25:AV25 AY24:BB24 AS24:AV24 AY28:BB28 AS28:AV28 AY21:BB21 AY20:BB20 AS20:AV20 AY19:BB19 AS19:AV19 AY18:BB18 AS18:AV18 AY17:BB17 AS17:AV17 AY16:BB16 AS16:AV16 AY13:BB13 AY12:BB12 AS12:AV12 AY11:BB11 AS11:AV11 AV22:AV23 AS27:AV27 AS21:AV21 AS13:AV13 AS14:AV14 AS10:AV10 AY14:BB14 BV11:CM13 BV15:CM15 AM10:AQ10 AT22:AT23 AY10:BB10 A10:R10 AM24:AP28 AM16:AP21 AM11:AP13 AM14:AP14 AN22:AN23 N22:R23 N24:R28 N14:R14 H14:L14 A14:F14 H16:L28 H11:L13 N11:R13 A11:F13 A15:AV15 N16:R21 A16:F28 A29:AV29 A7:CM9 M16:M28 M11:M13 G11:G13 G16:G28 G14 M14 AM22:AM23 AK14 Y11:Y13 AK11:AK13 Z11:AJ14 S11:X14 Y14 Y16:Y28 Z16:AJ28 S16:X28 AX10 AK16:AK28 AL11:AL14 AL16:AL28 AO22:AO23 AP22:AP23 AS22:AS23 AL10 S10:X10 Z10:AJ10 AK10 Y10 BU15 BU11:BU13 AX14 AR10 AQ11:AR14 AQ16:AR28 AU22:AU23 AX11 AX12 AX13 AX16 AX17 AX18 AX19 AX20 AX21 AX28 AX24 AX25 AX26 AX27 AX22:AX23 AW10:AW29 BC10:BD10 BC14:BD14 BC11:BD11 BC12:BD12 BC16:BD16 BC17:BD17 BC18:BD18 BC19:BD19 BC20:BD20 BC21:BD21 BC28:BD28 BC24:BD24 BC25:BD25 BC26:BD26 BC27:BD27 BA22:BA23 BO13 BI26:BJ26 BC13:BD13 BC22:BO23 BI24:BJ24 BI10:BJ10 BI11:BJ11 BI12:BJ12 BI13:BJ13 BI14:BJ14 BI16:BJ16 BI17:BJ17 BI18:BJ18 BI19:BJ19 BI20:BJ20 BI21:BJ21 BI25:BJ25 BI27:BJ27 BI28:BJ28 BO11 BO12 BO25 BO27 BO10 BO14 BO16 BO17 BO18 BO19 BO20 BO21 BO24 BO26 BO28" formula="1" unlockedFormula="1"/>
    <ignoredError sqref="H187:H188 N187:N188 T187:T188 Z187:Z188 AF187:AF188 AL187:AL188 AR187:AR188 AX187:AX188 BD187:BD188 BJ187:BJ188 BP187:BP188 BV187:BV188 CB187:CB188 CH187:CH188" evalError="1"/>
    <ignoredError sqref="BQ33:BT36 BQ30:BT31" evalError="1" unlockedFormula="1"/>
    <ignoredError sqref="AW120 AQ120 AK120:AP120 BP120 AR120:AV120 AX120:BF120 BC98:BD98 AK96:BK96 AK106:BB106 AK100:BB105 AL99 AX99 AK98:BB98 BE98:BF98 BE106:BF106 BE101:BF105 BE100:BF100 BP98 BJ98 AK97:BF97 BJ97 BJ120 BJ105 BJ99 BJ106 BP101:BU105 BP106 BU106 BP100:BU100 BJ100:BJ104 BG105:BI105 BG100:BI104 BV101:CA104 BV99:BZ99 BV100:CA100 BG107:BJ107 BG106:BI106 BV106 BQ106:BT106 BV105:CA105 BU98 AR99 BC100:BD106 BD99 BP99:BT99 BP97:BU97 BP107:CA107 BN96:BU96 BX106:CA106"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DC97"/>
  <sheetViews>
    <sheetView zoomScaleNormal="100" workbookViewId="0">
      <pane xSplit="2" ySplit="8" topLeftCell="AK9" activePane="bottomRight" state="frozen"/>
      <selection activeCell="A53" sqref="A53"/>
      <selection pane="topRight" activeCell="A53" sqref="A53"/>
      <selection pane="bottomLeft" activeCell="A53" sqref="A53"/>
      <selection pane="bottomRight"/>
    </sheetView>
  </sheetViews>
  <sheetFormatPr defaultColWidth="8.85546875" defaultRowHeight="12.75" outlineLevelRow="1" outlineLevelCol="1"/>
  <cols>
    <col min="1" max="1" width="30.7109375" style="226" customWidth="1"/>
    <col min="2" max="2" width="0.85546875" style="226" customWidth="1"/>
    <col min="3" max="7" width="8.7109375" style="226" hidden="1" customWidth="1" outlineLevel="1"/>
    <col min="8" max="8" width="0.85546875" style="226" hidden="1" customWidth="1" outlineLevel="1"/>
    <col min="9" max="13" width="8.7109375" style="226" hidden="1" customWidth="1" outlineLevel="1"/>
    <col min="14" max="14" width="0.85546875" style="226" hidden="1" customWidth="1" outlineLevel="1"/>
    <col min="15" max="19" width="8.7109375" style="226" hidden="1" customWidth="1" outlineLevel="1"/>
    <col min="20" max="20" width="0.85546875" style="226" hidden="1" customWidth="1" outlineLevel="1"/>
    <col min="21" max="25" width="8.7109375" style="226" hidden="1" customWidth="1" outlineLevel="1"/>
    <col min="26" max="26" width="0.85546875" style="226" hidden="1" customWidth="1" outlineLevel="1"/>
    <col min="27" max="30" width="8.7109375" style="226" hidden="1" customWidth="1" outlineLevel="1"/>
    <col min="31" max="31" width="8.7109375" style="226" hidden="1" customWidth="1" outlineLevel="1" collapsed="1"/>
    <col min="32" max="32" width="0.85546875" style="226" hidden="1" customWidth="1" outlineLevel="1"/>
    <col min="33" max="36" width="8.7109375" style="226" hidden="1" customWidth="1" outlineLevel="1"/>
    <col min="37" max="37" width="8.7109375" style="226" customWidth="1" collapsed="1"/>
    <col min="38" max="38" width="0.85546875" style="226" customWidth="1"/>
    <col min="39" max="42" width="8.7109375" style="226" hidden="1" customWidth="1" outlineLevel="1"/>
    <col min="43" max="43" width="8.7109375" style="226" customWidth="1" collapsed="1"/>
    <col min="44" max="44" width="0.85546875" style="226" customWidth="1"/>
    <col min="45" max="48" width="8.7109375" style="226" hidden="1" customWidth="1" outlineLevel="1"/>
    <col min="49" max="49" width="8.7109375" style="226" customWidth="1" collapsed="1"/>
    <col min="50" max="50" width="0.85546875" style="226" customWidth="1"/>
    <col min="51" max="54" width="8.7109375" style="226" hidden="1" customWidth="1" outlineLevel="1"/>
    <col min="55" max="55" width="8.7109375" style="226" customWidth="1" collapsed="1"/>
    <col min="56" max="56" width="0.85546875" style="226" customWidth="1"/>
    <col min="57" max="60" width="8.7109375" style="226" hidden="1" customWidth="1" outlineLevel="1"/>
    <col min="61" max="61" width="8.7109375" style="226" customWidth="1" collapsed="1"/>
    <col min="62" max="62" width="0.85546875" style="226" customWidth="1"/>
    <col min="63" max="66" width="8.7109375" style="226" hidden="1" customWidth="1" outlineLevel="1"/>
    <col min="67" max="67" width="8.7109375" style="226" customWidth="1" collapsed="1"/>
    <col min="68" max="68" width="0.85546875" style="226" customWidth="1"/>
    <col min="69" max="72" width="8.7109375" style="226" customWidth="1" outlineLevel="1"/>
    <col min="73" max="73" width="8.7109375" style="226" customWidth="1"/>
    <col min="74" max="74" width="0.85546875" style="228" customWidth="1"/>
    <col min="75" max="78" width="8.7109375" style="226" customWidth="1" outlineLevel="1"/>
    <col min="79" max="79" width="8.7109375" style="226" customWidth="1"/>
    <col min="80" max="80" width="0.85546875" style="228" customWidth="1"/>
    <col min="81" max="84" width="8.7109375" style="226" hidden="1" customWidth="1" outlineLevel="1"/>
    <col min="85" max="85" width="8.7109375" style="226" customWidth="1" collapsed="1"/>
    <col min="86" max="86" width="0.85546875" style="228" customWidth="1"/>
    <col min="87" max="90" width="8.7109375" style="226" hidden="1" customWidth="1" outlineLevel="1"/>
    <col min="91" max="91" width="8.7109375" style="226" customWidth="1" collapsed="1"/>
    <col min="92" max="92" width="9.7109375" style="228" bestFit="1" customWidth="1"/>
    <col min="93" max="94" width="8.85546875" style="228"/>
    <col min="95" max="95" width="28" hidden="1" customWidth="1" outlineLevel="1"/>
    <col min="96" max="98" width="8.85546875" hidden="1" customWidth="1" outlineLevel="1"/>
    <col min="99" max="99" width="8.85546875" collapsed="1"/>
    <col min="101" max="16384" width="8.85546875" style="226"/>
  </cols>
  <sheetData>
    <row r="1" spans="1:94">
      <c r="A1" s="228"/>
      <c r="B1" s="228"/>
      <c r="C1" s="228"/>
      <c r="D1" s="228"/>
      <c r="E1" s="228"/>
      <c r="F1" s="228"/>
      <c r="G1" s="228"/>
      <c r="H1" s="228"/>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c r="BM1" s="228"/>
      <c r="BN1" s="228"/>
      <c r="BO1" s="228"/>
      <c r="BP1" s="228"/>
      <c r="BQ1" s="228"/>
      <c r="BR1" s="228"/>
      <c r="BS1" s="228"/>
      <c r="BT1" s="228"/>
      <c r="BU1" s="228"/>
      <c r="BW1" s="228"/>
      <c r="BX1" s="228"/>
      <c r="BY1" s="228"/>
      <c r="BZ1" s="228"/>
      <c r="CA1" s="228"/>
      <c r="CC1" s="228"/>
      <c r="CD1" s="228"/>
      <c r="CE1" s="228"/>
      <c r="CF1" s="228"/>
      <c r="CG1" s="228"/>
      <c r="CI1" s="228"/>
      <c r="CJ1" s="228"/>
      <c r="CK1" s="228"/>
      <c r="CL1" s="228"/>
      <c r="CM1" s="228"/>
    </row>
    <row r="2" spans="1:94">
      <c r="A2" s="995" t="s">
        <v>217</v>
      </c>
      <c r="B2" s="995"/>
      <c r="C2" s="995"/>
      <c r="D2" s="995"/>
      <c r="E2" s="995"/>
      <c r="F2" s="995"/>
      <c r="G2" s="995"/>
      <c r="H2" s="995"/>
      <c r="I2" s="995"/>
      <c r="J2" s="995"/>
      <c r="K2" s="995"/>
      <c r="L2" s="1026"/>
      <c r="M2" s="995"/>
      <c r="N2" s="995"/>
      <c r="O2" s="995"/>
      <c r="P2" s="995"/>
      <c r="Q2" s="995"/>
      <c r="R2" s="995"/>
      <c r="S2" s="1026"/>
      <c r="T2" s="995"/>
      <c r="U2" s="1026"/>
      <c r="V2" s="1026"/>
      <c r="W2" s="1026"/>
      <c r="X2" s="1026"/>
      <c r="Y2" s="1026"/>
      <c r="Z2" s="995"/>
      <c r="AA2" s="1026"/>
      <c r="AB2" s="1026"/>
      <c r="AC2" s="1026"/>
      <c r="AD2" s="1026"/>
      <c r="AE2" s="1026"/>
      <c r="AF2" s="995"/>
      <c r="AG2" s="1026"/>
      <c r="AH2" s="1026"/>
      <c r="AI2" s="1026"/>
      <c r="AJ2" s="1026"/>
      <c r="AK2" s="1027"/>
      <c r="AL2" s="995"/>
      <c r="AM2" s="1026"/>
      <c r="AN2" s="1026"/>
      <c r="AO2" s="1026"/>
      <c r="AP2" s="1026"/>
      <c r="AQ2" s="1026"/>
      <c r="AR2" s="995"/>
      <c r="AS2" s="1026"/>
      <c r="AT2" s="1026"/>
      <c r="AU2" s="1026"/>
      <c r="AV2" s="1026"/>
      <c r="AW2" s="1026"/>
      <c r="AX2" s="995"/>
      <c r="AY2" s="1026"/>
      <c r="AZ2" s="1026"/>
      <c r="BA2" s="1026"/>
      <c r="BB2" s="1026"/>
      <c r="BC2" s="1026"/>
      <c r="BD2" s="995"/>
      <c r="BE2" s="1026"/>
      <c r="BF2" s="1026"/>
      <c r="BG2" s="1026"/>
      <c r="BH2" s="1026"/>
      <c r="BI2" s="1026"/>
      <c r="BJ2" s="995"/>
      <c r="BK2" s="1026"/>
      <c r="BL2" s="1026"/>
      <c r="BM2" s="1026"/>
      <c r="BN2" s="1026"/>
      <c r="BO2" s="1026"/>
      <c r="BP2" s="995"/>
      <c r="BQ2" s="1026"/>
      <c r="BR2" s="1026"/>
      <c r="BS2" s="1026"/>
      <c r="BT2" s="1026"/>
      <c r="BU2" s="1026"/>
      <c r="BV2" s="995"/>
      <c r="BW2" s="1026"/>
      <c r="BX2" s="1026"/>
      <c r="BY2" s="1026"/>
      <c r="BZ2" s="1026"/>
      <c r="CA2" s="1026"/>
      <c r="CB2" s="995"/>
      <c r="CC2" s="1026"/>
      <c r="CD2" s="1026"/>
      <c r="CE2" s="1026"/>
      <c r="CF2" s="1026"/>
      <c r="CG2" s="1026"/>
      <c r="CH2" s="995"/>
      <c r="CI2" s="1026"/>
      <c r="CJ2" s="1026"/>
      <c r="CK2" s="1026"/>
      <c r="CL2" s="1026"/>
      <c r="CM2" s="1026"/>
      <c r="CN2" s="1026"/>
      <c r="CO2" s="1026"/>
      <c r="CP2" s="1026"/>
    </row>
    <row r="3" spans="1:94">
      <c r="A3" s="1028" t="s">
        <v>345</v>
      </c>
      <c r="B3" s="1028"/>
      <c r="C3" s="1028"/>
      <c r="D3" s="1028"/>
      <c r="E3" s="1028"/>
      <c r="F3" s="1028"/>
      <c r="G3" s="1028"/>
      <c r="H3" s="1028"/>
      <c r="I3" s="1028"/>
      <c r="J3" s="1028"/>
      <c r="K3" s="1028"/>
      <c r="L3" s="1029"/>
      <c r="M3" s="1028"/>
      <c r="N3" s="1028"/>
      <c r="O3" s="1028"/>
      <c r="P3" s="1028"/>
      <c r="Q3" s="1028"/>
      <c r="R3" s="1028"/>
      <c r="S3" s="1029"/>
      <c r="T3" s="1028"/>
      <c r="U3" s="1029"/>
      <c r="V3" s="1029"/>
      <c r="W3" s="1029"/>
      <c r="X3" s="1029"/>
      <c r="Y3" s="1030"/>
      <c r="Z3" s="1030"/>
      <c r="AA3" s="1030"/>
      <c r="AB3" s="1030"/>
      <c r="AC3" s="1030"/>
      <c r="AD3" s="1030"/>
      <c r="AE3" s="1030"/>
      <c r="AF3" s="1030"/>
      <c r="AG3" s="1030"/>
      <c r="AH3" s="1030"/>
      <c r="AI3" s="1030"/>
      <c r="AJ3" s="1030"/>
      <c r="AK3" s="1030"/>
      <c r="AL3" s="1030"/>
      <c r="AM3" s="1030"/>
      <c r="AN3" s="1030"/>
      <c r="AO3" s="1030"/>
      <c r="AP3" s="1030"/>
      <c r="AQ3" s="1030"/>
      <c r="AR3" s="1030"/>
      <c r="AS3" s="1030"/>
      <c r="AT3" s="1030"/>
      <c r="AU3" s="1030"/>
      <c r="AV3" s="1030"/>
      <c r="AW3" s="1030"/>
      <c r="AX3" s="1030"/>
      <c r="AY3" s="1029"/>
      <c r="AZ3" s="1029"/>
      <c r="BA3" s="1029"/>
      <c r="BB3" s="1029"/>
      <c r="BC3" s="1030"/>
      <c r="BD3" s="1030"/>
      <c r="BE3" s="1029"/>
      <c r="BF3" s="1029"/>
      <c r="BG3" s="1029"/>
      <c r="BH3" s="1029"/>
      <c r="BI3" s="1030"/>
      <c r="BJ3" s="1030"/>
      <c r="BK3" s="1029"/>
      <c r="BL3" s="1029"/>
      <c r="BM3" s="1029"/>
      <c r="BN3" s="1029"/>
      <c r="BO3" s="1030"/>
      <c r="BP3" s="1030"/>
      <c r="BQ3" s="1029"/>
      <c r="BR3" s="1029"/>
      <c r="BS3" s="1029"/>
      <c r="BT3" s="1029"/>
      <c r="BU3" s="1030"/>
      <c r="BV3" s="1030"/>
      <c r="BW3" s="1029"/>
      <c r="BX3" s="1029"/>
      <c r="BY3" s="1029"/>
      <c r="BZ3" s="1029"/>
      <c r="CA3" s="1030"/>
      <c r="CB3" s="1030"/>
      <c r="CC3" s="1029"/>
      <c r="CD3" s="1029"/>
      <c r="CE3" s="1029"/>
      <c r="CF3" s="1029"/>
      <c r="CG3" s="1030"/>
      <c r="CH3" s="1030"/>
      <c r="CI3" s="1029"/>
      <c r="CJ3" s="1029"/>
      <c r="CK3" s="1029"/>
      <c r="CL3" s="1029"/>
      <c r="CM3" s="1030"/>
      <c r="CN3" s="1026"/>
      <c r="CO3" s="1026"/>
      <c r="CP3" s="1026"/>
    </row>
    <row r="4" spans="1:94">
      <c r="A4" s="1031" t="s">
        <v>389</v>
      </c>
      <c r="B4" s="1032"/>
      <c r="C4" s="1032"/>
      <c r="D4" s="1032"/>
      <c r="E4" s="1032"/>
      <c r="F4" s="1032"/>
      <c r="G4" s="1032"/>
      <c r="H4" s="1032"/>
      <c r="I4" s="1032"/>
      <c r="J4" s="1032"/>
      <c r="K4" s="1032"/>
      <c r="L4" s="1033"/>
      <c r="M4" s="1032"/>
      <c r="N4" s="1032"/>
      <c r="O4" s="1032"/>
      <c r="P4" s="1032"/>
      <c r="Q4" s="1032"/>
      <c r="R4" s="1032"/>
      <c r="S4" s="1033"/>
      <c r="T4" s="1032"/>
      <c r="U4" s="1033"/>
      <c r="V4" s="1033"/>
      <c r="W4" s="1033"/>
      <c r="X4" s="1033"/>
      <c r="Y4" s="1034"/>
      <c r="Z4" s="1032"/>
      <c r="AA4" s="1033"/>
      <c r="AB4" s="1033"/>
      <c r="AC4" s="1033"/>
      <c r="AD4" s="1033"/>
      <c r="AE4" s="1034"/>
      <c r="AF4" s="1032"/>
      <c r="AG4" s="1033"/>
      <c r="AH4" s="1033"/>
      <c r="AI4" s="1033"/>
      <c r="AJ4" s="1033"/>
      <c r="AK4" s="1034"/>
      <c r="AL4" s="1032"/>
      <c r="AM4" s="1033"/>
      <c r="AN4" s="1033"/>
      <c r="AO4" s="1033"/>
      <c r="AP4" s="1033"/>
      <c r="AQ4" s="1034"/>
      <c r="AR4" s="1032"/>
      <c r="AS4" s="1033"/>
      <c r="AT4" s="1033"/>
      <c r="AU4" s="1033"/>
      <c r="AV4" s="1033"/>
      <c r="AW4" s="1034"/>
      <c r="AX4" s="1035"/>
      <c r="AY4" s="1033"/>
      <c r="AZ4" s="1033"/>
      <c r="BA4" s="1033"/>
      <c r="BB4" s="1033"/>
      <c r="BC4" s="1034"/>
      <c r="BD4" s="1035"/>
      <c r="BE4" s="1033"/>
      <c r="BF4" s="1033"/>
      <c r="BG4" s="1033"/>
      <c r="BH4" s="1033"/>
      <c r="BI4" s="1034"/>
      <c r="BJ4" s="1035"/>
      <c r="BK4" s="1033"/>
      <c r="BL4" s="1033"/>
      <c r="BM4" s="1033"/>
      <c r="BN4" s="1033"/>
      <c r="BO4" s="1034"/>
      <c r="BP4" s="1035"/>
      <c r="BQ4" s="1033"/>
      <c r="BR4" s="1033"/>
      <c r="BS4" s="1033"/>
      <c r="BT4" s="1033"/>
      <c r="BU4" s="1034"/>
      <c r="BV4" s="1035"/>
      <c r="BW4" s="1033"/>
      <c r="BX4" s="1033"/>
      <c r="BY4" s="1033"/>
      <c r="BZ4" s="1033"/>
      <c r="CA4" s="1034"/>
      <c r="CB4" s="1035"/>
      <c r="CC4" s="1033"/>
      <c r="CD4" s="1033"/>
      <c r="CE4" s="1033"/>
      <c r="CF4" s="1033"/>
      <c r="CG4" s="1034"/>
      <c r="CH4" s="1035"/>
      <c r="CI4" s="1033"/>
      <c r="CJ4" s="1033"/>
      <c r="CK4" s="1033"/>
      <c r="CL4" s="1033"/>
      <c r="CM4" s="1034"/>
      <c r="CN4" s="1036"/>
      <c r="CO4" s="1036"/>
      <c r="CP4" s="1036"/>
    </row>
    <row r="5" spans="1:94">
      <c r="A5" s="1037" t="s">
        <v>83</v>
      </c>
      <c r="B5" s="1038"/>
      <c r="C5" s="1038"/>
      <c r="D5" s="1038"/>
      <c r="E5" s="1038"/>
      <c r="F5" s="1038"/>
      <c r="G5" s="1038"/>
      <c r="H5" s="1038"/>
      <c r="I5" s="1038"/>
      <c r="J5" s="1038"/>
      <c r="K5" s="1038"/>
      <c r="L5" s="1026"/>
      <c r="M5" s="1038"/>
      <c r="N5" s="1038"/>
      <c r="O5" s="1038"/>
      <c r="P5" s="1038"/>
      <c r="Q5" s="1038"/>
      <c r="R5" s="1038"/>
      <c r="S5" s="1026"/>
      <c r="T5" s="1038"/>
      <c r="U5" s="1026"/>
      <c r="V5" s="1026"/>
      <c r="W5" s="1026"/>
      <c r="X5" s="1026"/>
      <c r="Y5" s="1039"/>
      <c r="Z5" s="1038"/>
      <c r="AA5" s="1026"/>
      <c r="AB5" s="1026"/>
      <c r="AC5" s="1026"/>
      <c r="AD5" s="1026"/>
      <c r="AE5" s="1039"/>
      <c r="AF5" s="1038"/>
      <c r="AG5" s="1039"/>
      <c r="AH5" s="1026"/>
      <c r="AI5" s="1026"/>
      <c r="AJ5" s="1026"/>
      <c r="AK5" s="1039"/>
      <c r="AL5" s="1038"/>
      <c r="AM5" s="1026"/>
      <c r="AN5" s="1026"/>
      <c r="AO5" s="1026"/>
      <c r="AP5" s="1026"/>
      <c r="AQ5" s="1039"/>
      <c r="AR5" s="1038"/>
      <c r="AS5" s="1026"/>
      <c r="AT5" s="1026"/>
      <c r="AU5" s="1026"/>
      <c r="AV5" s="1026"/>
      <c r="AW5" s="1039"/>
      <c r="AX5" s="1038"/>
      <c r="AY5" s="1026"/>
      <c r="AZ5" s="1026"/>
      <c r="BA5" s="1026"/>
      <c r="BB5" s="1026"/>
      <c r="BC5" s="1039"/>
      <c r="BD5" s="1038"/>
      <c r="BE5" s="1026"/>
      <c r="BF5" s="1026"/>
      <c r="BG5" s="1026"/>
      <c r="BH5" s="1026"/>
      <c r="BI5" s="1039"/>
      <c r="BJ5" s="1038"/>
      <c r="BK5" s="1026"/>
      <c r="BL5" s="1026"/>
      <c r="BM5" s="1026"/>
      <c r="BN5" s="1026"/>
      <c r="BO5" s="1039"/>
      <c r="BP5" s="1038"/>
      <c r="BQ5" s="1026"/>
      <c r="BR5" s="1026"/>
      <c r="BS5" s="1026"/>
      <c r="BT5" s="1026"/>
      <c r="BU5" s="1039"/>
      <c r="BV5" s="1038"/>
      <c r="BW5" s="1026"/>
      <c r="BX5" s="1026"/>
      <c r="BY5" s="1026"/>
      <c r="BZ5" s="1026"/>
      <c r="CA5" s="1039"/>
      <c r="CB5" s="1038"/>
      <c r="CC5" s="1026"/>
      <c r="CD5" s="1026"/>
      <c r="CE5" s="1026"/>
      <c r="CF5" s="1026"/>
      <c r="CG5" s="1039"/>
      <c r="CH5" s="1038"/>
      <c r="CI5" s="1026"/>
      <c r="CJ5" s="1026"/>
      <c r="CK5" s="1026"/>
      <c r="CL5" s="1026"/>
      <c r="CM5" s="1039"/>
      <c r="CN5" s="1026"/>
      <c r="CO5" s="1026"/>
      <c r="CP5" s="1026"/>
    </row>
    <row r="6" spans="1:94" customFormat="1" ht="12.75" hidden="1" customHeight="1" outlineLevel="1"/>
    <row r="7" spans="1:94" collapsed="1">
      <c r="A7" s="1040"/>
      <c r="B7" s="1040"/>
      <c r="C7" s="260">
        <v>2007</v>
      </c>
      <c r="D7" s="261"/>
      <c r="E7" s="261"/>
      <c r="F7" s="261"/>
      <c r="G7" s="262">
        <v>2007</v>
      </c>
      <c r="H7" s="919"/>
      <c r="I7" s="260">
        <f>C7+1</f>
        <v>2008</v>
      </c>
      <c r="J7" s="261"/>
      <c r="K7" s="261"/>
      <c r="L7" s="261"/>
      <c r="M7" s="262">
        <f>G7+1</f>
        <v>2008</v>
      </c>
      <c r="N7" s="264"/>
      <c r="O7" s="260">
        <f>I7+1</f>
        <v>2009</v>
      </c>
      <c r="P7" s="261"/>
      <c r="Q7" s="261"/>
      <c r="R7" s="261"/>
      <c r="S7" s="262">
        <f>M7+1</f>
        <v>2009</v>
      </c>
      <c r="T7" s="264"/>
      <c r="U7" s="260">
        <f>O7+1</f>
        <v>2010</v>
      </c>
      <c r="V7" s="261"/>
      <c r="W7" s="261"/>
      <c r="X7" s="261"/>
      <c r="Y7" s="262">
        <f>S7+1</f>
        <v>2010</v>
      </c>
      <c r="Z7" s="264"/>
      <c r="AA7" s="260">
        <f>U7+1</f>
        <v>2011</v>
      </c>
      <c r="AB7" s="261"/>
      <c r="AC7" s="261"/>
      <c r="AD7" s="261"/>
      <c r="AE7" s="262">
        <f>Y7+1</f>
        <v>2011</v>
      </c>
      <c r="AF7" s="264"/>
      <c r="AG7" s="260">
        <f>AA7+1</f>
        <v>2012</v>
      </c>
      <c r="AH7" s="261"/>
      <c r="AI7" s="261"/>
      <c r="AJ7" s="261"/>
      <c r="AK7" s="262">
        <f>AE7+1</f>
        <v>2012</v>
      </c>
      <c r="AL7" s="264"/>
      <c r="AM7" s="260">
        <f>AG7+1</f>
        <v>2013</v>
      </c>
      <c r="AN7" s="261"/>
      <c r="AO7" s="261"/>
      <c r="AP7" s="261"/>
      <c r="AQ7" s="262">
        <f>AK7+1</f>
        <v>2013</v>
      </c>
      <c r="AR7" s="264"/>
      <c r="AS7" s="876">
        <f>AM7+1</f>
        <v>2014</v>
      </c>
      <c r="AT7" s="877"/>
      <c r="AU7" s="877"/>
      <c r="AV7" s="877"/>
      <c r="AW7" s="878">
        <f>AQ7+1</f>
        <v>2014</v>
      </c>
      <c r="AX7" s="264"/>
      <c r="AY7" s="876">
        <f>AS7+1</f>
        <v>2015</v>
      </c>
      <c r="AZ7" s="261"/>
      <c r="BA7" s="261"/>
      <c r="BB7" s="261"/>
      <c r="BC7" s="878">
        <f>AW7+1</f>
        <v>2015</v>
      </c>
      <c r="BD7" s="264"/>
      <c r="BE7" s="876">
        <f>AY7+1</f>
        <v>2016</v>
      </c>
      <c r="BF7" s="261"/>
      <c r="BG7" s="261"/>
      <c r="BH7" s="261"/>
      <c r="BI7" s="878">
        <f>BC7+1</f>
        <v>2016</v>
      </c>
      <c r="BJ7" s="264"/>
      <c r="BK7" s="876">
        <f>BE7+1</f>
        <v>2017</v>
      </c>
      <c r="BL7" s="261"/>
      <c r="BM7" s="261"/>
      <c r="BN7" s="261"/>
      <c r="BO7" s="878">
        <f>BI7+1</f>
        <v>2017</v>
      </c>
      <c r="BP7" s="264"/>
      <c r="BQ7" s="265">
        <f>BK7+1</f>
        <v>2018</v>
      </c>
      <c r="BR7" s="261"/>
      <c r="BS7" s="261"/>
      <c r="BT7" s="261"/>
      <c r="BU7" s="266">
        <f>BO7+1</f>
        <v>2018</v>
      </c>
      <c r="BV7" s="264"/>
      <c r="BW7" s="265">
        <f>BQ7+1</f>
        <v>2019</v>
      </c>
      <c r="BX7" s="261"/>
      <c r="BY7" s="261"/>
      <c r="BZ7" s="261"/>
      <c r="CA7" s="266">
        <f>BU7+1</f>
        <v>2019</v>
      </c>
      <c r="CB7" s="264"/>
      <c r="CC7" s="265">
        <f>BW7+1</f>
        <v>2020</v>
      </c>
      <c r="CD7" s="261"/>
      <c r="CE7" s="261"/>
      <c r="CF7" s="261"/>
      <c r="CG7" s="266">
        <f>CA7+1</f>
        <v>2020</v>
      </c>
      <c r="CH7" s="264"/>
      <c r="CI7" s="265">
        <f>CC7+1</f>
        <v>2021</v>
      </c>
      <c r="CJ7" s="261"/>
      <c r="CK7" s="261"/>
      <c r="CL7" s="261"/>
      <c r="CM7" s="266">
        <f>CG7+1</f>
        <v>2021</v>
      </c>
      <c r="CN7" s="1041"/>
      <c r="CO7" s="1041"/>
      <c r="CP7" s="1041"/>
    </row>
    <row r="8" spans="1:94" ht="13.5" thickBot="1">
      <c r="A8" s="1040"/>
      <c r="B8" s="477" t="s">
        <v>79</v>
      </c>
      <c r="C8" s="267">
        <v>39172</v>
      </c>
      <c r="D8" s="268">
        <f>C8+FLOOR(365/4,1)</f>
        <v>39263</v>
      </c>
      <c r="E8" s="268">
        <f>D8+FLOOR(365/4,1)+1</f>
        <v>39355</v>
      </c>
      <c r="F8" s="268">
        <f>E8+FLOOR(365/4,1)+1</f>
        <v>39447</v>
      </c>
      <c r="G8" s="269"/>
      <c r="H8" s="1042"/>
      <c r="I8" s="267">
        <f>C8+366</f>
        <v>39538</v>
      </c>
      <c r="J8" s="268">
        <f>I8+FLOOR(365/4,1)</f>
        <v>39629</v>
      </c>
      <c r="K8" s="268">
        <f>J8+FLOOR(365/4,1)+1</f>
        <v>39721</v>
      </c>
      <c r="L8" s="268">
        <f>K8+FLOOR(365/4,1)+1</f>
        <v>39813</v>
      </c>
      <c r="M8" s="269"/>
      <c r="N8" s="271"/>
      <c r="O8" s="267">
        <f>I8+365</f>
        <v>39903</v>
      </c>
      <c r="P8" s="268">
        <f>O8+FLOOR(365/4,1)</f>
        <v>39994</v>
      </c>
      <c r="Q8" s="268">
        <f>P8+FLOOR(365/4,1)+1</f>
        <v>40086</v>
      </c>
      <c r="R8" s="268">
        <f>Q8+FLOOR(365/4,1)+1</f>
        <v>40178</v>
      </c>
      <c r="S8" s="269"/>
      <c r="T8" s="271"/>
      <c r="U8" s="267">
        <f>O8+365</f>
        <v>40268</v>
      </c>
      <c r="V8" s="268">
        <f>U8+FLOOR(365/4,1)</f>
        <v>40359</v>
      </c>
      <c r="W8" s="268">
        <f>V8+FLOOR(365/4,1)+1</f>
        <v>40451</v>
      </c>
      <c r="X8" s="268">
        <f>W8+FLOOR(365/4,1)+1</f>
        <v>40543</v>
      </c>
      <c r="Y8" s="269"/>
      <c r="Z8" s="271"/>
      <c r="AA8" s="267">
        <f>U8+365</f>
        <v>40633</v>
      </c>
      <c r="AB8" s="268">
        <f>AA8+FLOOR(365/4,1)</f>
        <v>40724</v>
      </c>
      <c r="AC8" s="268">
        <f>AB8+FLOOR(365/4,1)+1</f>
        <v>40816</v>
      </c>
      <c r="AD8" s="268">
        <f>AC8+FLOOR(365/4,1)+1</f>
        <v>40908</v>
      </c>
      <c r="AE8" s="269"/>
      <c r="AF8" s="271"/>
      <c r="AG8" s="267">
        <f>AA8+366</f>
        <v>40999</v>
      </c>
      <c r="AH8" s="268">
        <f>AG8+FLOOR(365/4,1)</f>
        <v>41090</v>
      </c>
      <c r="AI8" s="268">
        <f>AH8+FLOOR(365/4,1)+1</f>
        <v>41182</v>
      </c>
      <c r="AJ8" s="268">
        <f>AI8+FLOOR(365/4,1)+1</f>
        <v>41274</v>
      </c>
      <c r="AK8" s="269"/>
      <c r="AL8" s="271"/>
      <c r="AM8" s="267">
        <f>AG8+365</f>
        <v>41364</v>
      </c>
      <c r="AN8" s="268">
        <f>AM8+FLOOR(365/4,1)</f>
        <v>41455</v>
      </c>
      <c r="AO8" s="268">
        <f>AN8+FLOOR(365/4,1)</f>
        <v>41546</v>
      </c>
      <c r="AP8" s="268">
        <f>AO8+FLOOR(365/4,1)+1</f>
        <v>41638</v>
      </c>
      <c r="AQ8" s="269"/>
      <c r="AR8" s="271"/>
      <c r="AS8" s="882">
        <f>AM8+365</f>
        <v>41729</v>
      </c>
      <c r="AT8" s="883">
        <f>AS8+FLOOR(365/4,1)</f>
        <v>41820</v>
      </c>
      <c r="AU8" s="883">
        <f>AT8+FLOOR(365/4,1)+1</f>
        <v>41912</v>
      </c>
      <c r="AV8" s="883">
        <f>AU8+FLOOR(365/4,1)+1</f>
        <v>42004</v>
      </c>
      <c r="AW8" s="884"/>
      <c r="AX8" s="271"/>
      <c r="AY8" s="882">
        <f>AS8+365</f>
        <v>42094</v>
      </c>
      <c r="AZ8" s="883">
        <f>AY8+FLOOR(365/4,1)</f>
        <v>42185</v>
      </c>
      <c r="BA8" s="883">
        <f>AZ8+FLOOR(365/4,1)+1</f>
        <v>42277</v>
      </c>
      <c r="BB8" s="883">
        <f>BA8+FLOOR(365/4,1)+1</f>
        <v>42369</v>
      </c>
      <c r="BC8" s="269"/>
      <c r="BD8" s="271"/>
      <c r="BE8" s="882">
        <f>AY8+365+1</f>
        <v>42460</v>
      </c>
      <c r="BF8" s="883">
        <f>BE8+FLOOR(365/4,1)</f>
        <v>42551</v>
      </c>
      <c r="BG8" s="883">
        <f>BF8+FLOOR(365/4,1)+1</f>
        <v>42643</v>
      </c>
      <c r="BH8" s="883">
        <f>BG8+FLOOR(365/4,1)+1</f>
        <v>42735</v>
      </c>
      <c r="BI8" s="269"/>
      <c r="BJ8" s="271"/>
      <c r="BK8" s="882">
        <f>BE8+365</f>
        <v>42825</v>
      </c>
      <c r="BL8" s="883">
        <f>BK8+FLOOR(365/4,1)</f>
        <v>42916</v>
      </c>
      <c r="BM8" s="883">
        <f>BL8+FLOOR(365/4,1)+1</f>
        <v>43008</v>
      </c>
      <c r="BN8" s="883">
        <f>BM8+FLOOR(365/4,1)+1</f>
        <v>43100</v>
      </c>
      <c r="BO8" s="269"/>
      <c r="BP8" s="271"/>
      <c r="BQ8" s="273">
        <f>BK8+365</f>
        <v>43190</v>
      </c>
      <c r="BR8" s="272">
        <f>BQ8+FLOOR(365/4,1)</f>
        <v>43281</v>
      </c>
      <c r="BS8" s="272">
        <f>BR8+FLOOR(365/4,1)+1</f>
        <v>43373</v>
      </c>
      <c r="BT8" s="274">
        <f>BS8+FLOOR(365/4,1)+1</f>
        <v>43465</v>
      </c>
      <c r="BU8" s="269"/>
      <c r="BV8" s="271"/>
      <c r="BW8" s="273">
        <f>BQ8+365</f>
        <v>43555</v>
      </c>
      <c r="BX8" s="272">
        <f>BW8+FLOOR(365/4,1)</f>
        <v>43646</v>
      </c>
      <c r="BY8" s="272">
        <f>BX8+FLOOR(365/4,1)+1</f>
        <v>43738</v>
      </c>
      <c r="BZ8" s="274">
        <f>BY8+FLOOR(365/4,1)+1</f>
        <v>43830</v>
      </c>
      <c r="CA8" s="269"/>
      <c r="CB8" s="271"/>
      <c r="CC8" s="273">
        <f>BW8+365</f>
        <v>43920</v>
      </c>
      <c r="CD8" s="272">
        <f>CC8+FLOOR(365/4,1)</f>
        <v>44011</v>
      </c>
      <c r="CE8" s="272">
        <f>CD8+FLOOR(365/4,1)+1</f>
        <v>44103</v>
      </c>
      <c r="CF8" s="274">
        <f>CE8+FLOOR(365/4,1)+1</f>
        <v>44195</v>
      </c>
      <c r="CG8" s="269"/>
      <c r="CH8" s="271"/>
      <c r="CI8" s="273">
        <f>CC8+365</f>
        <v>44285</v>
      </c>
      <c r="CJ8" s="272">
        <f>CI8+FLOOR(365/4,1)</f>
        <v>44376</v>
      </c>
      <c r="CK8" s="272">
        <f>CJ8+FLOOR(365/4,1)+1</f>
        <v>44468</v>
      </c>
      <c r="CL8" s="274">
        <f>CK8+FLOOR(365/4,1)+1</f>
        <v>44560</v>
      </c>
      <c r="CM8" s="269"/>
      <c r="CN8" s="1026"/>
      <c r="CO8" s="1026"/>
      <c r="CP8" s="1026"/>
    </row>
    <row r="9" spans="1:94" ht="12.75" customHeight="1">
      <c r="A9" s="1697" t="s">
        <v>205</v>
      </c>
      <c r="B9" s="1071"/>
      <c r="C9" s="1043">
        <v>14.692</v>
      </c>
      <c r="D9" s="1044">
        <f>48.379-C9</f>
        <v>33.686999999999998</v>
      </c>
      <c r="E9" s="1045">
        <f>79.124-D9-C9</f>
        <v>30.744999999999997</v>
      </c>
      <c r="F9" s="1045">
        <f>131.686-SUM(C9:E9)</f>
        <v>52.562000000000012</v>
      </c>
      <c r="G9" s="1046">
        <f>SUM(C9:F9)</f>
        <v>131.68600000000001</v>
      </c>
      <c r="H9" s="399"/>
      <c r="I9" s="1043">
        <v>20.138000000000002</v>
      </c>
      <c r="J9" s="1045">
        <f>43.844-I9</f>
        <v>23.706</v>
      </c>
      <c r="K9" s="1045">
        <f>95.746-J9-I9</f>
        <v>51.901999999999987</v>
      </c>
      <c r="L9" s="1047">
        <f>126.409-SUM(I9:K9)</f>
        <v>30.663000000000025</v>
      </c>
      <c r="M9" s="1046">
        <f>SUM(I9:L9)</f>
        <v>126.40900000000001</v>
      </c>
      <c r="N9" s="399"/>
      <c r="O9" s="1043">
        <v>10.558999999999999</v>
      </c>
      <c r="P9" s="1045">
        <f>32.064-O9</f>
        <v>21.505000000000003</v>
      </c>
      <c r="Q9" s="1045">
        <f>45.653-P9-O9</f>
        <v>13.588999999999997</v>
      </c>
      <c r="R9" s="1047">
        <f>85.599-SUM(O9:Q9)</f>
        <v>39.946000000000005</v>
      </c>
      <c r="S9" s="1046">
        <f>SUM(O9:R9)</f>
        <v>85.599000000000004</v>
      </c>
      <c r="T9" s="399"/>
      <c r="U9" s="1043">
        <v>24.390999999999998</v>
      </c>
      <c r="V9" s="1045">
        <f>82.034-U9</f>
        <v>57.643000000000008</v>
      </c>
      <c r="W9" s="1045">
        <f>95.425-V9-U9</f>
        <v>13.390999999999991</v>
      </c>
      <c r="X9" s="1047">
        <f>383.919-SUM(U9:W9)</f>
        <v>288.49399999999997</v>
      </c>
      <c r="Y9" s="1046">
        <f>SUM(U9:X9)</f>
        <v>383.91899999999998</v>
      </c>
      <c r="Z9" s="399"/>
      <c r="AA9" s="1043">
        <v>23.521999999999998</v>
      </c>
      <c r="AB9" s="1045">
        <f>52.075-AA9</f>
        <v>28.553000000000004</v>
      </c>
      <c r="AC9" s="1045">
        <f>87.394-SUM(AA9:AB9)</f>
        <v>35.319000000000003</v>
      </c>
      <c r="AD9" s="1045">
        <f>7.655-SUM(AA9:AC9)</f>
        <v>-79.739000000000004</v>
      </c>
      <c r="AE9" s="1046">
        <f>SUM(AA9:AD9)</f>
        <v>7.6550000000000011</v>
      </c>
      <c r="AF9" s="399"/>
      <c r="AG9" s="1043">
        <v>22.568999999999999</v>
      </c>
      <c r="AH9" s="1045">
        <v>33.633000000000003</v>
      </c>
      <c r="AI9" s="1048">
        <v>29.594000000000001</v>
      </c>
      <c r="AJ9" s="1049">
        <f>69.94-SUM(AG9:AI9)</f>
        <v>-15.855999999999995</v>
      </c>
      <c r="AK9" s="1046">
        <f>SUM(AG9:AJ9)</f>
        <v>69.94</v>
      </c>
      <c r="AL9" s="399"/>
      <c r="AM9" s="1043">
        <v>32.216000000000001</v>
      </c>
      <c r="AN9" s="1045">
        <f>60.141-AM9</f>
        <v>27.924999999999997</v>
      </c>
      <c r="AO9" s="1045">
        <f>100.339-SUM(AM9:AN9)</f>
        <v>40.198</v>
      </c>
      <c r="AP9" s="1045">
        <f>167.212-SUM(AM9:AO9)</f>
        <v>66.87299999999999</v>
      </c>
      <c r="AQ9" s="1046">
        <f>SUM(AM9:AP9)</f>
        <v>167.21199999999999</v>
      </c>
      <c r="AR9" s="399"/>
      <c r="AS9" s="1043">
        <v>34.223999999999997</v>
      </c>
      <c r="AT9" s="1368">
        <f>84.714-AS9</f>
        <v>50.49</v>
      </c>
      <c r="AU9" s="1368">
        <f>126.991-SUM(AS9:AT9)</f>
        <v>42.277000000000001</v>
      </c>
      <c r="AV9" s="1368">
        <f>157.778-SUM(AS9:AU9)</f>
        <v>30.786999999999992</v>
      </c>
      <c r="AW9" s="1571">
        <f>SUM(AS9:AV9)</f>
        <v>157.77799999999999</v>
      </c>
      <c r="AX9" s="399"/>
      <c r="AY9" s="1679">
        <v>40.334000000000003</v>
      </c>
      <c r="AZ9" s="1368">
        <f>89.308-AY9</f>
        <v>48.974000000000004</v>
      </c>
      <c r="BA9" s="1368">
        <f>144.171-SUM(AY9:AZ9)</f>
        <v>54.862999999999985</v>
      </c>
      <c r="BB9" s="1368">
        <f>212.425-SUM(AY9:BA9)</f>
        <v>68.254000000000019</v>
      </c>
      <c r="BC9" s="1046">
        <f>SUM(AY9:BB9)</f>
        <v>212.42500000000001</v>
      </c>
      <c r="BD9" s="399"/>
      <c r="BE9" s="1679">
        <v>47.466000000000001</v>
      </c>
      <c r="BF9" s="1368">
        <f>111.323-BE9</f>
        <v>63.856999999999992</v>
      </c>
      <c r="BG9" s="1368">
        <f>169.45-SUM(BE9:BF9)</f>
        <v>58.126999999999995</v>
      </c>
      <c r="BH9" s="1368">
        <f>234.299-SUM(BE9:BG9)</f>
        <v>64.849000000000018</v>
      </c>
      <c r="BI9" s="1046">
        <f>SUM(BE9:BH9)</f>
        <v>234.29900000000001</v>
      </c>
      <c r="BJ9" s="399"/>
      <c r="BK9" s="1679">
        <v>38.603000000000002</v>
      </c>
      <c r="BL9" s="1368">
        <f>242.672-BK9</f>
        <v>204.06899999999999</v>
      </c>
      <c r="BM9" s="1368">
        <f>333.75-SUM(BK9:BL9)</f>
        <v>91.078000000000003</v>
      </c>
      <c r="BN9" s="1368">
        <f>292.633-SUM(BK9:BM9)</f>
        <v>-41.117000000000019</v>
      </c>
      <c r="BO9" s="1046">
        <f>SUM(BK9:BN9)</f>
        <v>292.63299999999998</v>
      </c>
      <c r="BP9" s="399"/>
      <c r="BQ9" s="1051">
        <f>IS!BQ38</f>
        <v>50.385582433852939</v>
      </c>
      <c r="BR9" s="1050">
        <f>IS!BR38</f>
        <v>79.225832987974755</v>
      </c>
      <c r="BS9" s="1050">
        <f>IS!BS38</f>
        <v>85.642229223056916</v>
      </c>
      <c r="BT9" s="1050">
        <f>IS!BT38</f>
        <v>113.37206628402761</v>
      </c>
      <c r="BU9" s="1046">
        <f>SUM(BQ9:BT9)</f>
        <v>328.62571092891221</v>
      </c>
      <c r="BV9" s="399"/>
      <c r="BW9" s="1051">
        <f>IS!BW38</f>
        <v>64.651296073347197</v>
      </c>
      <c r="BX9" s="1050">
        <f>IS!BX38</f>
        <v>95.653229963620532</v>
      </c>
      <c r="BY9" s="1050">
        <f>IS!BY38</f>
        <v>102.67668920684002</v>
      </c>
      <c r="BZ9" s="1050">
        <f>IS!BZ38</f>
        <v>132.55258412493649</v>
      </c>
      <c r="CA9" s="1046">
        <f>SUM(BW9:BZ9)</f>
        <v>395.53379936874421</v>
      </c>
      <c r="CB9" s="399"/>
      <c r="CC9" s="1051">
        <f>IS!CC38</f>
        <v>78.070959079618447</v>
      </c>
      <c r="CD9" s="1050">
        <f>IS!CD38</f>
        <v>121.00273885772781</v>
      </c>
      <c r="CE9" s="1050">
        <f>IS!CE38</f>
        <v>129.32788854843545</v>
      </c>
      <c r="CF9" s="1050">
        <f>IS!CF38</f>
        <v>164.23990050658233</v>
      </c>
      <c r="CG9" s="1046">
        <f>SUM(CC9:CF9)</f>
        <v>492.64148699236404</v>
      </c>
      <c r="CH9" s="399"/>
      <c r="CI9" s="1051">
        <f>IS!CI38</f>
        <v>104.59272888225127</v>
      </c>
      <c r="CJ9" s="1050">
        <f>IS!CJ38</f>
        <v>128.1053057719958</v>
      </c>
      <c r="CK9" s="1050">
        <f>IS!CK38</f>
        <v>136.28886660110641</v>
      </c>
      <c r="CL9" s="1050">
        <f>IS!CL38</f>
        <v>171.4281143567901</v>
      </c>
      <c r="CM9" s="1046">
        <f>SUM(CI9:CL9)</f>
        <v>540.41501561214363</v>
      </c>
      <c r="CN9" s="1026"/>
      <c r="CO9" s="1026"/>
      <c r="CP9" s="1026"/>
    </row>
    <row r="10" spans="1:94" ht="12.75" customHeight="1">
      <c r="A10" s="1698" t="s">
        <v>346</v>
      </c>
      <c r="B10" s="1635" t="s">
        <v>79</v>
      </c>
      <c r="C10" s="1052">
        <v>0</v>
      </c>
      <c r="D10" s="1044">
        <f>0-C10</f>
        <v>0</v>
      </c>
      <c r="E10" s="1044">
        <f>0-D10-C10</f>
        <v>0</v>
      </c>
      <c r="F10" s="1044">
        <f>-2.199-SUM(C10:E10)</f>
        <v>-2.1989999999999998</v>
      </c>
      <c r="G10" s="1046">
        <f>SUM(C10:F10)</f>
        <v>-2.1989999999999998</v>
      </c>
      <c r="H10" s="383"/>
      <c r="I10" s="1052">
        <v>0.23200000000000001</v>
      </c>
      <c r="J10" s="1044">
        <f>-0.672-I10</f>
        <v>-0.90400000000000003</v>
      </c>
      <c r="K10" s="1044">
        <f>-2.747-J10-I10</f>
        <v>-2.0750000000000002</v>
      </c>
      <c r="L10" s="1047">
        <f>-2.261-SUM(I10:K10)</f>
        <v>0.48600000000000021</v>
      </c>
      <c r="M10" s="1053">
        <f>SUM(I10:L10)</f>
        <v>-2.2610000000000001</v>
      </c>
      <c r="N10" s="383"/>
      <c r="O10" s="1052">
        <v>2.5339999999999998</v>
      </c>
      <c r="P10" s="1044">
        <f>3.87-O10</f>
        <v>1.3360000000000003</v>
      </c>
      <c r="Q10" s="1044">
        <f>-7.794-P10-O10</f>
        <v>-11.663999999999998</v>
      </c>
      <c r="R10" s="1047">
        <f>5.049-SUM(O10:Q10)</f>
        <v>12.842999999999998</v>
      </c>
      <c r="S10" s="1053">
        <f>SUM(O10:R10)</f>
        <v>5.0490000000000004</v>
      </c>
      <c r="T10" s="383"/>
      <c r="U10" s="1052">
        <v>-4.7549999999999999</v>
      </c>
      <c r="V10" s="1044">
        <f>-15.219-U10</f>
        <v>-10.463999999999999</v>
      </c>
      <c r="W10" s="1044">
        <f>0.166-V10-U10</f>
        <v>15.384999999999998</v>
      </c>
      <c r="X10" s="1047">
        <f>-247.997-SUM(U10:W10)</f>
        <v>-248.16300000000001</v>
      </c>
      <c r="Y10" s="1053">
        <f>SUM(U10:X10)</f>
        <v>-247.99700000000001</v>
      </c>
      <c r="Z10" s="383"/>
      <c r="AA10" s="1052">
        <v>2.3780000000000001</v>
      </c>
      <c r="AB10" s="1044">
        <f>1.718-AA10</f>
        <v>-0.66000000000000014</v>
      </c>
      <c r="AC10" s="1044">
        <f>-6.9-SUM(AA10:AB10)</f>
        <v>-8.6180000000000003</v>
      </c>
      <c r="AD10" s="1044">
        <f>-6.483-SUM(AA10:AC10)</f>
        <v>0.4170000000000007</v>
      </c>
      <c r="AE10" s="1053">
        <f>SUM(AA10:AD10)</f>
        <v>-6.4829999999999997</v>
      </c>
      <c r="AF10" s="383"/>
      <c r="AG10" s="1052">
        <v>-0.49299999999999999</v>
      </c>
      <c r="AH10" s="1044">
        <v>-6.5000000000000002E-2</v>
      </c>
      <c r="AI10" s="1044">
        <v>-0.60499999999999998</v>
      </c>
      <c r="AJ10" s="1054">
        <f>-1.499-SUM(AG10:AI10)</f>
        <v>-0.33600000000000008</v>
      </c>
      <c r="AK10" s="1053">
        <f>SUM(AG10:AJ10)</f>
        <v>-1.4990000000000001</v>
      </c>
      <c r="AL10" s="383"/>
      <c r="AM10" s="1052">
        <v>7.2999999999999995E-2</v>
      </c>
      <c r="AN10" s="1044">
        <f>-0.092-AM10</f>
        <v>-0.16499999999999998</v>
      </c>
      <c r="AO10" s="1044">
        <f>-0.815-SUM(AM10:AN10)</f>
        <v>-0.72299999999999998</v>
      </c>
      <c r="AP10" s="1044">
        <f>0.712-SUM(AM10:AO10)</f>
        <v>1.5269999999999999</v>
      </c>
      <c r="AQ10" s="1053">
        <f>SUM(AM10:AP10)</f>
        <v>0.71199999999999997</v>
      </c>
      <c r="AR10" s="383"/>
      <c r="AS10" s="1052">
        <v>9.5000000000000001E-2</v>
      </c>
      <c r="AT10" s="1369">
        <f>2.24-AS10</f>
        <v>2.145</v>
      </c>
      <c r="AU10" s="1369">
        <f>2.861-SUM(AS10:AT10)</f>
        <v>0.621</v>
      </c>
      <c r="AV10" s="1369">
        <f>3.388-SUM(AS10:AU10)</f>
        <v>0.52699999999999969</v>
      </c>
      <c r="AW10" s="1053">
        <f>SUM(AS10:AV10)</f>
        <v>3.3879999999999999</v>
      </c>
      <c r="AX10" s="383"/>
      <c r="AY10" s="1678">
        <v>0</v>
      </c>
      <c r="AZ10" s="1369">
        <f>0-AY10</f>
        <v>0</v>
      </c>
      <c r="BA10" s="1369">
        <f>0.033-SUM(AY10:AZ10)</f>
        <v>3.3000000000000002E-2</v>
      </c>
      <c r="BB10" s="1369">
        <f>0.263-SUM(AY10:BA10)</f>
        <v>0.23</v>
      </c>
      <c r="BC10" s="1053">
        <f>SUM(AY10:BB10)</f>
        <v>0.26300000000000001</v>
      </c>
      <c r="BD10" s="383"/>
      <c r="BE10" s="1678">
        <v>3.9E-2</v>
      </c>
      <c r="BF10" s="1369">
        <f>-2.596-BE10</f>
        <v>-2.6350000000000002</v>
      </c>
      <c r="BG10" s="1369">
        <f>-2.974-SUM(BE10:BF10)</f>
        <v>-0.37800000000000011</v>
      </c>
      <c r="BH10" s="1369">
        <f>-18.593-SUM(BE10:BG10)</f>
        <v>-15.619</v>
      </c>
      <c r="BI10" s="1053">
        <f>SUM(BE10:BH10)</f>
        <v>-18.593</v>
      </c>
      <c r="BJ10" s="383"/>
      <c r="BK10" s="1678">
        <v>-2.5409999999999999</v>
      </c>
      <c r="BL10" s="1369">
        <f>-143.884-BK10</f>
        <v>-141.34299999999999</v>
      </c>
      <c r="BM10" s="1369">
        <f>-138.416-SUM(BK10:BL10)</f>
        <v>5.4679999999999893</v>
      </c>
      <c r="BN10" s="1369">
        <f>-135.743-SUM(BK10:BM10)</f>
        <v>2.6730000000000018</v>
      </c>
      <c r="BO10" s="1053">
        <f>SUM(BK10:BN10)</f>
        <v>-135.74299999999999</v>
      </c>
      <c r="BP10" s="383"/>
      <c r="BQ10" s="1055">
        <f>-IS!BQ34</f>
        <v>2.117</v>
      </c>
      <c r="BR10" s="383">
        <f>-IS!BR34</f>
        <v>2.117</v>
      </c>
      <c r="BS10" s="383">
        <f>-IS!BS34</f>
        <v>2.117</v>
      </c>
      <c r="BT10" s="383">
        <f>-IS!BT34</f>
        <v>2.117</v>
      </c>
      <c r="BU10" s="1053">
        <f>SUM(BQ10:BT10)</f>
        <v>8.468</v>
      </c>
      <c r="BV10" s="383"/>
      <c r="BW10" s="1055">
        <f>-IS!BW34</f>
        <v>2.117</v>
      </c>
      <c r="BX10" s="383">
        <f>-IS!BX34</f>
        <v>2.117</v>
      </c>
      <c r="BY10" s="383">
        <f>-IS!BY34</f>
        <v>2.117</v>
      </c>
      <c r="BZ10" s="383">
        <f>-IS!BZ34</f>
        <v>2.117</v>
      </c>
      <c r="CA10" s="1053">
        <f>SUM(BW10:BZ10)</f>
        <v>8.468</v>
      </c>
      <c r="CB10" s="383"/>
      <c r="CC10" s="1055">
        <f>-IS!CC34</f>
        <v>2.117</v>
      </c>
      <c r="CD10" s="383">
        <f>-IS!CD34</f>
        <v>2.117</v>
      </c>
      <c r="CE10" s="383">
        <f>-IS!CE34</f>
        <v>2.117</v>
      </c>
      <c r="CF10" s="383">
        <f>-IS!CF34</f>
        <v>2.117</v>
      </c>
      <c r="CG10" s="1053">
        <f>SUM(CC10:CF10)</f>
        <v>8.468</v>
      </c>
      <c r="CH10" s="383"/>
      <c r="CI10" s="1055">
        <f>-IS!CI34</f>
        <v>2.117</v>
      </c>
      <c r="CJ10" s="383">
        <f>-IS!CJ34</f>
        <v>2.117</v>
      </c>
      <c r="CK10" s="383">
        <f>-IS!CK34</f>
        <v>2.117</v>
      </c>
      <c r="CL10" s="383">
        <f>-IS!CL34</f>
        <v>2.117</v>
      </c>
      <c r="CM10" s="1053">
        <f>SUM(CI10:CL10)</f>
        <v>8.468</v>
      </c>
      <c r="CN10" s="1026"/>
      <c r="CO10" s="1026"/>
      <c r="CP10" s="1026"/>
    </row>
    <row r="11" spans="1:94" ht="12.75" hidden="1" customHeight="1" outlineLevel="1">
      <c r="A11" s="1698" t="s">
        <v>427</v>
      </c>
      <c r="B11" s="1635" t="s">
        <v>79</v>
      </c>
      <c r="C11" s="1052">
        <v>0.127</v>
      </c>
      <c r="D11" s="1044">
        <f>-0.257-C11</f>
        <v>-0.38400000000000001</v>
      </c>
      <c r="E11" s="1044">
        <f>0.1-D11-C11</f>
        <v>0.35699999999999998</v>
      </c>
      <c r="F11" s="1044">
        <f>1.232-SUM(C11:E11)</f>
        <v>1.1320000000000001</v>
      </c>
      <c r="G11" s="1046">
        <f>SUM(C11:F11)</f>
        <v>1.2320000000000002</v>
      </c>
      <c r="H11" s="383"/>
      <c r="I11" s="1052">
        <v>0.36899999999999999</v>
      </c>
      <c r="J11" s="1044">
        <f>7.159-I11</f>
        <v>6.79</v>
      </c>
      <c r="K11" s="1044">
        <f>-0.985-J11-I11</f>
        <v>-8.1440000000000001</v>
      </c>
      <c r="L11" s="1047">
        <f>1.997-SUM(I11:K11)</f>
        <v>2.9820000000000002</v>
      </c>
      <c r="M11" s="1053">
        <f>SUM(I11:L11)</f>
        <v>1.9969999999999999</v>
      </c>
      <c r="N11" s="383"/>
      <c r="O11" s="1052">
        <v>1.589</v>
      </c>
      <c r="P11" s="1044">
        <f>1.988-O11</f>
        <v>0.39900000000000002</v>
      </c>
      <c r="Q11" s="1044">
        <f>3.556-P11-O11</f>
        <v>1.5680000000000001</v>
      </c>
      <c r="R11" s="1047">
        <f>2.096-SUM(O11:Q11)</f>
        <v>-1.46</v>
      </c>
      <c r="S11" s="1053">
        <f>SUM(O11:R11)</f>
        <v>2.0960000000000001</v>
      </c>
      <c r="T11" s="383"/>
      <c r="U11" s="1052">
        <v>0</v>
      </c>
      <c r="V11" s="1044">
        <f>0-U11</f>
        <v>0</v>
      </c>
      <c r="W11" s="1044">
        <f>-2.231-V11-U11</f>
        <v>-2.2309999999999999</v>
      </c>
      <c r="X11" s="1047">
        <f>0-SUM(U11:W11)</f>
        <v>2.2309999999999999</v>
      </c>
      <c r="Y11" s="1053">
        <f>SUM(U11:X11)</f>
        <v>0</v>
      </c>
      <c r="Z11" s="383"/>
      <c r="AA11" s="1052">
        <v>0</v>
      </c>
      <c r="AB11" s="1044">
        <f>0-AA11</f>
        <v>0</v>
      </c>
      <c r="AC11" s="1044"/>
      <c r="AD11" s="1044"/>
      <c r="AE11" s="1053">
        <f>SUM(AA11:AD11)</f>
        <v>0</v>
      </c>
      <c r="AF11" s="383"/>
      <c r="AG11" s="1052">
        <v>0</v>
      </c>
      <c r="AH11" s="1044">
        <f>0-AG11</f>
        <v>0</v>
      </c>
      <c r="AI11" s="1044">
        <f>0-AH11</f>
        <v>0</v>
      </c>
      <c r="AJ11" s="1054">
        <f>0-SUM(AG11:AI11)</f>
        <v>0</v>
      </c>
      <c r="AK11" s="1053">
        <f>SUM(AG11:AJ11)</f>
        <v>0</v>
      </c>
      <c r="AL11" s="383"/>
      <c r="AM11" s="1052">
        <v>0</v>
      </c>
      <c r="AN11" s="1044">
        <f>0-AM11</f>
        <v>0</v>
      </c>
      <c r="AO11" s="1044">
        <f>0-SUM(AM11:AN11)</f>
        <v>0</v>
      </c>
      <c r="AP11" s="1044">
        <f>0-SUM(AM11:AO11)</f>
        <v>0</v>
      </c>
      <c r="AQ11" s="1053">
        <f>SUM(AM11:AP11)</f>
        <v>0</v>
      </c>
      <c r="AR11" s="383"/>
      <c r="AS11" s="1052">
        <v>0</v>
      </c>
      <c r="AT11" s="1369">
        <f>0-AS11</f>
        <v>0</v>
      </c>
      <c r="AU11" s="1369">
        <f>0-SUM(AS11:AT11)</f>
        <v>0</v>
      </c>
      <c r="AV11" s="1369">
        <f>0-SUM(AS11:AU11)</f>
        <v>0</v>
      </c>
      <c r="AW11" s="1053">
        <f>SUM(AS11:AV11)</f>
        <v>0</v>
      </c>
      <c r="AX11" s="383"/>
      <c r="AY11" s="1678">
        <v>-2.3E-2</v>
      </c>
      <c r="AZ11" s="1369">
        <f>-0.001-AY11</f>
        <v>2.1999999999999999E-2</v>
      </c>
      <c r="BA11" s="1369">
        <f>0-SUM(AY11:AZ11)</f>
        <v>1.0000000000000009E-3</v>
      </c>
      <c r="BB11" s="1369">
        <f>0-SUM(AY11:BA11)</f>
        <v>0</v>
      </c>
      <c r="BC11" s="1053">
        <f>SUM(AY11:BB11)</f>
        <v>0</v>
      </c>
      <c r="BD11" s="383"/>
      <c r="BE11" s="1678">
        <v>0</v>
      </c>
      <c r="BF11" s="1369">
        <f>0-BE11</f>
        <v>0</v>
      </c>
      <c r="BG11" s="1369">
        <f t="shared" ref="BG11" si="0">0-SUM(BE11:BF11)</f>
        <v>0</v>
      </c>
      <c r="BH11" s="1369">
        <f t="shared" ref="BH11" si="1">0-SUM(BE11:BG11)</f>
        <v>0</v>
      </c>
      <c r="BI11" s="1053">
        <f>SUM(BE11:BH11)</f>
        <v>0</v>
      </c>
      <c r="BJ11" s="383"/>
      <c r="BK11" s="1678">
        <v>0</v>
      </c>
      <c r="BL11" s="1369">
        <f t="shared" ref="BL11" si="2">0-BK11</f>
        <v>0</v>
      </c>
      <c r="BM11" s="1369">
        <f t="shared" ref="BM11" si="3">0-SUM(BK11:BL11)</f>
        <v>0</v>
      </c>
      <c r="BN11" s="1369">
        <f>0-SUM(BK11:BM11)</f>
        <v>0</v>
      </c>
      <c r="BO11" s="1053">
        <f>SUM(BK11:BN11)</f>
        <v>0</v>
      </c>
      <c r="BP11" s="383"/>
      <c r="BQ11" s="1055">
        <f>-IS!BQ35</f>
        <v>0.55600000000000005</v>
      </c>
      <c r="BR11" s="383">
        <f>-IS!BR35</f>
        <v>0.55600000000000005</v>
      </c>
      <c r="BS11" s="383">
        <f>-IS!BS35</f>
        <v>0.55600000000000005</v>
      </c>
      <c r="BT11" s="383">
        <f>-IS!BT35</f>
        <v>0.55600000000000005</v>
      </c>
      <c r="BU11" s="1053">
        <f>SUM(BQ11:BT11)</f>
        <v>2.2240000000000002</v>
      </c>
      <c r="BV11" s="383"/>
      <c r="BW11" s="1055">
        <f>-IS!BW35</f>
        <v>0.55600000000000005</v>
      </c>
      <c r="BX11" s="383">
        <f>-IS!BX35</f>
        <v>0.55600000000000005</v>
      </c>
      <c r="BY11" s="383">
        <f>-IS!BY35</f>
        <v>0.55600000000000005</v>
      </c>
      <c r="BZ11" s="383">
        <f>-IS!BZ35</f>
        <v>0.55600000000000005</v>
      </c>
      <c r="CA11" s="1053">
        <f>SUM(BW11:BZ11)</f>
        <v>2.2240000000000002</v>
      </c>
      <c r="CB11" s="383"/>
      <c r="CC11" s="1055">
        <f>-IS!CC35</f>
        <v>0.55600000000000005</v>
      </c>
      <c r="CD11" s="383">
        <f>-IS!CD35</f>
        <v>0.55600000000000005</v>
      </c>
      <c r="CE11" s="383">
        <f>-IS!CE35</f>
        <v>0.55600000000000005</v>
      </c>
      <c r="CF11" s="383">
        <f>-IS!CF35</f>
        <v>0.55600000000000005</v>
      </c>
      <c r="CG11" s="1053">
        <f>SUM(CC11:CF11)</f>
        <v>2.2240000000000002</v>
      </c>
      <c r="CH11" s="383"/>
      <c r="CI11" s="1055">
        <f>-IS!CI35</f>
        <v>0.55600000000000005</v>
      </c>
      <c r="CJ11" s="383">
        <f>-IS!CJ35</f>
        <v>0.55600000000000005</v>
      </c>
      <c r="CK11" s="383">
        <f>-IS!CK35</f>
        <v>0.55600000000000005</v>
      </c>
      <c r="CL11" s="383">
        <f>-IS!CL35</f>
        <v>0.55600000000000005</v>
      </c>
      <c r="CM11" s="1053">
        <f>SUM(CI11:CL11)</f>
        <v>2.2240000000000002</v>
      </c>
      <c r="CN11" s="1026"/>
      <c r="CO11" s="1026"/>
      <c r="CP11" s="1026"/>
    </row>
    <row r="12" spans="1:94" collapsed="1">
      <c r="A12" s="1699" t="s">
        <v>347</v>
      </c>
      <c r="B12" s="1750" t="s">
        <v>79</v>
      </c>
      <c r="C12" s="1056">
        <f>+C9+C10+C11</f>
        <v>14.819000000000001</v>
      </c>
      <c r="D12" s="399">
        <f>+D9+D10+D11</f>
        <v>33.302999999999997</v>
      </c>
      <c r="E12" s="399">
        <f>+E9+E10+E11</f>
        <v>31.101999999999997</v>
      </c>
      <c r="F12" s="399">
        <f>+F9+F10+F11</f>
        <v>51.495000000000012</v>
      </c>
      <c r="G12" s="1046">
        <f>+G9+G10+G11</f>
        <v>130.71899999999999</v>
      </c>
      <c r="H12" s="399"/>
      <c r="I12" s="1056">
        <f>+I9+I10+I11</f>
        <v>20.739000000000001</v>
      </c>
      <c r="J12" s="399">
        <f>+J9+J10+J11</f>
        <v>29.591999999999999</v>
      </c>
      <c r="K12" s="399">
        <f>+K9+K10+K11</f>
        <v>41.682999999999986</v>
      </c>
      <c r="L12" s="1057">
        <f>+L9+L10+L11</f>
        <v>34.131000000000029</v>
      </c>
      <c r="M12" s="1046">
        <f>+M9+M10+M11</f>
        <v>126.14500000000001</v>
      </c>
      <c r="N12" s="399"/>
      <c r="O12" s="1056">
        <f>+O9+O10+O11</f>
        <v>14.682</v>
      </c>
      <c r="P12" s="399">
        <f>+P9+P10+P11</f>
        <v>23.240000000000002</v>
      </c>
      <c r="Q12" s="399">
        <f>+Q9+Q10+Q11</f>
        <v>3.492999999999999</v>
      </c>
      <c r="R12" s="1057">
        <f>+R9+R10+R11</f>
        <v>51.329000000000001</v>
      </c>
      <c r="S12" s="1046">
        <f>+S9+S10+S11</f>
        <v>92.744000000000014</v>
      </c>
      <c r="T12" s="399"/>
      <c r="U12" s="1056">
        <f>+U9+U10+U11</f>
        <v>19.635999999999999</v>
      </c>
      <c r="V12" s="399">
        <f>+V9+V10+V11</f>
        <v>47.179000000000009</v>
      </c>
      <c r="W12" s="399">
        <f>+W9+W10+W11</f>
        <v>26.544999999999987</v>
      </c>
      <c r="X12" s="1057">
        <f>+X9+X10+X11</f>
        <v>42.561999999999962</v>
      </c>
      <c r="Y12" s="1046">
        <f>+Y9+Y10+Y11</f>
        <v>135.92199999999997</v>
      </c>
      <c r="Z12" s="399"/>
      <c r="AA12" s="1056">
        <f>+AA9+AA10+AA11</f>
        <v>25.9</v>
      </c>
      <c r="AB12" s="399">
        <f>+AB9+AB10+AB11</f>
        <v>27.893000000000004</v>
      </c>
      <c r="AC12" s="399">
        <f>+AC9+AC10+AC11</f>
        <v>26.701000000000001</v>
      </c>
      <c r="AD12" s="399">
        <f>+AD9+AD10+AD11</f>
        <v>-79.322000000000003</v>
      </c>
      <c r="AE12" s="1046">
        <f>+AE9+AE10+AE11</f>
        <v>1.1720000000000015</v>
      </c>
      <c r="AF12" s="399"/>
      <c r="AG12" s="1056">
        <f>+AG9+AG10+AG11</f>
        <v>22.076000000000001</v>
      </c>
      <c r="AH12" s="399">
        <f>+AH9+AH10+AH11</f>
        <v>33.568000000000005</v>
      </c>
      <c r="AI12" s="399">
        <f>+AI9+AI10+AI11</f>
        <v>28.989000000000001</v>
      </c>
      <c r="AJ12" s="399">
        <f>+AJ9+AJ10+AJ11</f>
        <v>-16.191999999999993</v>
      </c>
      <c r="AK12" s="1046">
        <f>+AK9+AK10+AK11</f>
        <v>68.441000000000003</v>
      </c>
      <c r="AL12" s="399"/>
      <c r="AM12" s="1056">
        <f>+AM9+AM10+AM11</f>
        <v>32.289000000000001</v>
      </c>
      <c r="AN12" s="399">
        <f>+AN9+AN10+AN11</f>
        <v>27.759999999999998</v>
      </c>
      <c r="AO12" s="399">
        <f>+AO9+AO10+AO11</f>
        <v>39.475000000000001</v>
      </c>
      <c r="AP12" s="399">
        <f>+AP9+AP10+AP11</f>
        <v>68.399999999999991</v>
      </c>
      <c r="AQ12" s="1046">
        <f>+AQ9+AQ10+AQ11</f>
        <v>167.92399999999998</v>
      </c>
      <c r="AR12" s="399"/>
      <c r="AS12" s="1056">
        <f>+AS9+AS10+AS11</f>
        <v>34.318999999999996</v>
      </c>
      <c r="AT12" s="399">
        <f>+AT9+AT10+AT11</f>
        <v>52.635000000000005</v>
      </c>
      <c r="AU12" s="399">
        <f>+AU9+AU10+AU11</f>
        <v>42.898000000000003</v>
      </c>
      <c r="AV12" s="1566">
        <f>+AV9+AV10+AV11</f>
        <v>31.313999999999993</v>
      </c>
      <c r="AW12" s="1571">
        <f>+AW9+AW10+AW11</f>
        <v>161.166</v>
      </c>
      <c r="AX12" s="399"/>
      <c r="AY12" s="1680">
        <f>+AY9+AY10+AY11</f>
        <v>40.311</v>
      </c>
      <c r="AZ12" s="399">
        <f>+AZ9+AZ10+AZ11</f>
        <v>48.996000000000002</v>
      </c>
      <c r="BA12" s="399">
        <f>+BA9+BA10+BA11</f>
        <v>54.896999999999984</v>
      </c>
      <c r="BB12" s="1566">
        <f>+BB9+BB10+BB11</f>
        <v>68.484000000000023</v>
      </c>
      <c r="BC12" s="1046">
        <f>+BC9+BC10+BC11</f>
        <v>212.68800000000002</v>
      </c>
      <c r="BD12" s="399"/>
      <c r="BE12" s="1680">
        <f>+BE9+BE10+BE11</f>
        <v>47.505000000000003</v>
      </c>
      <c r="BF12" s="399">
        <f>+BF9+BF10+BF11</f>
        <v>61.221999999999994</v>
      </c>
      <c r="BG12" s="399">
        <f>+BG9+BG10+BG11</f>
        <v>57.748999999999995</v>
      </c>
      <c r="BH12" s="1566">
        <f>+BH9+BH10+BH11</f>
        <v>49.230000000000018</v>
      </c>
      <c r="BI12" s="1046">
        <f>+BI9+BI10+BI11</f>
        <v>215.70600000000002</v>
      </c>
      <c r="BJ12" s="399"/>
      <c r="BK12" s="1680">
        <f>+BK9+BK10+BK11</f>
        <v>36.062000000000005</v>
      </c>
      <c r="BL12" s="399">
        <f>+BL9+BL10+BL11</f>
        <v>62.725999999999999</v>
      </c>
      <c r="BM12" s="399">
        <f>+BM9+BM10+BM11</f>
        <v>96.545999999999992</v>
      </c>
      <c r="BN12" s="1566">
        <f>+BN9+BN10+BN11</f>
        <v>-38.444000000000017</v>
      </c>
      <c r="BO12" s="1046">
        <f>+BO9+BO10+BO11</f>
        <v>156.88999999999999</v>
      </c>
      <c r="BP12" s="399"/>
      <c r="BQ12" s="1056">
        <f>+BQ9+BQ10+BQ11</f>
        <v>53.058582433852933</v>
      </c>
      <c r="BR12" s="399">
        <f>+BR9+BR10+BR11</f>
        <v>81.898832987974757</v>
      </c>
      <c r="BS12" s="399">
        <f>+BS9+BS10+BS11</f>
        <v>88.315229223056917</v>
      </c>
      <c r="BT12" s="399">
        <f>+BT9+BT10+BT11</f>
        <v>116.04506628402761</v>
      </c>
      <c r="BU12" s="1046">
        <f>+BU9+BU10+BU11</f>
        <v>339.31771092891222</v>
      </c>
      <c r="BV12" s="399"/>
      <c r="BW12" s="1056">
        <f>+BW9+BW10+BW11</f>
        <v>67.324296073347199</v>
      </c>
      <c r="BX12" s="399">
        <f>+BX9+BX10+BX11</f>
        <v>98.326229963620534</v>
      </c>
      <c r="BY12" s="399">
        <f>+BY9+BY10+BY11</f>
        <v>105.34968920684003</v>
      </c>
      <c r="BZ12" s="399">
        <f>+BZ9+BZ10+BZ11</f>
        <v>135.22558412493649</v>
      </c>
      <c r="CA12" s="1046">
        <f>+CA9+CA10+CA11</f>
        <v>406.22579936874422</v>
      </c>
      <c r="CB12" s="399"/>
      <c r="CC12" s="1056">
        <f>+CC9+CC10+CC11</f>
        <v>80.743959079618449</v>
      </c>
      <c r="CD12" s="399">
        <f>+CD9+CD10+CD11</f>
        <v>123.67573885772781</v>
      </c>
      <c r="CE12" s="399">
        <f>+CE9+CE10+CE11</f>
        <v>132.00088854843546</v>
      </c>
      <c r="CF12" s="399">
        <f>+CF9+CF10+CF11</f>
        <v>166.91290050658233</v>
      </c>
      <c r="CG12" s="1046">
        <f>+CG9+CG10+CG11</f>
        <v>503.33348699236404</v>
      </c>
      <c r="CH12" s="399"/>
      <c r="CI12" s="1056">
        <f>+CI9+CI10+CI11</f>
        <v>107.26572888225127</v>
      </c>
      <c r="CJ12" s="399">
        <f>+CJ9+CJ10+CJ11</f>
        <v>130.7783057719958</v>
      </c>
      <c r="CK12" s="399">
        <f>+CK9+CK10+CK11</f>
        <v>138.96186660110641</v>
      </c>
      <c r="CL12" s="399">
        <f>+CL9+CL10+CL11</f>
        <v>174.10111435679011</v>
      </c>
      <c r="CM12" s="1046">
        <f>+CM9+CM10+CM11</f>
        <v>551.10701561214364</v>
      </c>
      <c r="CN12" s="1026"/>
      <c r="CO12" s="1026"/>
      <c r="CP12" s="1026"/>
    </row>
    <row r="13" spans="1:94">
      <c r="A13" s="868" t="s">
        <v>123</v>
      </c>
      <c r="B13" s="917"/>
      <c r="C13" s="1052">
        <v>4.4379999999999997</v>
      </c>
      <c r="D13" s="1044">
        <f>8.985-C13</f>
        <v>4.5469999999999997</v>
      </c>
      <c r="E13" s="1044">
        <f>7.553-SUM(C13:D13)</f>
        <v>-1.4319999999999995</v>
      </c>
      <c r="F13" s="1047">
        <f>12.238-SUM(C13:E13)</f>
        <v>4.6849999999999996</v>
      </c>
      <c r="G13" s="1053">
        <f t="shared" ref="G13:G25" si="4">SUM(C13:F13)</f>
        <v>12.238</v>
      </c>
      <c r="H13" s="1059"/>
      <c r="I13" s="1052">
        <v>0</v>
      </c>
      <c r="J13" s="1044">
        <f>-0.305-I13</f>
        <v>-0.30499999999999999</v>
      </c>
      <c r="K13" s="1044">
        <f>6.19-J13-I13</f>
        <v>6.4950000000000001</v>
      </c>
      <c r="L13" s="1047">
        <f>6.19-SUM(I13:K13)</f>
        <v>0</v>
      </c>
      <c r="M13" s="1053">
        <f t="shared" ref="M13:M25" si="5">SUM(I13:L13)</f>
        <v>6.19</v>
      </c>
      <c r="N13" s="1059"/>
      <c r="O13" s="1052">
        <v>7.8479999999999999</v>
      </c>
      <c r="P13" s="1044">
        <v>0</v>
      </c>
      <c r="Q13" s="1044">
        <v>10.138999999999999</v>
      </c>
      <c r="R13" s="1047">
        <v>2.2440000000000033</v>
      </c>
      <c r="S13" s="1053">
        <f t="shared" ref="S13:S25" si="6">SUM(O13:R13)</f>
        <v>20.231000000000002</v>
      </c>
      <c r="T13" s="1059"/>
      <c r="U13" s="1052">
        <v>0</v>
      </c>
      <c r="V13" s="1044">
        <f>9.833-U13</f>
        <v>9.8330000000000002</v>
      </c>
      <c r="W13" s="1044">
        <f>9.833-V13-U13</f>
        <v>0</v>
      </c>
      <c r="X13" s="1047">
        <f>18.963-SUM(U13:W13)</f>
        <v>9.1300000000000008</v>
      </c>
      <c r="Y13" s="1053">
        <f t="shared" ref="Y13:Y25" si="7">SUM(U13:X13)</f>
        <v>18.963000000000001</v>
      </c>
      <c r="Z13" s="1059"/>
      <c r="AA13" s="1052">
        <v>0</v>
      </c>
      <c r="AB13" s="1044">
        <f>3.34-AA13</f>
        <v>3.34</v>
      </c>
      <c r="AC13" s="1044">
        <f>3.34-SUM(AA13:AB13)</f>
        <v>0</v>
      </c>
      <c r="AD13" s="1044">
        <f>13.452-SUM(AA13:AC13)</f>
        <v>10.112</v>
      </c>
      <c r="AE13" s="1053">
        <f t="shared" ref="AE13:AE25" si="8">SUM(AA13:AD13)</f>
        <v>13.452</v>
      </c>
      <c r="AF13" s="1059"/>
      <c r="AG13" s="1052">
        <v>6.1589999999999998</v>
      </c>
      <c r="AH13" s="1044">
        <v>5.2030000000000003</v>
      </c>
      <c r="AI13" s="1044">
        <v>9.6720000000000006</v>
      </c>
      <c r="AJ13" s="1044">
        <f>25.137-SUM(AG13:AI13)</f>
        <v>4.1030000000000015</v>
      </c>
      <c r="AK13" s="1053">
        <f t="shared" ref="AK13:AK25" si="9">SUM(AG13:AJ13)</f>
        <v>25.137</v>
      </c>
      <c r="AL13" s="1059"/>
      <c r="AM13" s="1052">
        <v>3.31</v>
      </c>
      <c r="AN13" s="1044">
        <f>22.557-AM13</f>
        <v>19.247</v>
      </c>
      <c r="AO13" s="1044">
        <f>23.713-SUM(AM13:AN13)</f>
        <v>1.1560000000000024</v>
      </c>
      <c r="AP13" s="1044">
        <f>33.928-SUM(AM13:AO13)</f>
        <v>10.214999999999996</v>
      </c>
      <c r="AQ13" s="1053">
        <f t="shared" ref="AQ13:AQ25" si="10">SUM(AM13:AP13)</f>
        <v>33.927999999999997</v>
      </c>
      <c r="AR13" s="1059"/>
      <c r="AS13" s="1052">
        <v>2.1349999999999998</v>
      </c>
      <c r="AT13" s="1369">
        <f>2.877-AS13</f>
        <v>0.74199999999999999</v>
      </c>
      <c r="AU13" s="1369">
        <f>13.969-SUM(AS13:AT13)</f>
        <v>11.091999999999999</v>
      </c>
      <c r="AV13" s="1369">
        <f>13.39-SUM(AS13:AU13)</f>
        <v>-0.57899999999999707</v>
      </c>
      <c r="AW13" s="1053">
        <f t="shared" ref="AW13:AW25" si="11">SUM(AS13:AV13)</f>
        <v>13.39</v>
      </c>
      <c r="AX13" s="1059"/>
      <c r="AY13" s="1678">
        <v>0</v>
      </c>
      <c r="AZ13" s="1369">
        <f>4.956-AY13</f>
        <v>4.9560000000000004</v>
      </c>
      <c r="BA13" s="1369">
        <f>4.838-SUM(AY13:AZ13)</f>
        <v>-0.11800000000000033</v>
      </c>
      <c r="BB13" s="1369">
        <f>13.59-SUM(AY13:BA13)</f>
        <v>8.7519999999999989</v>
      </c>
      <c r="BC13" s="1053">
        <f t="shared" ref="BC13:BC18" si="12">SUM(AY13:BB13)</f>
        <v>13.59</v>
      </c>
      <c r="BD13" s="1059"/>
      <c r="BE13" s="1678">
        <v>0</v>
      </c>
      <c r="BF13" s="1369">
        <f>5.089-BE13</f>
        <v>5.0890000000000004</v>
      </c>
      <c r="BG13" s="1369">
        <f>5.692-SUM(BE13:BF13)</f>
        <v>0.60299999999999976</v>
      </c>
      <c r="BH13" s="1369">
        <f>5.124-SUM(BE13:BG13)</f>
        <v>-0.5680000000000005</v>
      </c>
      <c r="BI13" s="1053">
        <f t="shared" ref="BI13:BI18" si="13">SUM(BE13:BH13)</f>
        <v>5.1239999999999997</v>
      </c>
      <c r="BJ13" s="1059"/>
      <c r="BK13" s="1678">
        <v>9.6509999999999998</v>
      </c>
      <c r="BL13" s="1369">
        <f>9.651-BK13</f>
        <v>0</v>
      </c>
      <c r="BM13" s="1369">
        <f>12.92-SUM(BK13:BL13)</f>
        <v>3.2690000000000001</v>
      </c>
      <c r="BN13" s="1369">
        <f>12.657-SUM(BK13:BM13)</f>
        <v>-0.2629999999999999</v>
      </c>
      <c r="BO13" s="1053">
        <f t="shared" ref="BO13:BO18" si="14">SUM(BK13:BN13)</f>
        <v>12.657</v>
      </c>
      <c r="BP13" s="1059"/>
      <c r="BQ13" s="1052">
        <v>0</v>
      </c>
      <c r="BR13" s="1044">
        <v>0</v>
      </c>
      <c r="BS13" s="1044">
        <v>0</v>
      </c>
      <c r="BT13" s="1044">
        <v>0</v>
      </c>
      <c r="BU13" s="1053">
        <f t="shared" ref="BU13:BU18" si="15">SUM(BQ13:BT13)</f>
        <v>0</v>
      </c>
      <c r="BV13" s="1059"/>
      <c r="BW13" s="1052">
        <v>0</v>
      </c>
      <c r="BX13" s="1044">
        <v>0</v>
      </c>
      <c r="BY13" s="1044">
        <v>0</v>
      </c>
      <c r="BZ13" s="1044">
        <v>0</v>
      </c>
      <c r="CA13" s="1053">
        <f t="shared" ref="CA13:CA18" si="16">SUM(BW13:BZ13)</f>
        <v>0</v>
      </c>
      <c r="CB13" s="1059"/>
      <c r="CC13" s="1052">
        <v>0</v>
      </c>
      <c r="CD13" s="1044">
        <v>0</v>
      </c>
      <c r="CE13" s="1044">
        <v>0</v>
      </c>
      <c r="CF13" s="1044">
        <v>0</v>
      </c>
      <c r="CG13" s="1053">
        <f t="shared" ref="CG13:CG18" si="17">SUM(CC13:CF13)</f>
        <v>0</v>
      </c>
      <c r="CH13" s="1059"/>
      <c r="CI13" s="1052">
        <v>0</v>
      </c>
      <c r="CJ13" s="1044">
        <v>0</v>
      </c>
      <c r="CK13" s="1044">
        <v>0</v>
      </c>
      <c r="CL13" s="1044">
        <v>0</v>
      </c>
      <c r="CM13" s="1053">
        <f t="shared" ref="CM13:CM18" si="18">SUM(CI13:CL13)</f>
        <v>0</v>
      </c>
      <c r="CN13" s="1026"/>
      <c r="CO13" s="1026"/>
      <c r="CP13" s="1026"/>
    </row>
    <row r="14" spans="1:94">
      <c r="A14" s="868" t="s">
        <v>348</v>
      </c>
      <c r="B14" s="917"/>
      <c r="C14" s="1052">
        <v>19.085000000000001</v>
      </c>
      <c r="D14" s="1044">
        <f>38.161-C14</f>
        <v>19.076000000000001</v>
      </c>
      <c r="E14" s="1044">
        <f>57.144-SUM(C14:D14)</f>
        <v>18.982999999999997</v>
      </c>
      <c r="F14" s="1047">
        <f>76.511-SUM(C14:E14)</f>
        <v>19.366999999999997</v>
      </c>
      <c r="G14" s="1053">
        <f t="shared" si="4"/>
        <v>76.510999999999996</v>
      </c>
      <c r="H14" s="1059"/>
      <c r="I14" s="1052">
        <v>21.597000000000001</v>
      </c>
      <c r="J14" s="1044">
        <f>43.916-I14</f>
        <v>22.318999999999996</v>
      </c>
      <c r="K14" s="1044">
        <f>66.433-J14-I14</f>
        <v>22.51700000000001</v>
      </c>
      <c r="L14" s="1047">
        <f>88.307-SUM(I14:K14)</f>
        <v>21.873999999999995</v>
      </c>
      <c r="M14" s="1053">
        <f t="shared" si="5"/>
        <v>88.307000000000002</v>
      </c>
      <c r="N14" s="1059"/>
      <c r="O14" s="1052">
        <v>21.675000000000001</v>
      </c>
      <c r="P14" s="1044">
        <v>22.416999999999998</v>
      </c>
      <c r="Q14" s="1044">
        <v>13.853999999999996</v>
      </c>
      <c r="R14" s="1047">
        <v>33.897000000000006</v>
      </c>
      <c r="S14" s="1053">
        <f t="shared" si="6"/>
        <v>91.843000000000004</v>
      </c>
      <c r="T14" s="1059"/>
      <c r="U14" s="1052">
        <v>20.001000000000001</v>
      </c>
      <c r="V14" s="1044">
        <f>43.077-U14</f>
        <v>23.075999999999997</v>
      </c>
      <c r="W14" s="1044">
        <f>65.87-V14-U14</f>
        <v>22.79300000000001</v>
      </c>
      <c r="X14" s="1047">
        <f>89.163-SUM(U14:W14)</f>
        <v>23.292999999999992</v>
      </c>
      <c r="Y14" s="1053">
        <f t="shared" si="7"/>
        <v>89.162999999999997</v>
      </c>
      <c r="Z14" s="1059"/>
      <c r="AA14" s="1052">
        <v>23.952999999999999</v>
      </c>
      <c r="AB14" s="1044">
        <f>50.601-AA14</f>
        <v>26.648</v>
      </c>
      <c r="AC14" s="1044">
        <f>78.718-SUM(AA14:AB14)</f>
        <v>28.117000000000004</v>
      </c>
      <c r="AD14" s="1044">
        <f>110.921-SUM(AA14:AC14)</f>
        <v>32.203000000000003</v>
      </c>
      <c r="AE14" s="1053">
        <f t="shared" si="8"/>
        <v>110.92100000000001</v>
      </c>
      <c r="AF14" s="1059"/>
      <c r="AG14" s="1052">
        <v>32.006999999999998</v>
      </c>
      <c r="AH14" s="1044">
        <v>32.155999999999999</v>
      </c>
      <c r="AI14" s="1044">
        <f>30.628</f>
        <v>30.628</v>
      </c>
      <c r="AJ14" s="1044">
        <f>126.865-SUM(AG14:AI14)</f>
        <v>32.073999999999998</v>
      </c>
      <c r="AK14" s="1053">
        <f t="shared" si="9"/>
        <v>126.86499999999999</v>
      </c>
      <c r="AL14" s="1059"/>
      <c r="AM14" s="1052">
        <v>30.571000000000002</v>
      </c>
      <c r="AN14" s="1044">
        <f>61.98-AM14</f>
        <v>31.408999999999995</v>
      </c>
      <c r="AO14" s="1044">
        <f>96.453-SUM(AM14:AN14)</f>
        <v>34.473000000000006</v>
      </c>
      <c r="AP14" s="1044">
        <f>128.471-SUM(AM14:AO14)</f>
        <v>32.018000000000001</v>
      </c>
      <c r="AQ14" s="1053">
        <f t="shared" si="10"/>
        <v>128.471</v>
      </c>
      <c r="AR14" s="1059"/>
      <c r="AS14" s="1052">
        <v>29.443000000000001</v>
      </c>
      <c r="AT14" s="1369">
        <f>57.907-AS14</f>
        <v>28.463999999999995</v>
      </c>
      <c r="AU14" s="1369">
        <f>86.833-SUM(AS14:AT14)</f>
        <v>28.926000000000002</v>
      </c>
      <c r="AV14" s="1369">
        <f>116.736-SUM(AS14:AU14)</f>
        <v>29.903000000000006</v>
      </c>
      <c r="AW14" s="1053">
        <f t="shared" si="11"/>
        <v>116.736</v>
      </c>
      <c r="AX14" s="1059"/>
      <c r="AY14" s="1678">
        <v>28.334</v>
      </c>
      <c r="AZ14" s="1369">
        <f>56.593-AY14</f>
        <v>28.259000000000004</v>
      </c>
      <c r="BA14" s="1369">
        <f>83.757-SUM(AY14:AZ14)</f>
        <v>27.164000000000001</v>
      </c>
      <c r="BB14" s="1369">
        <f>112.007-SUM(AY14:BA14)</f>
        <v>28.25</v>
      </c>
      <c r="BC14" s="1053">
        <f t="shared" si="12"/>
        <v>112.00700000000001</v>
      </c>
      <c r="BD14" s="1059"/>
      <c r="BE14" s="1678">
        <v>26.957000000000001</v>
      </c>
      <c r="BF14" s="1369">
        <f>53.396-BE14</f>
        <v>26.439</v>
      </c>
      <c r="BG14" s="1369">
        <f>79.287-SUM(BE14:BF14)</f>
        <v>25.891000000000005</v>
      </c>
      <c r="BH14" s="1369">
        <f>99.972-SUM(BE14:BG14)</f>
        <v>20.684999999999988</v>
      </c>
      <c r="BI14" s="1053">
        <f t="shared" si="13"/>
        <v>99.971999999999994</v>
      </c>
      <c r="BJ14" s="1059"/>
      <c r="BK14" s="1678">
        <v>24.747</v>
      </c>
      <c r="BL14" s="1369">
        <f>49.505-BK14</f>
        <v>24.758000000000003</v>
      </c>
      <c r="BM14" s="1369">
        <f>75.507-SUM(BK14:BL14)</f>
        <v>26.002000000000002</v>
      </c>
      <c r="BN14" s="1369">
        <f>105-SUM(BK14:BM14)</f>
        <v>29.492999999999995</v>
      </c>
      <c r="BO14" s="1053">
        <f t="shared" si="14"/>
        <v>105</v>
      </c>
      <c r="BP14" s="1059"/>
      <c r="BQ14" s="1055">
        <f>-BS!BQ105-BS!BQ119</f>
        <v>31.245182499999999</v>
      </c>
      <c r="BR14" s="383">
        <f>-BS!BR105-BS!BR119</f>
        <v>31.078546556179536</v>
      </c>
      <c r="BS14" s="383">
        <f>-BS!BS105-BS!BS119</f>
        <v>30.930065620931785</v>
      </c>
      <c r="BT14" s="383">
        <f>-BS!BT105-BS!BT119</f>
        <v>30.785405078140947</v>
      </c>
      <c r="BU14" s="1053">
        <f t="shared" si="15"/>
        <v>124.03919975525227</v>
      </c>
      <c r="BV14" s="1059"/>
      <c r="BW14" s="1055">
        <f>-BS!BW105-BS!BW119</f>
        <v>33.911743300985364</v>
      </c>
      <c r="BX14" s="383">
        <f>-BS!BX105-BS!BX119</f>
        <v>33.742781484523597</v>
      </c>
      <c r="BY14" s="383">
        <f>-BS!BY105-BS!BY119</f>
        <v>33.596920196033309</v>
      </c>
      <c r="BZ14" s="383">
        <f>-BS!BZ105-BS!BZ119</f>
        <v>33.456543294180804</v>
      </c>
      <c r="CA14" s="1053">
        <f t="shared" si="16"/>
        <v>134.70798827572307</v>
      </c>
      <c r="CB14" s="1059"/>
      <c r="CC14" s="1055">
        <f>-BS!CC105-BS!CC119</f>
        <v>34.828353893117338</v>
      </c>
      <c r="CD14" s="383">
        <f>-BS!CD105-BS!CD119</f>
        <v>34.642489995810216</v>
      </c>
      <c r="CE14" s="383">
        <f>-BS!CE105-BS!CE119</f>
        <v>34.482299139458107</v>
      </c>
      <c r="CF14" s="383">
        <f>-BS!CF105-BS!CF119</f>
        <v>34.328061211890585</v>
      </c>
      <c r="CG14" s="1053">
        <f t="shared" si="17"/>
        <v>138.28120424027625</v>
      </c>
      <c r="CH14" s="1059"/>
      <c r="CI14" s="1055">
        <f>-BS!CI105-BS!CI119</f>
        <v>35.586249105775551</v>
      </c>
      <c r="CJ14" s="383">
        <f>-BS!CJ105-BS!CJ119</f>
        <v>35.384585949820881</v>
      </c>
      <c r="CK14" s="383">
        <f>-BS!CK105-BS!CK119</f>
        <v>35.210582320251127</v>
      </c>
      <c r="CL14" s="383">
        <f>-BS!CL105-BS!CL119</f>
        <v>35.044176818467292</v>
      </c>
      <c r="CM14" s="1053">
        <f t="shared" si="18"/>
        <v>141.22559419431485</v>
      </c>
      <c r="CN14" s="1026"/>
      <c r="CO14" s="1026"/>
      <c r="CP14" s="1026"/>
    </row>
    <row r="15" spans="1:94">
      <c r="A15" s="868" t="s">
        <v>349</v>
      </c>
      <c r="B15" s="917"/>
      <c r="C15" s="1052">
        <v>2.8879999999999999</v>
      </c>
      <c r="D15" s="1044">
        <f>7.506-C15</f>
        <v>4.6180000000000003</v>
      </c>
      <c r="E15" s="1044">
        <f>10.625-SUM(C15:D15)</f>
        <v>3.1189999999999998</v>
      </c>
      <c r="F15" s="1047">
        <f>15.711-SUM(C15:E15)</f>
        <v>5.0860000000000003</v>
      </c>
      <c r="G15" s="1053">
        <f t="shared" si="4"/>
        <v>15.711</v>
      </c>
      <c r="H15" s="1059"/>
      <c r="I15" s="1052">
        <v>5.2089999999999996</v>
      </c>
      <c r="J15" s="1044">
        <f>8.272-I15</f>
        <v>3.0630000000000006</v>
      </c>
      <c r="K15" s="1044">
        <f>13.671-J15-I15</f>
        <v>5.3989999999999991</v>
      </c>
      <c r="L15" s="1047">
        <f>19.327-SUM(I15:K15)</f>
        <v>5.6560000000000024</v>
      </c>
      <c r="M15" s="1053">
        <f t="shared" si="5"/>
        <v>19.327000000000002</v>
      </c>
      <c r="N15" s="1059"/>
      <c r="O15" s="1052">
        <v>3.8119999999999998</v>
      </c>
      <c r="P15" s="1044">
        <v>4.3630000000000013</v>
      </c>
      <c r="Q15" s="1044">
        <v>2.1179999999999981</v>
      </c>
      <c r="R15" s="1047">
        <v>4.5370000000000008</v>
      </c>
      <c r="S15" s="1053">
        <f t="shared" si="6"/>
        <v>14.83</v>
      </c>
      <c r="T15" s="1059"/>
      <c r="U15" s="1052">
        <v>3.3149999999999999</v>
      </c>
      <c r="V15" s="1044">
        <f>7.599-U15</f>
        <v>4.2840000000000007</v>
      </c>
      <c r="W15" s="1044">
        <f>10.352-V15-U15</f>
        <v>2.7529999999999997</v>
      </c>
      <c r="X15" s="1047">
        <f>12.416-SUM(U15:W15)</f>
        <v>2.0640000000000001</v>
      </c>
      <c r="Y15" s="1053">
        <f t="shared" si="7"/>
        <v>12.416</v>
      </c>
      <c r="Z15" s="1059"/>
      <c r="AA15" s="1052">
        <v>3.0539999999999998</v>
      </c>
      <c r="AB15" s="1044">
        <f>7.96-AA15</f>
        <v>4.9060000000000006</v>
      </c>
      <c r="AC15" s="1044">
        <f>9.427-SUM(AA15:AB15)</f>
        <v>1.4669999999999987</v>
      </c>
      <c r="AD15" s="1044">
        <f>15.482-SUM(AA15:AC15)</f>
        <v>6.0549999999999997</v>
      </c>
      <c r="AE15" s="1053">
        <f t="shared" si="8"/>
        <v>15.481999999999999</v>
      </c>
      <c r="AF15" s="1059"/>
      <c r="AG15" s="1052">
        <v>5.476</v>
      </c>
      <c r="AH15" s="1044">
        <v>4.7759999999999998</v>
      </c>
      <c r="AI15" s="1044">
        <v>5.0999999999999996</v>
      </c>
      <c r="AJ15" s="1044">
        <f>21.031-SUM(AG15:AI15)</f>
        <v>5.6790000000000003</v>
      </c>
      <c r="AK15" s="1053">
        <f t="shared" si="9"/>
        <v>21.030999999999999</v>
      </c>
      <c r="AL15" s="1059"/>
      <c r="AM15" s="1052">
        <v>4.4160000000000004</v>
      </c>
      <c r="AN15" s="1044">
        <f>7.642-AM15</f>
        <v>3.226</v>
      </c>
      <c r="AO15" s="1044">
        <f>11.423-SUM(AM15:AN15)</f>
        <v>3.7809999999999997</v>
      </c>
      <c r="AP15" s="1044">
        <f>14.053-SUM(AM15:AO15)</f>
        <v>2.6300000000000008</v>
      </c>
      <c r="AQ15" s="1053">
        <f t="shared" si="10"/>
        <v>14.053000000000001</v>
      </c>
      <c r="AR15" s="1059"/>
      <c r="AS15" s="1052">
        <v>4.516</v>
      </c>
      <c r="AT15" s="1369">
        <f>9.319-AS15</f>
        <v>4.8030000000000008</v>
      </c>
      <c r="AU15" s="1369">
        <f>11.769-SUM(AS15:AT15)</f>
        <v>2.4499999999999993</v>
      </c>
      <c r="AV15" s="1369">
        <f>14.464-SUM(AS15:AU15)</f>
        <v>2.6950000000000003</v>
      </c>
      <c r="AW15" s="1053">
        <f t="shared" si="11"/>
        <v>14.464</v>
      </c>
      <c r="AX15" s="1059"/>
      <c r="AY15" s="1678">
        <v>3.9870000000000001</v>
      </c>
      <c r="AZ15" s="1369">
        <f>8.193-AY15</f>
        <v>4.2059999999999995</v>
      </c>
      <c r="BA15" s="1369">
        <f>12.483-SUM(AY15:AZ15)</f>
        <v>4.2900000000000009</v>
      </c>
      <c r="BB15" s="1369">
        <f>17.719-SUM(AY15:BA15)</f>
        <v>5.2360000000000007</v>
      </c>
      <c r="BC15" s="1053">
        <f t="shared" si="12"/>
        <v>17.719000000000001</v>
      </c>
      <c r="BD15" s="1059"/>
      <c r="BE15" s="1678">
        <v>3.9529999999999998</v>
      </c>
      <c r="BF15" s="1369">
        <f>9.911-BE15</f>
        <v>5.9580000000000002</v>
      </c>
      <c r="BG15" s="1369">
        <f>13.819-SUM(BE15:BF15)</f>
        <v>3.9080000000000013</v>
      </c>
      <c r="BH15" s="1369">
        <f>17.158-SUM(BE15:BG15)</f>
        <v>3.3390000000000004</v>
      </c>
      <c r="BI15" s="1053">
        <f t="shared" si="13"/>
        <v>17.158000000000001</v>
      </c>
      <c r="BJ15" s="1059"/>
      <c r="BK15" s="1678">
        <v>4.9260000000000002</v>
      </c>
      <c r="BL15" s="1369">
        <f>11.767-BK15</f>
        <v>6.8409999999999993</v>
      </c>
      <c r="BM15" s="1369">
        <f>16.179-SUM(BK15:BL15)</f>
        <v>4.411999999999999</v>
      </c>
      <c r="BN15" s="1369">
        <f>25.421-SUM(BK15:BM15)</f>
        <v>9.2420000000000009</v>
      </c>
      <c r="BO15" s="1053">
        <f t="shared" si="14"/>
        <v>25.420999999999999</v>
      </c>
      <c r="BP15" s="1059"/>
      <c r="BQ15" s="1055">
        <f>IS!BQ92</f>
        <v>6.5080144392488881</v>
      </c>
      <c r="BR15" s="383">
        <f>IS!BR92</f>
        <v>6.6984543626152755</v>
      </c>
      <c r="BS15" s="383">
        <f>IS!BS92</f>
        <v>6.6561130805694484</v>
      </c>
      <c r="BT15" s="383">
        <f>IS!BT92</f>
        <v>6.8887899895640929</v>
      </c>
      <c r="BU15" s="1053">
        <f t="shared" si="15"/>
        <v>26.751371871997705</v>
      </c>
      <c r="BV15" s="1059"/>
      <c r="BW15" s="1055">
        <f>IS!BW92</f>
        <v>6.8285089855803358</v>
      </c>
      <c r="BX15" s="383">
        <f>IS!BX92</f>
        <v>7.0646365473439907</v>
      </c>
      <c r="BY15" s="383">
        <f>IS!BY92</f>
        <v>7.0557454102776465</v>
      </c>
      <c r="BZ15" s="383">
        <f>IS!BZ92</f>
        <v>7.3002453637187141</v>
      </c>
      <c r="CA15" s="1053">
        <f t="shared" si="16"/>
        <v>28.24913630692069</v>
      </c>
      <c r="CB15" s="1059"/>
      <c r="CC15" s="1055">
        <f>IS!CC92</f>
        <v>7.219866281093239</v>
      </c>
      <c r="CD15" s="383">
        <f>IS!CD92</f>
        <v>7.4765180340979853</v>
      </c>
      <c r="CE15" s="383">
        <f>IS!CE92</f>
        <v>7.4501616576852943</v>
      </c>
      <c r="CF15" s="383">
        <f>IS!CF92</f>
        <v>7.6619801337511406</v>
      </c>
      <c r="CG15" s="1053">
        <f t="shared" si="17"/>
        <v>29.808526106627657</v>
      </c>
      <c r="CH15" s="1059"/>
      <c r="CI15" s="1055">
        <f>IS!CI92</f>
        <v>7.5010098673241608</v>
      </c>
      <c r="CJ15" s="383">
        <f>IS!CJ92</f>
        <v>7.7606434697741351</v>
      </c>
      <c r="CK15" s="383">
        <f>IS!CK92</f>
        <v>7.7612724130263446</v>
      </c>
      <c r="CL15" s="383">
        <f>IS!CL92</f>
        <v>7.9652596067346577</v>
      </c>
      <c r="CM15" s="1053">
        <f t="shared" si="18"/>
        <v>30.988185356859297</v>
      </c>
      <c r="CN15" s="1026"/>
      <c r="CO15" s="1026"/>
      <c r="CP15" s="1026"/>
    </row>
    <row r="16" spans="1:94">
      <c r="A16" s="868" t="s">
        <v>407</v>
      </c>
      <c r="B16" s="917" t="s">
        <v>79</v>
      </c>
      <c r="C16" s="1052">
        <v>7.3999999999999996E-2</v>
      </c>
      <c r="D16" s="1044">
        <f>0.148-C16</f>
        <v>7.3999999999999996E-2</v>
      </c>
      <c r="E16" s="1044">
        <f>0.221-SUM(C16:D16)</f>
        <v>7.3000000000000009E-2</v>
      </c>
      <c r="F16" s="1047">
        <f>0.343-SUM(C16:E16)</f>
        <v>0.12200000000000003</v>
      </c>
      <c r="G16" s="1053">
        <f t="shared" si="4"/>
        <v>0.34300000000000003</v>
      </c>
      <c r="H16" s="1059"/>
      <c r="I16" s="1052">
        <v>0.38100000000000001</v>
      </c>
      <c r="J16" s="1044">
        <f>0.797-I16</f>
        <v>0.41600000000000004</v>
      </c>
      <c r="K16" s="1044">
        <f>1.431-J16-I16</f>
        <v>0.63400000000000012</v>
      </c>
      <c r="L16" s="1047">
        <f>2.239-SUM(I16:K16)</f>
        <v>0.80799999999999983</v>
      </c>
      <c r="M16" s="1053">
        <f t="shared" si="5"/>
        <v>2.2389999999999999</v>
      </c>
      <c r="N16" s="1059"/>
      <c r="O16" s="1052">
        <v>0.63500000000000001</v>
      </c>
      <c r="P16" s="1044">
        <v>0.63500000000000001</v>
      </c>
      <c r="Q16" s="1044">
        <v>0.63500000000000001</v>
      </c>
      <c r="R16" s="1047">
        <v>0.63500000000000001</v>
      </c>
      <c r="S16" s="1053">
        <f t="shared" si="6"/>
        <v>2.54</v>
      </c>
      <c r="T16" s="1059"/>
      <c r="U16" s="1052">
        <v>0.63500000000000001</v>
      </c>
      <c r="V16" s="1044">
        <f>1.27-U16</f>
        <v>0.63500000000000001</v>
      </c>
      <c r="W16" s="1044">
        <f>1.906-V16-U16</f>
        <v>0.6359999999999999</v>
      </c>
      <c r="X16" s="1047">
        <f>2.613-SUM(U16:W16)</f>
        <v>0.70700000000000007</v>
      </c>
      <c r="Y16" s="1053">
        <f t="shared" si="7"/>
        <v>2.613</v>
      </c>
      <c r="Z16" s="1059"/>
      <c r="AA16" s="1052">
        <v>0.63500000000000001</v>
      </c>
      <c r="AB16" s="1044">
        <f>1.27-AA16</f>
        <v>0.63500000000000001</v>
      </c>
      <c r="AC16" s="1044">
        <f>2.114-SUM(AA16:AB16)</f>
        <v>0.84399999999999986</v>
      </c>
      <c r="AD16" s="1044">
        <f>5.651-SUM(AA16:AC16)</f>
        <v>3.5369999999999999</v>
      </c>
      <c r="AE16" s="1053">
        <f t="shared" si="8"/>
        <v>5.6509999999999998</v>
      </c>
      <c r="AF16" s="1059"/>
      <c r="AG16" s="1052">
        <v>0.86699999999999999</v>
      </c>
      <c r="AH16" s="1044">
        <v>0.878</v>
      </c>
      <c r="AI16" s="1044">
        <v>0.91</v>
      </c>
      <c r="AJ16" s="1044">
        <f>3.517-SUM(AG16:AI16)</f>
        <v>0.86199999999999966</v>
      </c>
      <c r="AK16" s="1053">
        <f t="shared" si="9"/>
        <v>3.5169999999999999</v>
      </c>
      <c r="AL16" s="1059"/>
      <c r="AM16" s="1052">
        <v>0.81299999999999994</v>
      </c>
      <c r="AN16" s="1044">
        <f>1.68-AM16</f>
        <v>0.86699999999999999</v>
      </c>
      <c r="AO16" s="1044">
        <f>2.598-SUM(AM16:AN16)</f>
        <v>0.91799999999999993</v>
      </c>
      <c r="AP16" s="1044">
        <f>6.502-SUM(AM16:AO16)</f>
        <v>3.9039999999999999</v>
      </c>
      <c r="AQ16" s="1053">
        <f t="shared" si="10"/>
        <v>6.5019999999999998</v>
      </c>
      <c r="AR16" s="1059"/>
      <c r="AS16" s="1052">
        <v>0.30399999999999999</v>
      </c>
      <c r="AT16" s="1369">
        <f>0.662-AS16</f>
        <v>0.35800000000000004</v>
      </c>
      <c r="AU16" s="1369">
        <f>1.071-SUM(AS16:AT16)</f>
        <v>0.40899999999999992</v>
      </c>
      <c r="AV16" s="1369">
        <f>1.434-SUM(AS16:AU16)</f>
        <v>0.36299999999999999</v>
      </c>
      <c r="AW16" s="1053">
        <f t="shared" si="11"/>
        <v>1.4339999999999999</v>
      </c>
      <c r="AX16" s="1059"/>
      <c r="AY16" s="1678">
        <v>0.312</v>
      </c>
      <c r="AZ16" s="1369">
        <f>0.677-AY16</f>
        <v>0.36500000000000005</v>
      </c>
      <c r="BA16" s="1369">
        <f>1.112-SUM(AY16:AZ16)</f>
        <v>0.43500000000000005</v>
      </c>
      <c r="BB16" s="1369">
        <f>1.496-SUM(AY16:BA16)</f>
        <v>0.3839999999999999</v>
      </c>
      <c r="BC16" s="1053">
        <f t="shared" si="12"/>
        <v>1.496</v>
      </c>
      <c r="BD16" s="1059"/>
      <c r="BE16" s="1678">
        <v>0.35599999999999998</v>
      </c>
      <c r="BF16" s="1369">
        <f>0.751-BE16</f>
        <v>0.39500000000000002</v>
      </c>
      <c r="BG16" s="1369">
        <f>1.507-SUM(BE16:BF16)</f>
        <v>0.75599999999999989</v>
      </c>
      <c r="BH16" s="1369">
        <f>2.137-SUM(BE16:BG16)</f>
        <v>0.63000000000000012</v>
      </c>
      <c r="BI16" s="1053">
        <f t="shared" si="13"/>
        <v>2.137</v>
      </c>
      <c r="BJ16" s="1059"/>
      <c r="BK16" s="1678">
        <v>0.58499999999999996</v>
      </c>
      <c r="BL16" s="1369">
        <f>1.231-BK16</f>
        <v>0.64600000000000013</v>
      </c>
      <c r="BM16" s="1369">
        <f>1.936-SUM(BK16:BL16)</f>
        <v>0.70499999999999985</v>
      </c>
      <c r="BN16" s="1369">
        <f>2.592-SUM(BK16:BM16)</f>
        <v>0.65600000000000014</v>
      </c>
      <c r="BO16" s="1053">
        <f t="shared" si="14"/>
        <v>2.5920000000000001</v>
      </c>
      <c r="BP16" s="1059"/>
      <c r="BQ16" s="1052">
        <v>0</v>
      </c>
      <c r="BR16" s="1044">
        <v>0</v>
      </c>
      <c r="BS16" s="1044">
        <v>0</v>
      </c>
      <c r="BT16" s="1044">
        <v>0</v>
      </c>
      <c r="BU16" s="1053">
        <f t="shared" si="15"/>
        <v>0</v>
      </c>
      <c r="BV16" s="1059"/>
      <c r="BW16" s="1052">
        <v>0</v>
      </c>
      <c r="BX16" s="1044">
        <v>0</v>
      </c>
      <c r="BY16" s="1044">
        <v>0</v>
      </c>
      <c r="BZ16" s="1044">
        <v>0</v>
      </c>
      <c r="CA16" s="1053">
        <f t="shared" si="16"/>
        <v>0</v>
      </c>
      <c r="CB16" s="1059"/>
      <c r="CC16" s="1052">
        <v>0</v>
      </c>
      <c r="CD16" s="1044">
        <v>0</v>
      </c>
      <c r="CE16" s="1044">
        <v>0</v>
      </c>
      <c r="CF16" s="1044">
        <v>0</v>
      </c>
      <c r="CG16" s="1053">
        <f t="shared" si="17"/>
        <v>0</v>
      </c>
      <c r="CH16" s="1059"/>
      <c r="CI16" s="1052">
        <v>0</v>
      </c>
      <c r="CJ16" s="1044">
        <v>0</v>
      </c>
      <c r="CK16" s="1044">
        <v>0</v>
      </c>
      <c r="CL16" s="1044">
        <v>0</v>
      </c>
      <c r="CM16" s="1053">
        <f t="shared" si="18"/>
        <v>0</v>
      </c>
      <c r="CN16" s="1026"/>
      <c r="CO16" s="1026"/>
      <c r="CP16" s="1026"/>
    </row>
    <row r="17" spans="1:94" ht="12.75" customHeight="1">
      <c r="A17" s="868" t="s">
        <v>408</v>
      </c>
      <c r="B17" s="917" t="s">
        <v>79</v>
      </c>
      <c r="C17" s="1052">
        <v>1.377</v>
      </c>
      <c r="D17" s="1044">
        <f>2.047-C17</f>
        <v>0.67000000000000015</v>
      </c>
      <c r="E17" s="1044">
        <f>2.492-SUM(C17:D17)</f>
        <v>0.44499999999999984</v>
      </c>
      <c r="F17" s="1047">
        <f>2.492-SUM(C17:E17)</f>
        <v>0</v>
      </c>
      <c r="G17" s="1053">
        <f t="shared" si="4"/>
        <v>2.492</v>
      </c>
      <c r="H17" s="1059"/>
      <c r="I17" s="1052">
        <v>0</v>
      </c>
      <c r="J17" s="1044">
        <f>0-I17</f>
        <v>0</v>
      </c>
      <c r="K17" s="1044">
        <f>0-J17-I17</f>
        <v>0</v>
      </c>
      <c r="L17" s="1047">
        <f>0-SUM(I17:K17)</f>
        <v>0</v>
      </c>
      <c r="M17" s="1053">
        <f t="shared" si="5"/>
        <v>0</v>
      </c>
      <c r="N17" s="1059"/>
      <c r="O17" s="1052">
        <v>0.215</v>
      </c>
      <c r="P17" s="1044">
        <v>0</v>
      </c>
      <c r="Q17" s="1044">
        <v>7.0000000000000007E-2</v>
      </c>
      <c r="R17" s="1047">
        <v>1.0710000000000002</v>
      </c>
      <c r="S17" s="1053">
        <f t="shared" si="6"/>
        <v>1.3560000000000003</v>
      </c>
      <c r="T17" s="1059"/>
      <c r="U17" s="1052">
        <v>0</v>
      </c>
      <c r="V17" s="1044">
        <f>0-U17</f>
        <v>0</v>
      </c>
      <c r="W17" s="1044">
        <f>0-V17-U17</f>
        <v>0</v>
      </c>
      <c r="X17" s="1047">
        <f>0-SUM(U17:W17)</f>
        <v>0</v>
      </c>
      <c r="Y17" s="1053">
        <f t="shared" si="7"/>
        <v>0</v>
      </c>
      <c r="Z17" s="1059"/>
      <c r="AA17" s="1052">
        <v>0.11</v>
      </c>
      <c r="AB17" s="1044">
        <f>0.378-AA17</f>
        <v>0.26800000000000002</v>
      </c>
      <c r="AC17" s="1044">
        <f>0.432-SUM(AA17:AB17)</f>
        <v>5.3999999999999992E-2</v>
      </c>
      <c r="AD17" s="1044">
        <f>4.092-SUM(AA17:AC17)</f>
        <v>3.6599999999999997</v>
      </c>
      <c r="AE17" s="1053">
        <f t="shared" si="8"/>
        <v>4.0919999999999996</v>
      </c>
      <c r="AF17" s="1059"/>
      <c r="AG17" s="1052">
        <v>4.4950000000000001</v>
      </c>
      <c r="AH17" s="1044">
        <v>0.27900000000000003</v>
      </c>
      <c r="AI17" s="1044"/>
      <c r="AJ17" s="1044">
        <f>5.214-SUM(AG17:AI17)</f>
        <v>0.44000000000000039</v>
      </c>
      <c r="AK17" s="1053">
        <f t="shared" si="9"/>
        <v>5.2140000000000004</v>
      </c>
      <c r="AL17" s="1059"/>
      <c r="AM17" s="1052">
        <v>0.129</v>
      </c>
      <c r="AN17" s="1044">
        <f>0.203-AM17</f>
        <v>7.400000000000001E-2</v>
      </c>
      <c r="AO17" s="1044">
        <f>0.203-SUM(AM17:AN17)</f>
        <v>0</v>
      </c>
      <c r="AP17" s="1044">
        <f>0.203-SUM(AM17:AO17)</f>
        <v>0</v>
      </c>
      <c r="AQ17" s="1053">
        <f t="shared" si="10"/>
        <v>0.20300000000000001</v>
      </c>
      <c r="AR17" s="1059"/>
      <c r="AS17" s="1052">
        <v>0</v>
      </c>
      <c r="AT17" s="1369">
        <f>0-AS17</f>
        <v>0</v>
      </c>
      <c r="AU17" s="1369">
        <f>0-SUM(AS17:AT17)</f>
        <v>0</v>
      </c>
      <c r="AV17" s="1369">
        <f>2.425-SUM(AS17:AU17)</f>
        <v>2.4249999999999998</v>
      </c>
      <c r="AW17" s="1053">
        <f t="shared" si="11"/>
        <v>2.4249999999999998</v>
      </c>
      <c r="AX17" s="1059"/>
      <c r="AY17" s="1678">
        <v>4.8499999999999996</v>
      </c>
      <c r="AZ17" s="1369">
        <f>6.467-AY17</f>
        <v>1.617</v>
      </c>
      <c r="BA17" s="1369">
        <f>7.275-SUM(AY17:AZ17)</f>
        <v>0.80800000000000072</v>
      </c>
      <c r="BB17" s="1369">
        <f>7.275-SUM(AY17:BA17)</f>
        <v>0</v>
      </c>
      <c r="BC17" s="1053">
        <f t="shared" si="12"/>
        <v>7.2750000000000004</v>
      </c>
      <c r="BD17" s="1059"/>
      <c r="BE17" s="1678">
        <v>0.13100000000000001</v>
      </c>
      <c r="BF17" s="1369">
        <f>0.396-BE17</f>
        <v>0.26500000000000001</v>
      </c>
      <c r="BG17" s="1369">
        <f>0.396-SUM(BE17:BF17)</f>
        <v>0</v>
      </c>
      <c r="BH17" s="1369">
        <f>0.396-SUM(BE17:BG17)</f>
        <v>0</v>
      </c>
      <c r="BI17" s="1053">
        <f t="shared" si="13"/>
        <v>0.39600000000000002</v>
      </c>
      <c r="BJ17" s="1059"/>
      <c r="BK17" s="1678">
        <v>2.1760000000000002</v>
      </c>
      <c r="BL17" s="1369">
        <f>4.24-BK17</f>
        <v>2.0640000000000001</v>
      </c>
      <c r="BM17" s="1369">
        <f>4.24-SUM(BK17:BL17)</f>
        <v>0</v>
      </c>
      <c r="BN17" s="1369">
        <f>0-SUM(BK17:BM17)</f>
        <v>-4.24</v>
      </c>
      <c r="BO17" s="1053">
        <f t="shared" si="14"/>
        <v>0</v>
      </c>
      <c r="BP17" s="1059"/>
      <c r="BQ17" s="1052">
        <v>0</v>
      </c>
      <c r="BR17" s="1044">
        <v>0</v>
      </c>
      <c r="BS17" s="1044">
        <v>0</v>
      </c>
      <c r="BT17" s="1044">
        <v>0</v>
      </c>
      <c r="BU17" s="1053">
        <f t="shared" si="15"/>
        <v>0</v>
      </c>
      <c r="BV17" s="1059"/>
      <c r="BW17" s="1052">
        <v>0</v>
      </c>
      <c r="BX17" s="1044">
        <v>0</v>
      </c>
      <c r="BY17" s="1044">
        <v>0</v>
      </c>
      <c r="BZ17" s="1044">
        <v>0</v>
      </c>
      <c r="CA17" s="1053">
        <f t="shared" si="16"/>
        <v>0</v>
      </c>
      <c r="CB17" s="1059"/>
      <c r="CC17" s="1052">
        <v>0</v>
      </c>
      <c r="CD17" s="1044">
        <v>0</v>
      </c>
      <c r="CE17" s="1044">
        <v>0</v>
      </c>
      <c r="CF17" s="1044">
        <v>0</v>
      </c>
      <c r="CG17" s="1053">
        <f t="shared" si="17"/>
        <v>0</v>
      </c>
      <c r="CH17" s="1059"/>
      <c r="CI17" s="1052">
        <v>0</v>
      </c>
      <c r="CJ17" s="1044">
        <v>0</v>
      </c>
      <c r="CK17" s="1044">
        <v>0</v>
      </c>
      <c r="CL17" s="1044">
        <v>0</v>
      </c>
      <c r="CM17" s="1053">
        <f t="shared" si="18"/>
        <v>0</v>
      </c>
      <c r="CN17" s="1026"/>
      <c r="CO17" s="1026"/>
      <c r="CP17" s="1026"/>
    </row>
    <row r="18" spans="1:94">
      <c r="A18" s="868" t="s">
        <v>426</v>
      </c>
      <c r="B18" s="917"/>
      <c r="C18" s="1052">
        <f>1.502-0.401</f>
        <v>1.101</v>
      </c>
      <c r="D18" s="1044">
        <f>1.502-15.346-0.536-C18</f>
        <v>-15.480999999999998</v>
      </c>
      <c r="E18" s="1044">
        <f>1.502-15.346-0.697-SUM(C18:D18)</f>
        <v>-0.16099999999999959</v>
      </c>
      <c r="F18" s="1047">
        <f>1.3+1.502-15.346-0.697-21.821-9.929-SUM(C18:E18)</f>
        <v>-30.450000000000003</v>
      </c>
      <c r="G18" s="1053">
        <f t="shared" si="4"/>
        <v>-44.991</v>
      </c>
      <c r="H18" s="1059"/>
      <c r="I18" s="1052">
        <v>-0.88900000000000001</v>
      </c>
      <c r="J18" s="1044">
        <f>-1.158-I18</f>
        <v>-0.26899999999999991</v>
      </c>
      <c r="K18" s="1044">
        <f>-1.158-J18-I18</f>
        <v>0</v>
      </c>
      <c r="L18" s="1047">
        <f>-1.158-12.074-7.257-SUM(I18:K18)</f>
        <v>-19.330999999999996</v>
      </c>
      <c r="M18" s="1053">
        <f t="shared" si="5"/>
        <v>-20.488999999999997</v>
      </c>
      <c r="N18" s="1059"/>
      <c r="O18" s="1052">
        <v>0</v>
      </c>
      <c r="P18" s="1044">
        <f>0-O18</f>
        <v>0</v>
      </c>
      <c r="Q18" s="1044">
        <f>0-P18-O18</f>
        <v>0</v>
      </c>
      <c r="R18" s="1047">
        <f>27.723+0.577-SUM(O18:Q18)</f>
        <v>28.299999999999997</v>
      </c>
      <c r="S18" s="1053">
        <f t="shared" si="6"/>
        <v>28.299999999999997</v>
      </c>
      <c r="T18" s="1059"/>
      <c r="U18" s="1052">
        <v>-2.4E-2</v>
      </c>
      <c r="V18" s="1044">
        <f>-0.024-28.942-U18</f>
        <v>-28.942</v>
      </c>
      <c r="W18" s="1044">
        <f>-28.942-V18-U18</f>
        <v>2.4E-2</v>
      </c>
      <c r="X18" s="1047">
        <f>2.405-28.942-25.476-7.671-SUM(U18:W18)</f>
        <v>-30.741999999999997</v>
      </c>
      <c r="Y18" s="1053">
        <f t="shared" si="7"/>
        <v>-59.683999999999997</v>
      </c>
      <c r="Z18" s="1059"/>
      <c r="AA18" s="1052">
        <v>-7.7720000000000002</v>
      </c>
      <c r="AB18" s="1044">
        <f>-8.591-AA18</f>
        <v>-0.81899999999999906</v>
      </c>
      <c r="AC18" s="1044">
        <f>-9.303+0.2-SUM(AA18:AB18)</f>
        <v>-0.51200000000000223</v>
      </c>
      <c r="AD18" s="1044">
        <f>5.482-0.289+0.113+3.006+74.974-9.321-SUM(AA18:AC18)</f>
        <v>83.068000000000012</v>
      </c>
      <c r="AE18" s="1053">
        <f t="shared" si="8"/>
        <v>73.965000000000003</v>
      </c>
      <c r="AF18" s="1059"/>
      <c r="AG18" s="1052"/>
      <c r="AH18" s="1044"/>
      <c r="AI18" s="1044"/>
      <c r="AJ18" s="1044">
        <f>1.382-65.551+74.153+35.336-1.767-SUM(AG18:AI18)</f>
        <v>43.553000000000004</v>
      </c>
      <c r="AK18" s="1053">
        <f t="shared" si="9"/>
        <v>43.553000000000004</v>
      </c>
      <c r="AL18" s="1059"/>
      <c r="AM18" s="1052">
        <v>0</v>
      </c>
      <c r="AN18" s="1044">
        <f>0-AM18</f>
        <v>0</v>
      </c>
      <c r="AO18" s="1044">
        <f>-1.566-SUM(AM18:AN18)</f>
        <v>-1.5660000000000001</v>
      </c>
      <c r="AP18" s="1044">
        <f>6.731-18.176-29.907-34.455-1.566-SUM(AM18:AO18)</f>
        <v>-75.806999999999988</v>
      </c>
      <c r="AQ18" s="1053">
        <f t="shared" si="10"/>
        <v>-77.37299999999999</v>
      </c>
      <c r="AR18" s="1059"/>
      <c r="AS18" s="1052">
        <v>0</v>
      </c>
      <c r="AT18" s="1369">
        <f>0-AS18</f>
        <v>0</v>
      </c>
      <c r="AU18" s="1369">
        <f>0-SUM(AS18:AT18)</f>
        <v>0</v>
      </c>
      <c r="AV18" s="1369">
        <f>77.669-33.351-7.605+0.108-SUM(AS18:AU18)</f>
        <v>36.820999999999991</v>
      </c>
      <c r="AW18" s="1053">
        <f t="shared" si="11"/>
        <v>36.820999999999991</v>
      </c>
      <c r="AX18" s="1059"/>
      <c r="AY18" s="1678">
        <v>0</v>
      </c>
      <c r="AZ18" s="1369">
        <f>0-AY18</f>
        <v>0</v>
      </c>
      <c r="BA18" s="1369">
        <f>0-SUM(AY18:AZ18)</f>
        <v>0</v>
      </c>
      <c r="BB18" s="1369">
        <f>9.42-6.571-5.342-2.435-SUM(AY18:BA18)</f>
        <v>-4.927999999999999</v>
      </c>
      <c r="BC18" s="1053">
        <f t="shared" si="12"/>
        <v>-4.927999999999999</v>
      </c>
      <c r="BD18" s="1059"/>
      <c r="BE18" s="1678">
        <v>0</v>
      </c>
      <c r="BF18" s="1369">
        <f>-5.562-BE18</f>
        <v>-5.5620000000000003</v>
      </c>
      <c r="BG18" s="1369">
        <f>-5.562+9.678-SUM(BE18:BF18)</f>
        <v>9.6780000000000008</v>
      </c>
      <c r="BH18" s="1369">
        <f>14.511+16.183-6.526-0.291-5.562-SUM(BE18:BG18)</f>
        <v>14.198999999999998</v>
      </c>
      <c r="BI18" s="1053">
        <f t="shared" si="13"/>
        <v>18.314999999999998</v>
      </c>
      <c r="BJ18" s="1059"/>
      <c r="BK18" s="1678">
        <v>0.81100000000000005</v>
      </c>
      <c r="BL18" s="1369">
        <f>0.301+0.909-BK18</f>
        <v>0.39899999999999991</v>
      </c>
      <c r="BM18" s="1369">
        <f>0.301+1.56-SUM(BK18:BL18)</f>
        <v>0.65100000000000002</v>
      </c>
      <c r="BN18" s="1369">
        <f>(-10.439+2.162+0.309+6.188+28.854+0.182)-SUM(BK18:BM18)</f>
        <v>25.394999999999996</v>
      </c>
      <c r="BO18" s="1053">
        <f t="shared" si="14"/>
        <v>27.255999999999997</v>
      </c>
      <c r="BP18" s="1059"/>
      <c r="BQ18" s="1055">
        <f>BS!BO13-BS!BQ13</f>
        <v>-23.536500694572766</v>
      </c>
      <c r="BR18" s="383">
        <f>BS!BQ13-BS!BR13</f>
        <v>-10.509042814397901</v>
      </c>
      <c r="BS18" s="383">
        <f>BS!BR13-BS!BS13</f>
        <v>4.3011328184794024</v>
      </c>
      <c r="BT18" s="383">
        <f>BS!BS13-BS!BT13</f>
        <v>11.587189593027475</v>
      </c>
      <c r="BU18" s="1053">
        <f t="shared" si="15"/>
        <v>-18.15722109746379</v>
      </c>
      <c r="BV18" s="1059"/>
      <c r="BW18" s="1055">
        <f>BS!BU13-BS!BW13</f>
        <v>-12.858265734684508</v>
      </c>
      <c r="BX18" s="383">
        <f>BS!BW13-BS!BX13</f>
        <v>-12.010704877632847</v>
      </c>
      <c r="BY18" s="383">
        <f>BS!BX13-BS!BY13</f>
        <v>3.9254907603262268</v>
      </c>
      <c r="BZ18" s="383">
        <f>BS!BY13-BS!BZ13</f>
        <v>12.350381547254585</v>
      </c>
      <c r="CA18" s="1053">
        <f t="shared" si="16"/>
        <v>-8.593098304736543</v>
      </c>
      <c r="CB18" s="1059"/>
      <c r="CC18" s="1055">
        <f>BS!CA13-BS!CC13</f>
        <v>-13.2671579623578</v>
      </c>
      <c r="CD18" s="383">
        <f>BS!CC13-BS!CD13</f>
        <v>-13.156877496303508</v>
      </c>
      <c r="CE18" s="383">
        <f>BS!CD13-BS!CE13</f>
        <v>4.5364120569569195</v>
      </c>
      <c r="CF18" s="383">
        <f>BS!CE13-BS!CF13</f>
        <v>13.849111928774192</v>
      </c>
      <c r="CG18" s="1053">
        <f t="shared" si="17"/>
        <v>-8.0385114729301961</v>
      </c>
      <c r="CH18" s="1059"/>
      <c r="CI18" s="1055">
        <f>BS!CG13-BS!CI13</f>
        <v>-12.413590998993897</v>
      </c>
      <c r="CJ18" s="383">
        <f>BS!CI13-BS!CJ13</f>
        <v>-13.878223649889236</v>
      </c>
      <c r="CK18" s="383">
        <f>BS!CJ13-BS!CK13</f>
        <v>4.2323995534293601</v>
      </c>
      <c r="CL18" s="383">
        <f>BS!CK13-BS!CL13</f>
        <v>14.752128421025304</v>
      </c>
      <c r="CM18" s="1053">
        <f t="shared" si="18"/>
        <v>-7.3072866744284681</v>
      </c>
      <c r="CN18" s="1026"/>
      <c r="CO18" s="1026"/>
      <c r="CP18" s="1026"/>
    </row>
    <row r="19" spans="1:94">
      <c r="A19" s="1665" t="s">
        <v>409</v>
      </c>
      <c r="B19" s="1751" t="s">
        <v>79</v>
      </c>
      <c r="C19" s="1056">
        <f>SUM(C20:C23)</f>
        <v>-26.399000000000001</v>
      </c>
      <c r="D19" s="399">
        <f>SUM(D20:D23)</f>
        <v>22.550999999999998</v>
      </c>
      <c r="E19" s="399">
        <f>SUM(E20:E23)</f>
        <v>-28.396999999999998</v>
      </c>
      <c r="F19" s="399">
        <f>SUM(F20:F23)</f>
        <v>28.125999999999998</v>
      </c>
      <c r="G19" s="1046">
        <f>SUM(G20:G23)</f>
        <v>-4.1190000000000015</v>
      </c>
      <c r="H19" s="1060"/>
      <c r="I19" s="1056">
        <f>SUM(I20:I23)</f>
        <v>-22.175000000000001</v>
      </c>
      <c r="J19" s="399">
        <f>SUM(J20:J23)</f>
        <v>17.068000000000001</v>
      </c>
      <c r="K19" s="399">
        <f>SUM(K20:K23)</f>
        <v>-54.451999999999998</v>
      </c>
      <c r="L19" s="399">
        <f>SUM(L20:L23)</f>
        <v>50.580999999999996</v>
      </c>
      <c r="M19" s="1046">
        <f>SUM(M20:M23)</f>
        <v>-8.9780000000000015</v>
      </c>
      <c r="N19" s="1060"/>
      <c r="O19" s="1056">
        <f>SUM(O20:O23)</f>
        <v>-30.853999999999999</v>
      </c>
      <c r="P19" s="399">
        <f>SUM(P20:P23)</f>
        <v>-10.456000000000001</v>
      </c>
      <c r="Q19" s="399">
        <f>SUM(Q20:Q23)</f>
        <v>-16.356999999999999</v>
      </c>
      <c r="R19" s="399">
        <f>SUM(R20:R23)</f>
        <v>-35.903999999999996</v>
      </c>
      <c r="S19" s="1046">
        <f>SUM(S20:S23)</f>
        <v>-93.570999999999998</v>
      </c>
      <c r="T19" s="1060"/>
      <c r="U19" s="1056">
        <f>SUM(U20:U23)</f>
        <v>7.6740000000000013</v>
      </c>
      <c r="V19" s="399">
        <f>SUM(V20:V23)</f>
        <v>6.7359999999999971</v>
      </c>
      <c r="W19" s="399">
        <f>SUM(W20:W23)</f>
        <v>-45.849999999999994</v>
      </c>
      <c r="X19" s="399">
        <f>SUM(X20:X23)</f>
        <v>-0.74999999999999645</v>
      </c>
      <c r="Y19" s="1046">
        <f>SUM(Y20:Y23)</f>
        <v>-32.19</v>
      </c>
      <c r="Z19" s="1060"/>
      <c r="AA19" s="1056">
        <f>SUM(AA20:AA23)</f>
        <v>1.4000000000000035</v>
      </c>
      <c r="AB19" s="399">
        <f>SUM(AB20:AB23)</f>
        <v>-7.9690000000000065</v>
      </c>
      <c r="AC19" s="399">
        <f>SUM(AC20:AC23)</f>
        <v>-7.395999999999999</v>
      </c>
      <c r="AD19" s="399">
        <f>SUM(AD20:AD23)</f>
        <v>23.233000000000008</v>
      </c>
      <c r="AE19" s="1046">
        <f>SUM(AE20:AE23)</f>
        <v>9.2680000000000113</v>
      </c>
      <c r="AF19" s="1060"/>
      <c r="AG19" s="1056">
        <f>SUM(AG20:AG23)</f>
        <v>-55.82</v>
      </c>
      <c r="AH19" s="399">
        <f>SUM(AH20:AH23)</f>
        <v>0.55300000000000082</v>
      </c>
      <c r="AI19" s="399">
        <f>SUM(AI20:AI23)</f>
        <v>-54.195</v>
      </c>
      <c r="AJ19" s="399">
        <f>SUM(AJ20:AJ23)</f>
        <v>-30.721000000000004</v>
      </c>
      <c r="AK19" s="1046">
        <f>SUM(AK20:AK23)</f>
        <v>-140.18299999999999</v>
      </c>
      <c r="AL19" s="1060"/>
      <c r="AM19" s="1056">
        <f>SUM(AM20:AM23)</f>
        <v>-60.410000000000011</v>
      </c>
      <c r="AN19" s="399">
        <f>SUM(AN20:AN23)</f>
        <v>-53.775999999999989</v>
      </c>
      <c r="AO19" s="399">
        <f>SUM(AO20:AO23)</f>
        <v>-31.182999999999993</v>
      </c>
      <c r="AP19" s="399">
        <f>SUM(AP20:AP23)</f>
        <v>29.713999999999999</v>
      </c>
      <c r="AQ19" s="1046">
        <f>SUM(AQ20:AQ23)</f>
        <v>-115.655</v>
      </c>
      <c r="AR19" s="1060"/>
      <c r="AS19" s="1056">
        <f>SUM(AS20:AS23)</f>
        <v>-2.798</v>
      </c>
      <c r="AT19" s="399">
        <f>SUM(AT20:AT23)</f>
        <v>-32.350999999999999</v>
      </c>
      <c r="AU19" s="399">
        <f>SUM(AU20:AU23)</f>
        <v>-22.688000000000002</v>
      </c>
      <c r="AV19" s="1566">
        <f>SUM(AV20:AV23)</f>
        <v>-6.3309999999999889</v>
      </c>
      <c r="AW19" s="1571">
        <f>SUM(AW20:AW23)</f>
        <v>-64.168000000000006</v>
      </c>
      <c r="AX19" s="1060"/>
      <c r="AY19" s="1680">
        <f>SUM(AY20:AY23)</f>
        <v>-40.146000000000001</v>
      </c>
      <c r="AZ19" s="399">
        <f>SUM(AZ20:AZ23)</f>
        <v>-24.885999999999992</v>
      </c>
      <c r="BA19" s="399">
        <f>SUM(BA20:BA23)</f>
        <v>-26.708000000000002</v>
      </c>
      <c r="BB19" s="1566">
        <f>SUM(BB20:BB23)</f>
        <v>19.473999999999997</v>
      </c>
      <c r="BC19" s="1046">
        <f>SUM(BC20:BC23)</f>
        <v>-72.266000000000005</v>
      </c>
      <c r="BD19" s="1060"/>
      <c r="BE19" s="1680">
        <f>SUM(BE20:BE23)</f>
        <v>-46.823</v>
      </c>
      <c r="BF19" s="399">
        <f>SUM(BF20:BF23)</f>
        <v>-0.20300000000000429</v>
      </c>
      <c r="BG19" s="399">
        <f>SUM(BG20:BG23)</f>
        <v>-25.34899999999999</v>
      </c>
      <c r="BH19" s="1566">
        <f>SUM(BH20:BH23)</f>
        <v>37.342999999999996</v>
      </c>
      <c r="BI19" s="1046">
        <f>SUM(BI20:BI23)</f>
        <v>-35.031999999999996</v>
      </c>
      <c r="BJ19" s="1060"/>
      <c r="BK19" s="1680">
        <f>SUM(BK20:BK23)</f>
        <v>-37.756</v>
      </c>
      <c r="BL19" s="399">
        <f>SUM(BL20:BL23)</f>
        <v>-42.99</v>
      </c>
      <c r="BM19" s="399">
        <f>SUM(BM20:BM23)</f>
        <v>-62.067999999999998</v>
      </c>
      <c r="BN19" s="1566">
        <f>SUM(BN20:BN23)</f>
        <v>105.15299999999999</v>
      </c>
      <c r="BO19" s="1046">
        <f>SUM(BO20:BO23)</f>
        <v>-37.661000000000001</v>
      </c>
      <c r="BP19" s="1060"/>
      <c r="BQ19" s="1056">
        <f>SUM(BQ20:BQ23)</f>
        <v>75.615334698553454</v>
      </c>
      <c r="BR19" s="399">
        <f>SUM(BR20:BR23)</f>
        <v>-37.534764968971501</v>
      </c>
      <c r="BS19" s="399">
        <f>SUM(BS20:BS23)</f>
        <v>-7.3653116650540085</v>
      </c>
      <c r="BT19" s="399">
        <f>SUM(BT20:BT23)</f>
        <v>-26.39477194508703</v>
      </c>
      <c r="BU19" s="1046">
        <f>SUM(BU20:BU23)</f>
        <v>4.3204861194409148</v>
      </c>
      <c r="BV19" s="1060"/>
      <c r="BW19" s="1056">
        <f>SUM(BW20:BW23)</f>
        <v>12.899447655461671</v>
      </c>
      <c r="BX19" s="399">
        <f>SUM(BX20:BX23)</f>
        <v>-44.908169926137248</v>
      </c>
      <c r="BY19" s="399">
        <f>SUM(BY20:BY23)</f>
        <v>-7.6474933700736187</v>
      </c>
      <c r="BZ19" s="399">
        <f>SUM(BZ20:BZ23)</f>
        <v>-36.18272497773475</v>
      </c>
      <c r="CA19" s="1046">
        <f>SUM(CA20:CA23)</f>
        <v>-75.838940618483946</v>
      </c>
      <c r="CB19" s="1060"/>
      <c r="CC19" s="1056">
        <f>SUM(CC20:CC23)</f>
        <v>23.245570932833175</v>
      </c>
      <c r="CD19" s="399">
        <f>SUM(CD20:CD23)</f>
        <v>-52.873343203827631</v>
      </c>
      <c r="CE19" s="399">
        <f>SUM(CE20:CE23)</f>
        <v>-6.4431750978696698</v>
      </c>
      <c r="CF19" s="399">
        <f>SUM(CF20:CF23)</f>
        <v>-45.021437024135793</v>
      </c>
      <c r="CG19" s="1046">
        <f>SUM(CG20:CG23)</f>
        <v>-81.092384392999918</v>
      </c>
      <c r="CH19" s="1060"/>
      <c r="CI19" s="1056">
        <f>SUM(CI20:CI23)</f>
        <v>36.453542286014681</v>
      </c>
      <c r="CJ19" s="399">
        <f>SUM(CJ20:CJ23)</f>
        <v>-60.169990095839324</v>
      </c>
      <c r="CK19" s="399">
        <f>SUM(CK20:CK23)</f>
        <v>-6.7988534787349977</v>
      </c>
      <c r="CL19" s="399">
        <f>SUM(CL20:CL23)</f>
        <v>-55.124578952023995</v>
      </c>
      <c r="CM19" s="1046">
        <f>SUM(CM20:CM23)</f>
        <v>-85.639880240583636</v>
      </c>
      <c r="CN19" s="1026"/>
      <c r="CO19" s="1026"/>
      <c r="CP19" s="1026"/>
    </row>
    <row r="20" spans="1:94" ht="12.75" hidden="1" customHeight="1" outlineLevel="1">
      <c r="A20" s="868" t="s">
        <v>221</v>
      </c>
      <c r="B20" s="917"/>
      <c r="C20" s="1052">
        <v>12.459</v>
      </c>
      <c r="D20" s="1044">
        <f>9.457-C20</f>
        <v>-3.0019999999999989</v>
      </c>
      <c r="E20" s="1044">
        <f>2.308-SUM(C20:D20)</f>
        <v>-7.1490000000000009</v>
      </c>
      <c r="F20" s="1047">
        <f>-19.594-SUM(C20:E20)</f>
        <v>-21.902000000000001</v>
      </c>
      <c r="G20" s="1053">
        <f t="shared" si="4"/>
        <v>-19.594000000000001</v>
      </c>
      <c r="H20" s="1059"/>
      <c r="I20" s="1052">
        <v>6.9530000000000003</v>
      </c>
      <c r="J20" s="1044">
        <f>7.199-I20</f>
        <v>0.24599999999999955</v>
      </c>
      <c r="K20" s="1044">
        <f>-6.898-J20-I20</f>
        <v>-14.097</v>
      </c>
      <c r="L20" s="1047">
        <f>-12.227-SUM(I20:K20)</f>
        <v>-5.3290000000000006</v>
      </c>
      <c r="M20" s="1053">
        <f t="shared" si="5"/>
        <v>-12.227</v>
      </c>
      <c r="N20" s="1059"/>
      <c r="O20" s="1052">
        <v>21.454000000000001</v>
      </c>
      <c r="P20" s="1044">
        <f>-2.064-O20</f>
        <v>-23.518000000000001</v>
      </c>
      <c r="Q20" s="1044">
        <f>-14.343-P20-O20</f>
        <v>-12.279</v>
      </c>
      <c r="R20" s="1047">
        <f>-28.142-SUM(O20:Q20)</f>
        <v>-13.798999999999999</v>
      </c>
      <c r="S20" s="1053">
        <f t="shared" si="6"/>
        <v>-28.141999999999999</v>
      </c>
      <c r="T20" s="1059"/>
      <c r="U20" s="1052">
        <v>2.9769999999999999</v>
      </c>
      <c r="V20" s="1044">
        <f>-6.804-U20</f>
        <v>-9.7810000000000006</v>
      </c>
      <c r="W20" s="1044">
        <f>-0.902-V20-U20</f>
        <v>5.902000000000001</v>
      </c>
      <c r="X20" s="1047">
        <f>-38.103-SUM(U20:W20)</f>
        <v>-37.201000000000001</v>
      </c>
      <c r="Y20" s="1053">
        <f t="shared" si="7"/>
        <v>-38.103000000000002</v>
      </c>
      <c r="Z20" s="1059"/>
      <c r="AA20" s="1052">
        <v>24.609000000000002</v>
      </c>
      <c r="AB20" s="1044">
        <f>3.904-AA20</f>
        <v>-20.705000000000002</v>
      </c>
      <c r="AC20" s="1044">
        <f>17.373-SUM(AA20:AB20)</f>
        <v>13.469000000000001</v>
      </c>
      <c r="AD20" s="1044">
        <f>-20.597-SUM(AA20:AC20)</f>
        <v>-37.97</v>
      </c>
      <c r="AE20" s="1053">
        <f t="shared" si="8"/>
        <v>-20.596999999999998</v>
      </c>
      <c r="AF20" s="1059"/>
      <c r="AG20" s="1052">
        <v>5.85</v>
      </c>
      <c r="AH20" s="1044">
        <v>7.6230000000000002</v>
      </c>
      <c r="AI20" s="1044">
        <v>1.615</v>
      </c>
      <c r="AJ20" s="1044">
        <f>-44.626-SUM(AG20:AI20)</f>
        <v>-59.713999999999999</v>
      </c>
      <c r="AK20" s="1053">
        <f t="shared" si="9"/>
        <v>-44.625999999999998</v>
      </c>
      <c r="AL20" s="1059"/>
      <c r="AM20" s="1052">
        <v>40.226999999999997</v>
      </c>
      <c r="AN20" s="1044">
        <f>15.489-AM20</f>
        <v>-24.737999999999996</v>
      </c>
      <c r="AO20" s="1044">
        <f>26.839-SUM(AM20:AN20)</f>
        <v>11.349999999999998</v>
      </c>
      <c r="AP20" s="1044">
        <f>-14.44-SUM(AM20:AO20)</f>
        <v>-41.278999999999996</v>
      </c>
      <c r="AQ20" s="1053">
        <f t="shared" si="10"/>
        <v>-14.439999999999998</v>
      </c>
      <c r="AR20" s="1059"/>
      <c r="AS20" s="1052">
        <v>27.023</v>
      </c>
      <c r="AT20" s="1369">
        <f>23.434-AS20</f>
        <v>-3.5889999999999986</v>
      </c>
      <c r="AU20" s="1369">
        <f>26.841-SUM(AS20:AT20)</f>
        <v>3.407</v>
      </c>
      <c r="AV20" s="1369">
        <f>-16.989-SUM(AS20:AU20)</f>
        <v>-43.83</v>
      </c>
      <c r="AW20" s="1053">
        <f t="shared" si="11"/>
        <v>-16.988999999999997</v>
      </c>
      <c r="AX20" s="1059"/>
      <c r="AY20" s="1678">
        <v>37.582000000000001</v>
      </c>
      <c r="AZ20" s="1369">
        <f>30.843-AY20</f>
        <v>-6.7390000000000008</v>
      </c>
      <c r="BA20" s="1369">
        <f>36.361-SUM(AY20:AZ20)</f>
        <v>5.5179999999999971</v>
      </c>
      <c r="BB20" s="1369">
        <f>6.76-SUM(AY20:BA20)</f>
        <v>-29.600999999999999</v>
      </c>
      <c r="BC20" s="1053">
        <f>SUM(AY20:BB20)</f>
        <v>6.759999999999998</v>
      </c>
      <c r="BD20" s="1059"/>
      <c r="BE20" s="1678">
        <v>12.444000000000001</v>
      </c>
      <c r="BF20" s="1369">
        <f>6.233-BE20</f>
        <v>-6.2110000000000012</v>
      </c>
      <c r="BG20" s="1369">
        <f>1.848-SUM(BE20:BF20)</f>
        <v>-4.3849999999999998</v>
      </c>
      <c r="BH20" s="1369">
        <f>-18.96-SUM(BE20:BG20)</f>
        <v>-20.808</v>
      </c>
      <c r="BI20" s="1053">
        <f>SUM(BE20:BH20)</f>
        <v>-18.96</v>
      </c>
      <c r="BJ20" s="1059"/>
      <c r="BK20" s="1678">
        <v>25.093</v>
      </c>
      <c r="BL20" s="1369">
        <f>5.215-BK20</f>
        <v>-19.878</v>
      </c>
      <c r="BM20" s="1369">
        <f>10.971-SUM(BK20:BL20)</f>
        <v>5.7560000000000002</v>
      </c>
      <c r="BN20" s="1369">
        <f>-36.633-SUM(BK20:BM20)</f>
        <v>-47.603999999999999</v>
      </c>
      <c r="BO20" s="1053">
        <f>SUM(BK20:BN20)</f>
        <v>-36.632999999999996</v>
      </c>
      <c r="BP20" s="1059"/>
      <c r="BQ20" s="1055">
        <f>(BS!BO11-BS!BQ11)</f>
        <v>95.385263147445869</v>
      </c>
      <c r="BR20" s="383">
        <f>(BS!BQ11-BS!BR11)</f>
        <v>-49.431079049561106</v>
      </c>
      <c r="BS20" s="383">
        <f>(BS!BR11-BS!BS11)</f>
        <v>9.175209789416499</v>
      </c>
      <c r="BT20" s="383">
        <f>(BS!BS11-BS!BT11)</f>
        <v>-110.92627199422679</v>
      </c>
      <c r="BU20" s="1053">
        <f>SUM(BQ20:BT20)</f>
        <v>-55.796878106925533</v>
      </c>
      <c r="BV20" s="1059"/>
      <c r="BW20" s="1055">
        <f>(BS!BU11-BS!BW11)</f>
        <v>118.38318655931101</v>
      </c>
      <c r="BX20" s="383">
        <f>(BS!BW11-BS!BX11)</f>
        <v>-56.267513980768342</v>
      </c>
      <c r="BY20" s="383">
        <f>(BS!BX11-BS!BY11)</f>
        <v>7.0903500176183343</v>
      </c>
      <c r="BZ20" s="383">
        <f>(BS!BY11-BS!BZ11)</f>
        <v>-120.44441257400126</v>
      </c>
      <c r="CA20" s="1053">
        <f>SUM(BW20:BZ20)</f>
        <v>-51.238389977840257</v>
      </c>
      <c r="CB20" s="1059"/>
      <c r="CC20" s="1055">
        <f>(BS!CA11-BS!CC11)</f>
        <v>130.36258868560321</v>
      </c>
      <c r="CD20" s="383">
        <f>(BS!CC11-BS!CD11)</f>
        <v>-61.871228415166115</v>
      </c>
      <c r="CE20" s="383">
        <f>(BS!CD11-BS!CE11)</f>
        <v>8.9193285334845314</v>
      </c>
      <c r="CF20" s="383">
        <f>(BS!CE11-BS!CF11)</f>
        <v>-126.24881359488813</v>
      </c>
      <c r="CG20" s="1053">
        <f>SUM(CC20:CF20)</f>
        <v>-48.838124790966503</v>
      </c>
      <c r="CH20" s="1059"/>
      <c r="CI20" s="1055">
        <f>(BS!CG11-BS!CI11)</f>
        <v>146.64439757417585</v>
      </c>
      <c r="CJ20" s="383">
        <f>(BS!CI11-BS!CJ11)</f>
        <v>-65.705625941748849</v>
      </c>
      <c r="CK20" s="383">
        <f>(BS!CJ11-BS!CK11)</f>
        <v>7.1511197968295619</v>
      </c>
      <c r="CL20" s="383">
        <f>(BS!CK11-BS!CL11)</f>
        <v>-133.48534164845637</v>
      </c>
      <c r="CM20" s="1053">
        <f>SUM(CI20:CL20)</f>
        <v>-45.395450219199802</v>
      </c>
      <c r="CN20" s="1026"/>
      <c r="CO20" s="1026"/>
      <c r="CP20" s="1026"/>
    </row>
    <row r="21" spans="1:94" ht="12.75" hidden="1" customHeight="1" outlineLevel="1">
      <c r="A21" s="868" t="s">
        <v>222</v>
      </c>
      <c r="B21" s="917"/>
      <c r="C21" s="1052">
        <v>-8.9009999999999998</v>
      </c>
      <c r="D21" s="1044">
        <f>-6.456-C21</f>
        <v>2.4449999999999994</v>
      </c>
      <c r="E21" s="1044">
        <f>-8.861-SUM(C21:D21)</f>
        <v>-2.4050000000000002</v>
      </c>
      <c r="F21" s="1047">
        <f>-2.393-SUM(C21:E21)</f>
        <v>6.4680000000000009</v>
      </c>
      <c r="G21" s="1053">
        <f t="shared" si="4"/>
        <v>-2.3929999999999998</v>
      </c>
      <c r="H21" s="1059"/>
      <c r="I21" s="1052">
        <v>-11.427</v>
      </c>
      <c r="J21" s="1044">
        <f>-11.761-I21</f>
        <v>-0.33399999999999963</v>
      </c>
      <c r="K21" s="1044">
        <f>-16.113-J21-I21</f>
        <v>-4.3520000000000003</v>
      </c>
      <c r="L21" s="1047">
        <f>-10.39-SUM(I21:K21)</f>
        <v>5.722999999999999</v>
      </c>
      <c r="M21" s="1053">
        <f t="shared" si="5"/>
        <v>-10.39</v>
      </c>
      <c r="N21" s="1059"/>
      <c r="O21" s="1052">
        <v>-12.651</v>
      </c>
      <c r="P21" s="1044">
        <f>-13.91-O21</f>
        <v>-1.2590000000000003</v>
      </c>
      <c r="Q21" s="1044">
        <f>-11.962-P21-O21</f>
        <v>1.9480000000000004</v>
      </c>
      <c r="R21" s="1047">
        <f>-5.81-SUM(O21:Q21)</f>
        <v>6.1520000000000001</v>
      </c>
      <c r="S21" s="1053">
        <f t="shared" si="6"/>
        <v>-5.81</v>
      </c>
      <c r="T21" s="1059"/>
      <c r="U21" s="1052">
        <v>-11.959</v>
      </c>
      <c r="V21" s="1044">
        <f>-14.616-U21</f>
        <v>-2.657</v>
      </c>
      <c r="W21" s="1044">
        <f>-23.171-V21-U21</f>
        <v>-8.5549999999999997</v>
      </c>
      <c r="X21" s="1047">
        <f>-22.63-SUM(U21:W21)</f>
        <v>0.54100000000000037</v>
      </c>
      <c r="Y21" s="1053">
        <f t="shared" si="7"/>
        <v>-22.63</v>
      </c>
      <c r="Z21" s="1059"/>
      <c r="AA21" s="1052">
        <v>-9.5579999999999998</v>
      </c>
      <c r="AB21" s="1044">
        <f>-3.382-AA21</f>
        <v>6.1760000000000002</v>
      </c>
      <c r="AC21" s="1044">
        <f>-17.66-SUM(AA21:AB21)</f>
        <v>-14.278</v>
      </c>
      <c r="AD21" s="1044">
        <f>-2.2-SUM(AA21:AC21)</f>
        <v>15.46</v>
      </c>
      <c r="AE21" s="1053">
        <f t="shared" si="8"/>
        <v>-2.1999999999999993</v>
      </c>
      <c r="AF21" s="1059"/>
      <c r="AG21" s="1052">
        <v>-12.97</v>
      </c>
      <c r="AH21" s="1044">
        <v>0.318</v>
      </c>
      <c r="AI21" s="1044">
        <v>-11.795</v>
      </c>
      <c r="AJ21" s="1044">
        <f>-8.213-SUM(AG21:AI21)</f>
        <v>16.234000000000002</v>
      </c>
      <c r="AK21" s="1053">
        <f t="shared" si="9"/>
        <v>-8.213000000000001</v>
      </c>
      <c r="AL21" s="1059"/>
      <c r="AM21" s="1052">
        <v>-16.187000000000001</v>
      </c>
      <c r="AN21" s="1044">
        <f>-17.71-AM21</f>
        <v>-1.5229999999999997</v>
      </c>
      <c r="AO21" s="1044">
        <f>-31.782-SUM(AM21:AN21)</f>
        <v>-14.071999999999999</v>
      </c>
      <c r="AP21" s="1044">
        <f>-13.851-SUM(AM21:AO21)</f>
        <v>17.930999999999997</v>
      </c>
      <c r="AQ21" s="1053">
        <f t="shared" si="10"/>
        <v>-13.851000000000003</v>
      </c>
      <c r="AR21" s="1059"/>
      <c r="AS21" s="1052">
        <v>-17.689</v>
      </c>
      <c r="AT21" s="1369">
        <f>-15.737-AS21</f>
        <v>1.952</v>
      </c>
      <c r="AU21" s="1369">
        <f>-28.536-SUM(AS21:AT21)</f>
        <v>-12.799000000000001</v>
      </c>
      <c r="AV21" s="1369">
        <f>-24.642-SUM(AS21:AU21)</f>
        <v>3.8940000000000019</v>
      </c>
      <c r="AW21" s="1053">
        <f t="shared" si="11"/>
        <v>-24.641999999999999</v>
      </c>
      <c r="AX21" s="1059"/>
      <c r="AY21" s="1678">
        <v>-22.498000000000001</v>
      </c>
      <c r="AZ21" s="1369">
        <f>-33.327-AY21</f>
        <v>-10.828999999999997</v>
      </c>
      <c r="BA21" s="1369">
        <f>-50.824-SUM(AY21:AZ21)</f>
        <v>-17.497</v>
      </c>
      <c r="BB21" s="1369">
        <f>-28.7-SUM(AY21:BA21)</f>
        <v>22.123999999999999</v>
      </c>
      <c r="BC21" s="1053">
        <f>SUM(AY21:BB21)</f>
        <v>-28.7</v>
      </c>
      <c r="BD21" s="1059"/>
      <c r="BE21" s="1678">
        <v>-15.779</v>
      </c>
      <c r="BF21" s="1369">
        <f>-6.639-BE21</f>
        <v>9.14</v>
      </c>
      <c r="BG21" s="1369">
        <f>-12.35-SUM(BE21:BF21)</f>
        <v>-5.7110000000000003</v>
      </c>
      <c r="BH21" s="1369">
        <f>6.752-SUM(BE21:BG21)</f>
        <v>19.102</v>
      </c>
      <c r="BI21" s="1053">
        <f>SUM(BE21:BH21)</f>
        <v>6.7520000000000007</v>
      </c>
      <c r="BJ21" s="1059"/>
      <c r="BK21" s="1678">
        <v>-6.8369999999999997</v>
      </c>
      <c r="BL21" s="1369">
        <f>-9.913-BK21</f>
        <v>-3.0760000000000005</v>
      </c>
      <c r="BM21" s="1369">
        <f>-25.208-SUM(BK21:BL21)</f>
        <v>-15.294999999999998</v>
      </c>
      <c r="BN21" s="1369">
        <f>-17.923-SUM(BK21:BM21)</f>
        <v>7.2850000000000001</v>
      </c>
      <c r="BO21" s="1053">
        <f>SUM(BK21:BN21)</f>
        <v>-17.922999999999998</v>
      </c>
      <c r="BP21" s="1059"/>
      <c r="BQ21" s="1055">
        <f>(BS!BO12-BS!BQ12)</f>
        <v>57.440392349668286</v>
      </c>
      <c r="BR21" s="383">
        <f>(BS!BQ12-BS!BR12)</f>
        <v>-15.24795545406181</v>
      </c>
      <c r="BS21" s="383">
        <f>(BS!BR12-BS!BS12)</f>
        <v>-18.305263049124449</v>
      </c>
      <c r="BT21" s="383">
        <f>(BS!BS12-BS!BT12)</f>
        <v>-51.312569095125298</v>
      </c>
      <c r="BU21" s="1053">
        <f>SUM(BQ21:BT21)</f>
        <v>-27.425395248643269</v>
      </c>
      <c r="BV21" s="1059"/>
      <c r="BW21" s="1055">
        <f>(BS!BU12-BS!BW12)</f>
        <v>67.978235436060061</v>
      </c>
      <c r="BX21" s="383">
        <f>(BS!BW12-BS!BX12)</f>
        <v>-18.053513512355892</v>
      </c>
      <c r="BY21" s="383">
        <f>(BS!BX12-BS!BY12)</f>
        <v>-20.994574453482755</v>
      </c>
      <c r="BZ21" s="383">
        <f>(BS!BY12-BS!BZ12)</f>
        <v>-55.183531561293478</v>
      </c>
      <c r="CA21" s="1053">
        <f>SUM(BW21:BZ21)</f>
        <v>-26.253384091072064</v>
      </c>
      <c r="CB21" s="1059"/>
      <c r="CC21" s="1055">
        <f>(BS!CA12-BS!CC12)</f>
        <v>73.171919055711101</v>
      </c>
      <c r="CD21" s="383">
        <f>(BS!CC12-BS!CD12)</f>
        <v>-19.887001056587735</v>
      </c>
      <c r="CE21" s="383">
        <f>(BS!CD12-BS!CE12)</f>
        <v>-21.353248969849631</v>
      </c>
      <c r="CF21" s="383">
        <f>(BS!CE12-BS!CF12)</f>
        <v>-56.77631888681907</v>
      </c>
      <c r="CG21" s="1053">
        <f>SUM(CC21:CF21)</f>
        <v>-24.844649857545335</v>
      </c>
      <c r="CH21" s="1059"/>
      <c r="CI21" s="1055">
        <f>(BS!CG12-BS!CI12)</f>
        <v>81.67349482052947</v>
      </c>
      <c r="CJ21" s="383">
        <f>(BS!CI12-BS!CJ12)</f>
        <v>-20.836316974181898</v>
      </c>
      <c r="CK21" s="383">
        <f>(BS!CJ12-BS!CK12)</f>
        <v>-23.555896634282817</v>
      </c>
      <c r="CL21" s="383">
        <f>(BS!CK12-BS!CL12)</f>
        <v>-59.369182292549795</v>
      </c>
      <c r="CM21" s="1053">
        <f>SUM(CI21:CL21)</f>
        <v>-22.08790108048504</v>
      </c>
      <c r="CN21" s="1026"/>
      <c r="CO21" s="1026"/>
      <c r="CP21" s="1026"/>
    </row>
    <row r="22" spans="1:94" ht="12.75" hidden="1" customHeight="1" outlineLevel="1">
      <c r="A22" s="868" t="s">
        <v>235</v>
      </c>
      <c r="B22" s="917"/>
      <c r="C22" s="1052">
        <v>-10.154999999999999</v>
      </c>
      <c r="D22" s="1044">
        <f>-5.945-C22</f>
        <v>4.2099999999999991</v>
      </c>
      <c r="E22" s="1044">
        <f>-1.949-SUM(C22:D22)</f>
        <v>3.9960000000000004</v>
      </c>
      <c r="F22" s="1047">
        <f>11.097-SUM(C22:E22)</f>
        <v>13.045999999999999</v>
      </c>
      <c r="G22" s="1053">
        <f t="shared" si="4"/>
        <v>11.097</v>
      </c>
      <c r="H22" s="1059"/>
      <c r="I22" s="1052">
        <v>3.9569999999999999</v>
      </c>
      <c r="J22" s="1044">
        <f>6.317-I22</f>
        <v>2.3600000000000003</v>
      </c>
      <c r="K22" s="1044">
        <f>-1.136-J22-I22</f>
        <v>-7.4530000000000003</v>
      </c>
      <c r="L22" s="1047">
        <f>5.63-SUM(I22:K22)</f>
        <v>6.766</v>
      </c>
      <c r="M22" s="1053">
        <f t="shared" si="5"/>
        <v>5.63</v>
      </c>
      <c r="N22" s="1059"/>
      <c r="O22" s="1052">
        <v>-21.466000000000001</v>
      </c>
      <c r="P22" s="1044">
        <f>-15.448-O22</f>
        <v>6.0180000000000007</v>
      </c>
      <c r="Q22" s="1044">
        <f>-9.961-P22-O22</f>
        <v>5.4870000000000001</v>
      </c>
      <c r="R22" s="1047">
        <f>-14.119-SUM(O22:Q22)</f>
        <v>-4.1579999999999995</v>
      </c>
      <c r="S22" s="1053">
        <f t="shared" si="6"/>
        <v>-14.119</v>
      </c>
      <c r="T22" s="1059"/>
      <c r="U22" s="1052">
        <v>8.2840000000000007</v>
      </c>
      <c r="V22" s="1044">
        <f>15.581-U22</f>
        <v>7.2969999999999988</v>
      </c>
      <c r="W22" s="1044">
        <f>8.776-V22-U22</f>
        <v>-6.8049999999999997</v>
      </c>
      <c r="X22" s="1047">
        <f>27.789-SUM(U22:W22)</f>
        <v>19.013000000000002</v>
      </c>
      <c r="Y22" s="1053">
        <f t="shared" si="7"/>
        <v>27.789000000000001</v>
      </c>
      <c r="Z22" s="1059"/>
      <c r="AA22" s="1052">
        <v>-16.329999999999998</v>
      </c>
      <c r="AB22" s="1044">
        <f>-19.838-AA22</f>
        <v>-3.5080000000000027</v>
      </c>
      <c r="AC22" s="1044">
        <f>-15.512-SUM(AA22:AB22)</f>
        <v>4.3260000000000005</v>
      </c>
      <c r="AD22" s="1044">
        <f>-1.776-SUM(AA22:AC22)</f>
        <v>13.736000000000001</v>
      </c>
      <c r="AE22" s="1053">
        <f t="shared" si="8"/>
        <v>-1.7759999999999998</v>
      </c>
      <c r="AF22" s="1059"/>
      <c r="AG22" s="1052">
        <v>-11.718999999999999</v>
      </c>
      <c r="AH22" s="1044">
        <v>13.364000000000001</v>
      </c>
      <c r="AI22" s="1044">
        <v>-20.256</v>
      </c>
      <c r="AJ22" s="1044">
        <f>-7.876-SUM(AG22:AI22)</f>
        <v>10.734999999999996</v>
      </c>
      <c r="AK22" s="1053">
        <f t="shared" si="9"/>
        <v>-7.8760000000000012</v>
      </c>
      <c r="AL22" s="1059"/>
      <c r="AM22" s="1052">
        <v>4.9409999999999998</v>
      </c>
      <c r="AN22" s="1044">
        <f>3.99-AM22</f>
        <v>-0.95099999999999962</v>
      </c>
      <c r="AO22" s="1044">
        <f>-6.035-SUM(AM22:AN22)</f>
        <v>-10.025</v>
      </c>
      <c r="AP22" s="1044">
        <f>-1.8-SUM(AM22:AO22)</f>
        <v>4.2350000000000003</v>
      </c>
      <c r="AQ22" s="1053">
        <f t="shared" si="10"/>
        <v>-1.7999999999999998</v>
      </c>
      <c r="AR22" s="1059"/>
      <c r="AS22" s="1052">
        <v>0.90400000000000003</v>
      </c>
      <c r="AT22" s="1369">
        <f>-11.867-AS22</f>
        <v>-12.771000000000001</v>
      </c>
      <c r="AU22" s="1369">
        <f>-4.009-SUM(AS22:AT22)</f>
        <v>7.8580000000000005</v>
      </c>
      <c r="AV22" s="1369">
        <f>8.103-SUM(AS22:AU22)</f>
        <v>12.112</v>
      </c>
      <c r="AW22" s="1053">
        <f t="shared" si="11"/>
        <v>8.1029999999999998</v>
      </c>
      <c r="AX22" s="1059"/>
      <c r="AY22" s="1678">
        <v>-12.335000000000001</v>
      </c>
      <c r="AZ22" s="1369">
        <f>-1.541-AY22</f>
        <v>10.794</v>
      </c>
      <c r="BA22" s="1369">
        <f>-19.916-SUM(AY22:AZ22)</f>
        <v>-18.375</v>
      </c>
      <c r="BB22" s="1369">
        <f>-16.082-SUM(AY22:BA22)</f>
        <v>3.8339999999999996</v>
      </c>
      <c r="BC22" s="1053">
        <f>SUM(AY22:BB22)</f>
        <v>-16.082000000000001</v>
      </c>
      <c r="BD22" s="1059"/>
      <c r="BE22" s="1678">
        <v>4.2169999999999996</v>
      </c>
      <c r="BF22" s="1369">
        <f>2.501-BE22</f>
        <v>-1.7159999999999997</v>
      </c>
      <c r="BG22" s="1369">
        <f>8.986-SUM(BE22:BF22)</f>
        <v>6.4850000000000012</v>
      </c>
      <c r="BH22" s="1369">
        <f>30.716-SUM(BE22:BG22)</f>
        <v>21.73</v>
      </c>
      <c r="BI22" s="1053">
        <f>SUM(BE22:BH22)</f>
        <v>30.716000000000001</v>
      </c>
      <c r="BJ22" s="1059"/>
      <c r="BK22" s="1678">
        <v>-13.882999999999999</v>
      </c>
      <c r="BL22" s="1369">
        <f>-20.855-BK22</f>
        <v>-6.9720000000000013</v>
      </c>
      <c r="BM22" s="1369">
        <f>-12.459-SUM(BK22:BL22)</f>
        <v>8.3960000000000008</v>
      </c>
      <c r="BN22" s="1369">
        <f>34.331-SUM(BK22:BM22)</f>
        <v>46.790000000000006</v>
      </c>
      <c r="BO22" s="1053">
        <f>SUM(BK22:BN22)</f>
        <v>34.331000000000003</v>
      </c>
      <c r="BP22" s="1059"/>
      <c r="BQ22" s="1055">
        <f>BS!BQ25-BS!BO25</f>
        <v>-12.629381945853822</v>
      </c>
      <c r="BR22" s="383">
        <f>BS!BR25-BS!BQ25</f>
        <v>-1.3105266356728862</v>
      </c>
      <c r="BS22" s="383">
        <f>BS!BS25-BS!BR25</f>
        <v>7.8589175127007422</v>
      </c>
      <c r="BT22" s="383">
        <f>BS!BT25-BS!BS25</f>
        <v>63.93200963012282</v>
      </c>
      <c r="BU22" s="1053">
        <f>SUM(BQ22:BT22)</f>
        <v>57.851018561296854</v>
      </c>
      <c r="BV22" s="1059"/>
      <c r="BW22" s="1055">
        <f>BS!BW25-BS!BU25</f>
        <v>-61.61767105110485</v>
      </c>
      <c r="BX22" s="383">
        <f>BS!BX25-BS!BW25</f>
        <v>-0.25267678751697531</v>
      </c>
      <c r="BY22" s="383">
        <f>BS!BY25-BS!BX25</f>
        <v>9.4587660950440977</v>
      </c>
      <c r="BZ22" s="383">
        <f>BS!BZ25-BS!BY25</f>
        <v>67.970953262913241</v>
      </c>
      <c r="CA22" s="1053">
        <f>SUM(BW22:BZ22)</f>
        <v>15.559371519335514</v>
      </c>
      <c r="CB22" s="1059"/>
      <c r="CC22" s="1055">
        <f>BS!CC25-BS!CA25</f>
        <v>-65.732121937194336</v>
      </c>
      <c r="CD22" s="383">
        <f>BS!CD25-BS!CC25</f>
        <v>-4.4453918867077391E-2</v>
      </c>
      <c r="CE22" s="383">
        <f>BS!CE25-BS!CD25</f>
        <v>9.508194577437763</v>
      </c>
      <c r="CF22" s="383">
        <f>BS!CF25-BS!CE25</f>
        <v>70.36221082778755</v>
      </c>
      <c r="CG22" s="1053">
        <f>SUM(CC22:CF22)</f>
        <v>14.0938295491639</v>
      </c>
      <c r="CH22" s="1059"/>
      <c r="CI22" s="1055">
        <f>BS!CI25-BS!CG25</f>
        <v>-71.977869925641642</v>
      </c>
      <c r="CJ22" s="383">
        <f>BS!CJ25-BS!CI25</f>
        <v>-0.25096436705629799</v>
      </c>
      <c r="CK22" s="383">
        <f>BS!CK25-BS!CJ25</f>
        <v>10.811882271000172</v>
      </c>
      <c r="CL22" s="383">
        <f>BS!CL25-BS!CK25</f>
        <v>73.133909101034106</v>
      </c>
      <c r="CM22" s="1053">
        <f>SUM(CI22:CL22)</f>
        <v>11.716957079336339</v>
      </c>
      <c r="CN22" s="1026"/>
      <c r="CO22" s="1026"/>
      <c r="CP22" s="1026"/>
    </row>
    <row r="23" spans="1:94" ht="12.75" hidden="1" customHeight="1" outlineLevel="1">
      <c r="A23" s="868" t="s">
        <v>350</v>
      </c>
      <c r="B23" s="917"/>
      <c r="C23" s="1052">
        <v>-19.802</v>
      </c>
      <c r="D23" s="1044">
        <f>-0.904-C23</f>
        <v>18.898</v>
      </c>
      <c r="E23" s="1044">
        <f>-23.743-SUM(C23:D23)</f>
        <v>-22.838999999999999</v>
      </c>
      <c r="F23" s="1047">
        <f>6.771-SUM(C23:E23)</f>
        <v>30.513999999999999</v>
      </c>
      <c r="G23" s="1053">
        <f t="shared" si="4"/>
        <v>6.7710000000000008</v>
      </c>
      <c r="H23" s="1059"/>
      <c r="I23" s="1052">
        <v>-21.658000000000001</v>
      </c>
      <c r="J23" s="1044">
        <f>-6.862-I23</f>
        <v>14.796000000000001</v>
      </c>
      <c r="K23" s="1044">
        <f>-35.412-J23-I23</f>
        <v>-28.549999999999997</v>
      </c>
      <c r="L23" s="1047">
        <f>8.009-SUM(I23:K23)</f>
        <v>43.420999999999999</v>
      </c>
      <c r="M23" s="1053">
        <f t="shared" si="5"/>
        <v>8.0090000000000003</v>
      </c>
      <c r="N23" s="1059"/>
      <c r="O23" s="1052">
        <v>-18.190999999999999</v>
      </c>
      <c r="P23" s="1044">
        <f>-9.888-O23</f>
        <v>8.302999999999999</v>
      </c>
      <c r="Q23" s="1044">
        <f>-21.401-P23-O23</f>
        <v>-11.513000000000002</v>
      </c>
      <c r="R23" s="1047">
        <f>-45.5-SUM(O23:Q23)</f>
        <v>-24.098999999999997</v>
      </c>
      <c r="S23" s="1053">
        <f t="shared" si="6"/>
        <v>-45.5</v>
      </c>
      <c r="T23" s="1059"/>
      <c r="U23" s="1052">
        <v>8.3719999999999999</v>
      </c>
      <c r="V23" s="1044">
        <f>20.249-U23</f>
        <v>11.876999999999999</v>
      </c>
      <c r="W23" s="1044">
        <f>-16.143-V23-U23</f>
        <v>-36.391999999999996</v>
      </c>
      <c r="X23" s="1047">
        <f>0.754-SUM(U23:W23)</f>
        <v>16.896999999999998</v>
      </c>
      <c r="Y23" s="1053">
        <f t="shared" si="7"/>
        <v>0.75400000000000134</v>
      </c>
      <c r="Z23" s="1059"/>
      <c r="AA23" s="1052">
        <v>2.6789999999999998</v>
      </c>
      <c r="AB23" s="1044">
        <f>12.747-AA23</f>
        <v>10.068</v>
      </c>
      <c r="AC23" s="1044">
        <f>1.834-SUM(AA23:AB23)</f>
        <v>-10.913</v>
      </c>
      <c r="AD23" s="1044">
        <f>33.841-SUM(AA23:AC23)</f>
        <v>32.007000000000005</v>
      </c>
      <c r="AE23" s="1053">
        <f t="shared" si="8"/>
        <v>33.841000000000008</v>
      </c>
      <c r="AF23" s="1059"/>
      <c r="AG23" s="1052">
        <v>-36.981000000000002</v>
      </c>
      <c r="AH23" s="1044">
        <v>-20.751999999999999</v>
      </c>
      <c r="AI23" s="1044">
        <v>-23.759</v>
      </c>
      <c r="AJ23" s="1044">
        <f>-79.468-SUM(AG23:AI23)</f>
        <v>2.0240000000000009</v>
      </c>
      <c r="AK23" s="1053">
        <f t="shared" si="9"/>
        <v>-79.468000000000004</v>
      </c>
      <c r="AL23" s="1059"/>
      <c r="AM23" s="1052">
        <v>-89.391000000000005</v>
      </c>
      <c r="AN23" s="1044">
        <f>-115.955-AM23</f>
        <v>-26.563999999999993</v>
      </c>
      <c r="AO23" s="1044">
        <f>-134.391-SUM(AM23:AN23)</f>
        <v>-18.435999999999993</v>
      </c>
      <c r="AP23" s="1044">
        <f>-85.564-SUM(AM23:AO23)</f>
        <v>48.826999999999998</v>
      </c>
      <c r="AQ23" s="1053">
        <f t="shared" si="10"/>
        <v>-85.563999999999993</v>
      </c>
      <c r="AR23" s="1059"/>
      <c r="AS23" s="1052">
        <v>-13.036</v>
      </c>
      <c r="AT23" s="1369">
        <f>-30.979-AS23</f>
        <v>-17.942999999999998</v>
      </c>
      <c r="AU23" s="1369">
        <f>-52.133-SUM(AS23:AT23)</f>
        <v>-21.154000000000003</v>
      </c>
      <c r="AV23" s="1369">
        <f>-30.64-SUM(AS23:AU23)</f>
        <v>21.493000000000002</v>
      </c>
      <c r="AW23" s="1053">
        <f t="shared" si="11"/>
        <v>-30.64</v>
      </c>
      <c r="AX23" s="1059"/>
      <c r="AY23" s="1678">
        <v>-42.895000000000003</v>
      </c>
      <c r="AZ23" s="1369">
        <f>-61.007-AY23</f>
        <v>-18.111999999999995</v>
      </c>
      <c r="BA23" s="1369">
        <f>-57.361-SUM(AY23:AZ23)</f>
        <v>3.6460000000000008</v>
      </c>
      <c r="BB23" s="1369">
        <f>-34.244-SUM(AY23:BA23)</f>
        <v>23.116999999999997</v>
      </c>
      <c r="BC23" s="1053">
        <f>SUM(AY23:BB23)</f>
        <v>-34.244</v>
      </c>
      <c r="BD23" s="1059"/>
      <c r="BE23" s="1678">
        <v>-47.704999999999998</v>
      </c>
      <c r="BF23" s="1369">
        <f>-49.121-BE23</f>
        <v>-1.4160000000000039</v>
      </c>
      <c r="BG23" s="1369">
        <f>-70.859-SUM(BE23:BF23)</f>
        <v>-21.737999999999992</v>
      </c>
      <c r="BH23" s="1369">
        <f>-53.54-SUM(BE23:BG23)</f>
        <v>17.318999999999996</v>
      </c>
      <c r="BI23" s="1053">
        <f>SUM(BE23:BH23)</f>
        <v>-53.54</v>
      </c>
      <c r="BJ23" s="1059"/>
      <c r="BK23" s="1678">
        <v>-42.128999999999998</v>
      </c>
      <c r="BL23" s="1369">
        <f>-55.193-BK23</f>
        <v>-13.064</v>
      </c>
      <c r="BM23" s="1369">
        <f>-116.118-SUM(BK23:BL23)</f>
        <v>-60.924999999999997</v>
      </c>
      <c r="BN23" s="1369">
        <f>-17.436-SUM(BK23:BM23)</f>
        <v>98.681999999999988</v>
      </c>
      <c r="BO23" s="1053">
        <f>SUM(BK23:BN23)</f>
        <v>-17.436000000000007</v>
      </c>
      <c r="BP23" s="1059"/>
      <c r="BQ23" s="1055">
        <f>(BS!BQ27-BS!BO27+BS!BQ26-BS!BO26)</f>
        <v>-64.580938852706879</v>
      </c>
      <c r="BR23" s="383">
        <f>(BS!BR27-BS!BQ27+BS!BR26-BS!BQ26)</f>
        <v>28.4547961703243</v>
      </c>
      <c r="BS23" s="383">
        <f>(BS!BS27-BS!BR27+BS!BS26-BS!BR26)</f>
        <v>-6.0941759180468011</v>
      </c>
      <c r="BT23" s="383">
        <f>(BS!BT27-BS!BS27+BS!BT26-BS!BS26)</f>
        <v>71.912059514142243</v>
      </c>
      <c r="BU23" s="1053">
        <f>SUM(BQ23:BT23)</f>
        <v>29.691740913712863</v>
      </c>
      <c r="BV23" s="1059"/>
      <c r="BW23" s="1055">
        <f>(BS!BW27-BS!BU27+BS!BW26-BS!BU26)</f>
        <v>-111.84430328880455</v>
      </c>
      <c r="BX23" s="383">
        <f>(BS!BX27-BS!BW27+BS!BX26-BS!BW26)</f>
        <v>29.665534354503961</v>
      </c>
      <c r="BY23" s="383">
        <f>(BS!BY27-BS!BX27+BS!BY26-BS!BX26)</f>
        <v>-3.2020350292532953</v>
      </c>
      <c r="BZ23" s="383">
        <f>(BS!BZ27-BS!BY27+BS!BZ26-BS!BY26)</f>
        <v>71.474265894646749</v>
      </c>
      <c r="CA23" s="1053">
        <f>SUM(BW23:BZ23)</f>
        <v>-13.906538068907139</v>
      </c>
      <c r="CB23" s="1059"/>
      <c r="CC23" s="1055">
        <f>(BS!CC27-BS!CA27+BS!CC26-BS!CA26)</f>
        <v>-114.5568148712868</v>
      </c>
      <c r="CD23" s="383">
        <f>(BS!CD27-BS!CC27+BS!CD26-BS!CC26)</f>
        <v>28.929340186793297</v>
      </c>
      <c r="CE23" s="383">
        <f>(BS!CE27-BS!CD27+BS!CE26-BS!CD26)</f>
        <v>-3.5174492389423335</v>
      </c>
      <c r="CF23" s="383">
        <f>(BS!CF27-BS!CE27+BS!CF26-BS!CE26)</f>
        <v>67.641484629783861</v>
      </c>
      <c r="CG23" s="1053">
        <f>SUM(CC23:CF23)</f>
        <v>-21.503439293651979</v>
      </c>
      <c r="CH23" s="1059"/>
      <c r="CI23" s="1055">
        <f>(BS!CI27-BS!CG27+BS!CI26-BS!CG26)</f>
        <v>-119.886480183049</v>
      </c>
      <c r="CJ23" s="383">
        <f>(BS!CJ27-BS!CI27+BS!CJ26-BS!CI26)</f>
        <v>26.622917187147721</v>
      </c>
      <c r="CK23" s="383">
        <f>(BS!CK27-BS!CJ27+BS!CK26-BS!CJ26)</f>
        <v>-1.2059589122819148</v>
      </c>
      <c r="CL23" s="383">
        <f>(BS!CL27-BS!CK27+BS!CL26-BS!CK26)</f>
        <v>64.596035887948062</v>
      </c>
      <c r="CM23" s="1053">
        <f>SUM(CI23:CL23)</f>
        <v>-29.873486020235134</v>
      </c>
      <c r="CN23" s="1026"/>
      <c r="CO23" s="1026"/>
      <c r="CP23" s="1026"/>
    </row>
    <row r="24" spans="1:94" collapsed="1">
      <c r="A24" s="1698" t="s">
        <v>351</v>
      </c>
      <c r="B24" s="1635" t="s">
        <v>79</v>
      </c>
      <c r="C24" s="1061">
        <f>SUM(C20:C23,C12:C18)</f>
        <v>17.382999999999999</v>
      </c>
      <c r="D24" s="1062">
        <f>SUM(D20:D23,D12:D18)</f>
        <v>69.358000000000004</v>
      </c>
      <c r="E24" s="1062">
        <f>SUM(E20:E23,E12:E18)</f>
        <v>23.731999999999999</v>
      </c>
      <c r="F24" s="1062">
        <f>SUM(F20:F23,F12:F18)</f>
        <v>78.430999999999997</v>
      </c>
      <c r="G24" s="1053">
        <f>SUM(G20:G23,G12:G18)</f>
        <v>188.904</v>
      </c>
      <c r="H24" s="383"/>
      <c r="I24" s="1061">
        <f>SUM(I20:I23,I12:I18)</f>
        <v>24.862000000000002</v>
      </c>
      <c r="J24" s="1062">
        <f>SUM(J20:J23,J12:J18)</f>
        <v>71.883999999999986</v>
      </c>
      <c r="K24" s="1062">
        <f>SUM(K20:K23,K12:K18)</f>
        <v>22.275999999999996</v>
      </c>
      <c r="L24" s="1062">
        <f>SUM(L20:L23,L12:L18)</f>
        <v>93.719000000000023</v>
      </c>
      <c r="M24" s="1053">
        <f>SUM(M20:M23,M12:M18)</f>
        <v>212.74099999999999</v>
      </c>
      <c r="N24" s="383"/>
      <c r="O24" s="1061">
        <f>SUM(O20:O23,O12:O18)</f>
        <v>18.013000000000005</v>
      </c>
      <c r="P24" s="1062">
        <f>SUM(P20:P23,P12:P18)</f>
        <v>40.198999999999998</v>
      </c>
      <c r="Q24" s="1062">
        <f>SUM(Q20:Q23,Q12:Q18)</f>
        <v>13.951999999999993</v>
      </c>
      <c r="R24" s="1062">
        <f>SUM(R20:R23,R12:R18)</f>
        <v>86.109000000000009</v>
      </c>
      <c r="S24" s="1053">
        <f>SUM(S20:S23,S12:S18)</f>
        <v>158.27300000000002</v>
      </c>
      <c r="T24" s="383"/>
      <c r="U24" s="1061">
        <f>SUM(U20:U23,U12:U18)</f>
        <v>51.237000000000002</v>
      </c>
      <c r="V24" s="1062">
        <f>SUM(V20:V23,V12:V18)</f>
        <v>62.801000000000009</v>
      </c>
      <c r="W24" s="1062">
        <f>SUM(W20:W23,W12:W18)</f>
        <v>6.9010000000000034</v>
      </c>
      <c r="X24" s="1062">
        <f>SUM(X20:X23,X12:X18)</f>
        <v>46.263999999999946</v>
      </c>
      <c r="Y24" s="1053">
        <f>SUM(Y20:Y23,Y12:Y18)</f>
        <v>167.20299999999995</v>
      </c>
      <c r="Z24" s="383"/>
      <c r="AA24" s="1061">
        <f>SUM(AA20:AA23,AA12:AA18)</f>
        <v>47.28</v>
      </c>
      <c r="AB24" s="1062">
        <f>SUM(AB20:AB23,AB12:AB18)</f>
        <v>54.902000000000001</v>
      </c>
      <c r="AC24" s="1062">
        <f>SUM(AC20:AC23,AC12:AC18)</f>
        <v>49.275000000000006</v>
      </c>
      <c r="AD24" s="1062">
        <f>SUM(AD20:AD23,AD12:AD18)</f>
        <v>82.546000000000021</v>
      </c>
      <c r="AE24" s="1053">
        <f>SUM(AE20:AE23,AE12:AE18)</f>
        <v>234.00300000000004</v>
      </c>
      <c r="AF24" s="383"/>
      <c r="AG24" s="1061">
        <f>SUM(AG20:AG23,AG12:AG18)</f>
        <v>15.259999999999998</v>
      </c>
      <c r="AH24" s="1062">
        <f>SUM(AH20:AH23,AH12:AH18)</f>
        <v>77.413000000000011</v>
      </c>
      <c r="AI24" s="1062">
        <f>SUM(AI20:AI23,AI12:AI18)</f>
        <v>21.104000000000003</v>
      </c>
      <c r="AJ24" s="1062">
        <f>SUM(AJ20:AJ23,AJ12:AJ18)</f>
        <v>39.798000000000009</v>
      </c>
      <c r="AK24" s="1053">
        <f>SUM(AK20:AK23,AK12:AK18)</f>
        <v>153.57499999999999</v>
      </c>
      <c r="AL24" s="383"/>
      <c r="AM24" s="1061">
        <f>SUM(AM20:AM23,AM12:AM18)</f>
        <v>11.117999999999991</v>
      </c>
      <c r="AN24" s="1062">
        <f>SUM(AN20:AN23,AN12:AN18)</f>
        <v>28.807000000000006</v>
      </c>
      <c r="AO24" s="1062">
        <f>SUM(AO20:AO23,AO12:AO18)</f>
        <v>47.054000000000016</v>
      </c>
      <c r="AP24" s="1062">
        <f>SUM(AP20:AP23,AP12:AP18)</f>
        <v>71.073999999999984</v>
      </c>
      <c r="AQ24" s="1053">
        <f>SUM(AQ20:AQ23,AQ12:AQ18)</f>
        <v>158.053</v>
      </c>
      <c r="AR24" s="383"/>
      <c r="AS24" s="1061">
        <f>SUM(AS20:AS23,AS12:AS18)</f>
        <v>67.918999999999997</v>
      </c>
      <c r="AT24" s="1062">
        <f>SUM(AT20:AT23,AT12:AT18)</f>
        <v>54.651000000000003</v>
      </c>
      <c r="AU24" s="1062">
        <f>SUM(AU20:AU23,AU12:AU18)</f>
        <v>63.086999999999996</v>
      </c>
      <c r="AV24" s="1567">
        <f>SUM(AV20:AV23,AV12:AV18)</f>
        <v>96.611000000000004</v>
      </c>
      <c r="AW24" s="1053">
        <f>SUM(AW20:AW23,AW12:AW18)</f>
        <v>282.26799999999997</v>
      </c>
      <c r="AX24" s="383"/>
      <c r="AY24" s="1681">
        <f>SUM(AY20:AY23,AY12:AY18)</f>
        <v>37.647999999999996</v>
      </c>
      <c r="AZ24" s="1062">
        <f>SUM(AZ20:AZ23,AZ12:AZ18)</f>
        <v>63.513000000000019</v>
      </c>
      <c r="BA24" s="1062">
        <f>SUM(BA20:BA23,BA12:BA18)</f>
        <v>60.767999999999986</v>
      </c>
      <c r="BB24" s="1567">
        <f>SUM(BB20:BB23,BB12:BB18)</f>
        <v>125.65200000000002</v>
      </c>
      <c r="BC24" s="1053">
        <f>SUM(BC20:BC23,BC12:BC18)</f>
        <v>287.58099999999996</v>
      </c>
      <c r="BD24" s="383"/>
      <c r="BE24" s="1681">
        <f>SUM(BE20:BE23,BE12:BE18)</f>
        <v>32.079000000000001</v>
      </c>
      <c r="BF24" s="1062">
        <f>SUM(BF20:BF23,BF12:BF18)</f>
        <v>93.602999999999994</v>
      </c>
      <c r="BG24" s="1062">
        <f>SUM(BG20:BG23,BG12:BG18)</f>
        <v>73.236000000000018</v>
      </c>
      <c r="BH24" s="1567">
        <f>SUM(BH20:BH23,BH12:BH18)</f>
        <v>124.85799999999999</v>
      </c>
      <c r="BI24" s="1053">
        <f>SUM(BI20:BI23,BI12:BI18)</f>
        <v>323.77600000000007</v>
      </c>
      <c r="BJ24" s="383"/>
      <c r="BK24" s="1681">
        <f>SUM(BK20:BK23,BK12:BK18)</f>
        <v>41.202000000000012</v>
      </c>
      <c r="BL24" s="1062">
        <f>SUM(BL20:BL23,BL12:BL18)</f>
        <v>54.444000000000003</v>
      </c>
      <c r="BM24" s="1062">
        <f>SUM(BM20:BM23,BM12:BM18)</f>
        <v>69.516999999999996</v>
      </c>
      <c r="BN24" s="1567">
        <f>SUM(BN20:BN23,BN12:BN18)</f>
        <v>126.99199999999998</v>
      </c>
      <c r="BO24" s="1053">
        <f>SUM(BO20:BO23,BO12:BO18)</f>
        <v>292.15499999999997</v>
      </c>
      <c r="BP24" s="383"/>
      <c r="BQ24" s="1061">
        <f>SUM(BQ20:BQ23,BQ12:BQ18)</f>
        <v>142.8906133770825</v>
      </c>
      <c r="BR24" s="1062">
        <f>SUM(BR20:BR23,BR12:BR18)</f>
        <v>71.632026123400166</v>
      </c>
      <c r="BS24" s="1062">
        <f>SUM(BS20:BS23,BS12:BS18)</f>
        <v>122.83722907798355</v>
      </c>
      <c r="BT24" s="1062">
        <f>SUM(BT20:BT23,BT12:BT18)</f>
        <v>138.91167899967309</v>
      </c>
      <c r="BU24" s="1053">
        <f>SUM(BU20:BU23,BU12:BU18)</f>
        <v>476.2715475781394</v>
      </c>
      <c r="BV24" s="383"/>
      <c r="BW24" s="1061">
        <f>SUM(BW20:BW23,BW12:BW18)</f>
        <v>108.10573028069007</v>
      </c>
      <c r="BX24" s="1062">
        <f>SUM(BX20:BX23,BX12:BX18)</f>
        <v>82.214773191718024</v>
      </c>
      <c r="BY24" s="1062">
        <f>SUM(BY20:BY23,BY12:BY18)</f>
        <v>142.28035220340357</v>
      </c>
      <c r="BZ24" s="1062">
        <f>SUM(BZ20:BZ23,BZ12:BZ18)</f>
        <v>152.15002935235583</v>
      </c>
      <c r="CA24" s="1053">
        <f>SUM(CA20:CA23,CA12:CA18)</f>
        <v>484.75088502816749</v>
      </c>
      <c r="CB24" s="383"/>
      <c r="CC24" s="1061">
        <f>SUM(CC20:CC23,CC12:CC18)</f>
        <v>132.77059222430441</v>
      </c>
      <c r="CD24" s="1062">
        <f>SUM(CD20:CD23,CD12:CD18)</f>
        <v>99.764526187504856</v>
      </c>
      <c r="CE24" s="1062">
        <f>SUM(CE20:CE23,CE12:CE18)</f>
        <v>172.0265863046661</v>
      </c>
      <c r="CF24" s="1062">
        <f>SUM(CF20:CF23,CF12:CF18)</f>
        <v>177.73061675686245</v>
      </c>
      <c r="CG24" s="1053">
        <f>SUM(CG20:CG23,CG12:CG18)</f>
        <v>582.29232147333789</v>
      </c>
      <c r="CH24" s="383"/>
      <c r="CI24" s="1061">
        <f>SUM(CI20:CI23,CI12:CI18)</f>
        <v>174.39293914237177</v>
      </c>
      <c r="CJ24" s="1062">
        <f>SUM(CJ20:CJ23,CJ12:CJ18)</f>
        <v>99.875321445862269</v>
      </c>
      <c r="CK24" s="1062">
        <f>SUM(CK20:CK23,CK12:CK18)</f>
        <v>179.36726740907824</v>
      </c>
      <c r="CL24" s="1062">
        <f>SUM(CL20:CL23,CL12:CL18)</f>
        <v>176.73810025099337</v>
      </c>
      <c r="CM24" s="1053">
        <f>SUM(CM20:CM23,CM12:CM18)</f>
        <v>630.37362824830564</v>
      </c>
      <c r="CN24" s="1026"/>
      <c r="CO24" s="1026"/>
      <c r="CP24" s="1026"/>
    </row>
    <row r="25" spans="1:94">
      <c r="A25" s="1698" t="s">
        <v>352</v>
      </c>
      <c r="B25" s="1635" t="s">
        <v>79</v>
      </c>
      <c r="C25" s="1052">
        <v>-0.13100000000000001</v>
      </c>
      <c r="D25" s="1044">
        <f>0.246-C25</f>
        <v>0.377</v>
      </c>
      <c r="E25" s="1044">
        <f>-0.114-SUM(C25:D25)</f>
        <v>-0.36</v>
      </c>
      <c r="F25" s="1047">
        <f>16.223-SUM(C25:E25)</f>
        <v>16.337</v>
      </c>
      <c r="G25" s="1053">
        <f t="shared" si="4"/>
        <v>16.222999999999999</v>
      </c>
      <c r="H25" s="383"/>
      <c r="I25" s="1052">
        <v>-9.2569999999999997</v>
      </c>
      <c r="J25" s="1044">
        <f>-1.884-I25</f>
        <v>7.3729999999999993</v>
      </c>
      <c r="K25" s="1044">
        <f>8.247-J25-I25</f>
        <v>10.131</v>
      </c>
      <c r="L25" s="1047">
        <f>5.103-SUM(I25:K25)</f>
        <v>-3.1440000000000001</v>
      </c>
      <c r="M25" s="1053">
        <f t="shared" si="5"/>
        <v>5.1029999999999998</v>
      </c>
      <c r="N25" s="383"/>
      <c r="O25" s="1052">
        <v>-3.0680000000000001</v>
      </c>
      <c r="P25" s="1044">
        <f>-6.992-O25</f>
        <v>-3.9239999999999999</v>
      </c>
      <c r="Q25" s="1044">
        <f>13.459-P25-O25</f>
        <v>20.451000000000001</v>
      </c>
      <c r="R25" s="1047">
        <f>-9.551-SUM(O25:Q25)</f>
        <v>-23.009999999999998</v>
      </c>
      <c r="S25" s="1053">
        <f t="shared" si="6"/>
        <v>-9.5509999999999984</v>
      </c>
      <c r="T25" s="383"/>
      <c r="U25" s="1052">
        <v>-1.845</v>
      </c>
      <c r="V25" s="1044">
        <f>6.021-U25</f>
        <v>7.8659999999999997</v>
      </c>
      <c r="W25" s="1044">
        <f>14.392-V25-U25</f>
        <v>8.3710000000000004</v>
      </c>
      <c r="X25" s="1047">
        <f>-2.95-SUM(U25:W25)</f>
        <v>-17.341999999999999</v>
      </c>
      <c r="Y25" s="1053">
        <f t="shared" si="7"/>
        <v>-2.9499999999999993</v>
      </c>
      <c r="Z25" s="383"/>
      <c r="AA25" s="1052">
        <v>-4.6289999999999996</v>
      </c>
      <c r="AB25" s="1044">
        <f>-7.631-AA25</f>
        <v>-3.0020000000000007</v>
      </c>
      <c r="AC25" s="1044">
        <f>-9.108-SUM(AA25:AB25)</f>
        <v>-1.4770000000000003</v>
      </c>
      <c r="AD25" s="1044">
        <f>-9.129-SUM(AA25:AC25)</f>
        <v>-2.0999999999999019E-2</v>
      </c>
      <c r="AE25" s="1053">
        <f t="shared" si="8"/>
        <v>-9.1289999999999996</v>
      </c>
      <c r="AF25" s="383"/>
      <c r="AG25" s="1052">
        <v>0.27900000000000003</v>
      </c>
      <c r="AH25" s="1044">
        <v>-1.0229999999999999</v>
      </c>
      <c r="AI25" s="1044">
        <v>-0.38700000000000001</v>
      </c>
      <c r="AJ25" s="1044">
        <f>-1.405-SUM(AG25:AI25)</f>
        <v>-0.27400000000000024</v>
      </c>
      <c r="AK25" s="1053">
        <f t="shared" si="9"/>
        <v>-1.405</v>
      </c>
      <c r="AL25" s="383"/>
      <c r="AM25" s="1052">
        <v>-0.187</v>
      </c>
      <c r="AN25" s="1044">
        <f>-1.132-AM25</f>
        <v>-0.94499999999999984</v>
      </c>
      <c r="AO25" s="1044">
        <f>-0.091-SUM(AM25:AN25)</f>
        <v>1.0409999999999999</v>
      </c>
      <c r="AP25" s="1044">
        <f>0.538-SUM(AM25:AO25)</f>
        <v>0.629</v>
      </c>
      <c r="AQ25" s="1053">
        <f t="shared" si="10"/>
        <v>0.53800000000000003</v>
      </c>
      <c r="AR25" s="383"/>
      <c r="AS25" s="1052">
        <v>-0.20799999999999999</v>
      </c>
      <c r="AT25" s="1369">
        <f>-0.464-AS25</f>
        <v>-0.25600000000000001</v>
      </c>
      <c r="AU25" s="1369">
        <f>-0.624-SUM(AS25:AT25)</f>
        <v>-0.16000000000000003</v>
      </c>
      <c r="AV25" s="1369">
        <f>-0.671-SUM(AS25:AU25)</f>
        <v>-4.7000000000000042E-2</v>
      </c>
      <c r="AW25" s="1053">
        <f t="shared" si="11"/>
        <v>-0.67100000000000004</v>
      </c>
      <c r="AX25" s="383"/>
      <c r="AY25" s="1678">
        <v>1.4999999999999999E-2</v>
      </c>
      <c r="AZ25" s="1369">
        <f>-0.027-AY25</f>
        <v>-4.1999999999999996E-2</v>
      </c>
      <c r="BA25" s="1369">
        <f>-0.07-SUM(AY25:AZ25)</f>
        <v>-4.300000000000001E-2</v>
      </c>
      <c r="BB25" s="1369">
        <f>-0.483-SUM(AY25:BA25)</f>
        <v>-0.41299999999999998</v>
      </c>
      <c r="BC25" s="1053">
        <f>SUM(AY25:BB25)</f>
        <v>-0.48299999999999998</v>
      </c>
      <c r="BD25" s="383"/>
      <c r="BE25" s="1678">
        <v>-3.9E-2</v>
      </c>
      <c r="BF25" s="1369">
        <f>2.596-BE25</f>
        <v>2.6350000000000002</v>
      </c>
      <c r="BG25" s="1369">
        <f>2.974-SUM(BE25:BF25)</f>
        <v>0.37800000000000011</v>
      </c>
      <c r="BH25" s="1369">
        <f>26.839-SUM(BE25:BG25)</f>
        <v>23.864999999999998</v>
      </c>
      <c r="BI25" s="1053">
        <f>SUM(BE25:BH25)</f>
        <v>26.838999999999999</v>
      </c>
      <c r="BJ25" s="383"/>
      <c r="BK25" s="1678">
        <v>12.534000000000001</v>
      </c>
      <c r="BL25" s="1369">
        <f>6.207-BK25</f>
        <v>-6.3270000000000008</v>
      </c>
      <c r="BM25" s="1369">
        <f>-4.806-SUM(BK25:BL25)</f>
        <v>-11.013</v>
      </c>
      <c r="BN25" s="1369">
        <f>-3.702-SUM(BK25:BM25)</f>
        <v>1.1040000000000001</v>
      </c>
      <c r="BO25" s="1053">
        <f>SUM(BK25:BN25)</f>
        <v>-3.702</v>
      </c>
      <c r="BP25" s="383"/>
      <c r="BQ25" s="1052">
        <v>0</v>
      </c>
      <c r="BR25" s="1044">
        <v>0</v>
      </c>
      <c r="BS25" s="1044">
        <v>0</v>
      </c>
      <c r="BT25" s="1044">
        <v>0</v>
      </c>
      <c r="BU25" s="1053">
        <f>SUM(BQ25:BT25)</f>
        <v>0</v>
      </c>
      <c r="BV25" s="383"/>
      <c r="BW25" s="1052">
        <v>0</v>
      </c>
      <c r="BX25" s="1044">
        <v>0</v>
      </c>
      <c r="BY25" s="1044">
        <v>0</v>
      </c>
      <c r="BZ25" s="1044">
        <v>0</v>
      </c>
      <c r="CA25" s="1053">
        <f>SUM(BW25:BZ25)</f>
        <v>0</v>
      </c>
      <c r="CB25" s="383"/>
      <c r="CC25" s="1052">
        <v>0</v>
      </c>
      <c r="CD25" s="1044">
        <v>0</v>
      </c>
      <c r="CE25" s="1044">
        <v>0</v>
      </c>
      <c r="CF25" s="1044">
        <v>0</v>
      </c>
      <c r="CG25" s="1053">
        <f>SUM(CC25:CF25)</f>
        <v>0</v>
      </c>
      <c r="CH25" s="383"/>
      <c r="CI25" s="1052">
        <v>0</v>
      </c>
      <c r="CJ25" s="1044">
        <v>0</v>
      </c>
      <c r="CK25" s="1044">
        <v>0</v>
      </c>
      <c r="CL25" s="1044">
        <v>0</v>
      </c>
      <c r="CM25" s="1053">
        <f>SUM(CI25:CL25)</f>
        <v>0</v>
      </c>
      <c r="CN25" s="1026"/>
      <c r="CO25" s="1026"/>
      <c r="CP25" s="1026"/>
    </row>
    <row r="26" spans="1:94">
      <c r="A26" s="1700" t="s">
        <v>353</v>
      </c>
      <c r="B26" s="1749" t="s">
        <v>79</v>
      </c>
      <c r="C26" s="1064">
        <f>C24+C25</f>
        <v>17.251999999999999</v>
      </c>
      <c r="D26" s="1065">
        <f>D24+D25</f>
        <v>69.734999999999999</v>
      </c>
      <c r="E26" s="1065">
        <f>E24+E25</f>
        <v>23.372</v>
      </c>
      <c r="F26" s="1065">
        <f>F24+F25</f>
        <v>94.768000000000001</v>
      </c>
      <c r="G26" s="1066">
        <f>G24+G25</f>
        <v>205.12700000000001</v>
      </c>
      <c r="H26" s="1065"/>
      <c r="I26" s="1064">
        <f>I24+I25</f>
        <v>15.605000000000002</v>
      </c>
      <c r="J26" s="1065">
        <f>J24+J25</f>
        <v>79.256999999999991</v>
      </c>
      <c r="K26" s="1065">
        <f>K24+K25</f>
        <v>32.406999999999996</v>
      </c>
      <c r="L26" s="1065">
        <f>L24+L25</f>
        <v>90.575000000000017</v>
      </c>
      <c r="M26" s="1066">
        <f>M24+M25</f>
        <v>217.84399999999999</v>
      </c>
      <c r="N26" s="1065"/>
      <c r="O26" s="1064">
        <f>O24+O25</f>
        <v>14.945000000000006</v>
      </c>
      <c r="P26" s="1065">
        <f>P24+P25</f>
        <v>36.274999999999999</v>
      </c>
      <c r="Q26" s="1065">
        <f>Q24+Q25</f>
        <v>34.402999999999992</v>
      </c>
      <c r="R26" s="1065">
        <f>R24+R25</f>
        <v>63.099000000000011</v>
      </c>
      <c r="S26" s="1066">
        <f>S24+S25</f>
        <v>148.72200000000004</v>
      </c>
      <c r="T26" s="1065"/>
      <c r="U26" s="1064">
        <f>U24+U25</f>
        <v>49.392000000000003</v>
      </c>
      <c r="V26" s="1065">
        <f>V24+V25</f>
        <v>70.667000000000002</v>
      </c>
      <c r="W26" s="1065">
        <f>W24+W25</f>
        <v>15.272000000000004</v>
      </c>
      <c r="X26" s="1065">
        <f>X24+X25</f>
        <v>28.921999999999947</v>
      </c>
      <c r="Y26" s="1066">
        <f>Y24+Y25</f>
        <v>164.25299999999996</v>
      </c>
      <c r="Z26" s="1065"/>
      <c r="AA26" s="1064">
        <f>AA24+AA25</f>
        <v>42.651000000000003</v>
      </c>
      <c r="AB26" s="1065">
        <f>AB24+AB25</f>
        <v>51.9</v>
      </c>
      <c r="AC26" s="1065">
        <f>AC24+AC25</f>
        <v>47.798000000000002</v>
      </c>
      <c r="AD26" s="1065">
        <f>AD24+AD25</f>
        <v>82.52500000000002</v>
      </c>
      <c r="AE26" s="1066">
        <f>AE24+AE25</f>
        <v>224.87400000000005</v>
      </c>
      <c r="AF26" s="1065"/>
      <c r="AG26" s="1064">
        <f>AG24+AG25</f>
        <v>15.538999999999998</v>
      </c>
      <c r="AH26" s="1065">
        <f>AH24+AH25</f>
        <v>76.390000000000015</v>
      </c>
      <c r="AI26" s="1065">
        <f>AI24+AI25</f>
        <v>20.717000000000002</v>
      </c>
      <c r="AJ26" s="1065">
        <f>AJ24+AJ25</f>
        <v>39.524000000000008</v>
      </c>
      <c r="AK26" s="1066">
        <f>AK24+AK25</f>
        <v>152.16999999999999</v>
      </c>
      <c r="AL26" s="1065"/>
      <c r="AM26" s="1064">
        <f>AM24+AM25</f>
        <v>10.930999999999992</v>
      </c>
      <c r="AN26" s="1065">
        <f>AN24+AN25</f>
        <v>27.862000000000005</v>
      </c>
      <c r="AO26" s="1065">
        <f>AO24+AO25</f>
        <v>48.095000000000013</v>
      </c>
      <c r="AP26" s="1065">
        <f>AP24+AP25</f>
        <v>71.702999999999989</v>
      </c>
      <c r="AQ26" s="1066">
        <f>AQ24+AQ25</f>
        <v>158.59100000000001</v>
      </c>
      <c r="AR26" s="1065"/>
      <c r="AS26" s="1064">
        <f>AS24+AS25</f>
        <v>67.710999999999999</v>
      </c>
      <c r="AT26" s="1065">
        <f>AT24+AT25</f>
        <v>54.395000000000003</v>
      </c>
      <c r="AU26" s="1065">
        <f>AU24+AU25</f>
        <v>62.927</v>
      </c>
      <c r="AV26" s="1568">
        <f>AV24+AV25</f>
        <v>96.564000000000007</v>
      </c>
      <c r="AW26" s="1572">
        <f>AW24+AW25</f>
        <v>281.59699999999998</v>
      </c>
      <c r="AX26" s="1065"/>
      <c r="AY26" s="1682">
        <f>AY24+AY25</f>
        <v>37.662999999999997</v>
      </c>
      <c r="AZ26" s="1065">
        <f>AZ24+AZ25</f>
        <v>63.471000000000018</v>
      </c>
      <c r="BA26" s="1065">
        <f>BA24+BA25</f>
        <v>60.724999999999987</v>
      </c>
      <c r="BB26" s="1065">
        <f>BB24+BB25</f>
        <v>125.23900000000002</v>
      </c>
      <c r="BC26" s="1066">
        <f>BC24+BC25</f>
        <v>287.09799999999996</v>
      </c>
      <c r="BD26" s="1065"/>
      <c r="BE26" s="1682">
        <f>BE24+BE25</f>
        <v>32.04</v>
      </c>
      <c r="BF26" s="1065">
        <f>BF24+BF25</f>
        <v>96.238</v>
      </c>
      <c r="BG26" s="1065">
        <f>BG24+BG25</f>
        <v>73.614000000000019</v>
      </c>
      <c r="BH26" s="1065">
        <f>BH24+BH25</f>
        <v>148.72299999999998</v>
      </c>
      <c r="BI26" s="1066">
        <f>BI24+BI25</f>
        <v>350.61500000000007</v>
      </c>
      <c r="BJ26" s="1065"/>
      <c r="BK26" s="1682">
        <f>BK24+BK25</f>
        <v>53.736000000000011</v>
      </c>
      <c r="BL26" s="1065">
        <f>BL24+BL25</f>
        <v>48.117000000000004</v>
      </c>
      <c r="BM26" s="1065">
        <f>BM24+BM25</f>
        <v>58.503999999999998</v>
      </c>
      <c r="BN26" s="1065">
        <f>BN24+BN25</f>
        <v>128.09599999999998</v>
      </c>
      <c r="BO26" s="1066">
        <f>BO24+BO25</f>
        <v>288.45299999999997</v>
      </c>
      <c r="BP26" s="1065"/>
      <c r="BQ26" s="1064">
        <f>BQ24+BQ25</f>
        <v>142.8906133770825</v>
      </c>
      <c r="BR26" s="1065">
        <f>BR24+BR25</f>
        <v>71.632026123400166</v>
      </c>
      <c r="BS26" s="1065">
        <f>BS24+BS25</f>
        <v>122.83722907798355</v>
      </c>
      <c r="BT26" s="1065">
        <f>BT24+BT25</f>
        <v>138.91167899967309</v>
      </c>
      <c r="BU26" s="1066">
        <f>BU24+BU25</f>
        <v>476.2715475781394</v>
      </c>
      <c r="BV26" s="1065"/>
      <c r="BW26" s="1064">
        <f>BW24+BW25</f>
        <v>108.10573028069007</v>
      </c>
      <c r="BX26" s="1065">
        <f>BX24+BX25</f>
        <v>82.214773191718024</v>
      </c>
      <c r="BY26" s="1065">
        <f>BY24+BY25</f>
        <v>142.28035220340357</v>
      </c>
      <c r="BZ26" s="1065">
        <f>BZ24+BZ25</f>
        <v>152.15002935235583</v>
      </c>
      <c r="CA26" s="1066">
        <f>CA24+CA25</f>
        <v>484.75088502816749</v>
      </c>
      <c r="CB26" s="1065"/>
      <c r="CC26" s="1064">
        <f>CC24+CC25</f>
        <v>132.77059222430441</v>
      </c>
      <c r="CD26" s="1065">
        <f>CD24+CD25</f>
        <v>99.764526187504856</v>
      </c>
      <c r="CE26" s="1065">
        <f>CE24+CE25</f>
        <v>172.0265863046661</v>
      </c>
      <c r="CF26" s="1065">
        <f>CF24+CF25</f>
        <v>177.73061675686245</v>
      </c>
      <c r="CG26" s="1066">
        <f>CG24+CG25</f>
        <v>582.29232147333789</v>
      </c>
      <c r="CH26" s="1065"/>
      <c r="CI26" s="1064">
        <f>CI24+CI25</f>
        <v>174.39293914237177</v>
      </c>
      <c r="CJ26" s="1065">
        <f>CJ24+CJ25</f>
        <v>99.875321445862269</v>
      </c>
      <c r="CK26" s="1065">
        <f>CK24+CK25</f>
        <v>179.36726740907824</v>
      </c>
      <c r="CL26" s="1065">
        <f>CL24+CL25</f>
        <v>176.73810025099337</v>
      </c>
      <c r="CM26" s="1066">
        <f>CM24+CM25</f>
        <v>630.37362824830564</v>
      </c>
      <c r="CN26" s="1026"/>
      <c r="CO26" s="1026"/>
      <c r="CP26" s="1026"/>
    </row>
    <row r="27" spans="1:94">
      <c r="A27" s="1701"/>
      <c r="B27" s="1067"/>
      <c r="C27" s="1068"/>
      <c r="D27" s="1069"/>
      <c r="E27" s="1069"/>
      <c r="F27" s="1069"/>
      <c r="G27" s="1070"/>
      <c r="H27" s="1069"/>
      <c r="I27" s="1068"/>
      <c r="J27" s="1069"/>
      <c r="K27" s="1069"/>
      <c r="L27" s="1069"/>
      <c r="M27" s="1070"/>
      <c r="N27" s="1069"/>
      <c r="O27" s="1068"/>
      <c r="P27" s="1069"/>
      <c r="Q27" s="1069"/>
      <c r="R27" s="1069"/>
      <c r="S27" s="1070"/>
      <c r="T27" s="1069"/>
      <c r="U27" s="1068"/>
      <c r="V27" s="1069"/>
      <c r="W27" s="1069"/>
      <c r="X27" s="1069"/>
      <c r="Y27" s="1070"/>
      <c r="Z27" s="1069"/>
      <c r="AA27" s="1068"/>
      <c r="AB27" s="1069"/>
      <c r="AC27" s="1069"/>
      <c r="AD27" s="1069"/>
      <c r="AE27" s="1070"/>
      <c r="AF27" s="1069"/>
      <c r="AG27" s="1068"/>
      <c r="AH27" s="1069"/>
      <c r="AI27" s="1069"/>
      <c r="AJ27" s="1069"/>
      <c r="AK27" s="1070"/>
      <c r="AL27" s="1069"/>
      <c r="AM27" s="1068"/>
      <c r="AN27" s="1069"/>
      <c r="AO27" s="1069"/>
      <c r="AP27" s="1069"/>
      <c r="AQ27" s="1070"/>
      <c r="AR27" s="1069"/>
      <c r="AS27" s="1068"/>
      <c r="AT27" s="1069"/>
      <c r="AU27" s="1069"/>
      <c r="AV27" s="1569"/>
      <c r="AW27" s="1570"/>
      <c r="AX27" s="1069"/>
      <c r="AY27" s="1683"/>
      <c r="AZ27" s="1069"/>
      <c r="BA27" s="1069"/>
      <c r="BB27" s="1069"/>
      <c r="BC27" s="1736"/>
      <c r="BD27" s="1069"/>
      <c r="BE27" s="1683"/>
      <c r="BF27" s="1069"/>
      <c r="BG27" s="1069"/>
      <c r="BH27" s="1069"/>
      <c r="BI27" s="1736"/>
      <c r="BJ27" s="1069"/>
      <c r="BK27" s="1683"/>
      <c r="BL27" s="1069"/>
      <c r="BM27" s="1069"/>
      <c r="BN27" s="1069"/>
      <c r="BO27" s="1736"/>
      <c r="BP27" s="1069"/>
      <c r="BQ27" s="1068"/>
      <c r="BR27" s="1069"/>
      <c r="BS27" s="1069"/>
      <c r="BT27" s="1069"/>
      <c r="BU27" s="1070"/>
      <c r="BV27" s="1069"/>
      <c r="BW27" s="1068"/>
      <c r="BX27" s="1069"/>
      <c r="BY27" s="1069"/>
      <c r="BZ27" s="1069"/>
      <c r="CA27" s="1070"/>
      <c r="CB27" s="1069"/>
      <c r="CC27" s="1068"/>
      <c r="CD27" s="1069"/>
      <c r="CE27" s="1069"/>
      <c r="CF27" s="1069"/>
      <c r="CG27" s="1070"/>
      <c r="CH27" s="1069"/>
      <c r="CI27" s="1068"/>
      <c r="CJ27" s="1069"/>
      <c r="CK27" s="1069"/>
      <c r="CL27" s="1069"/>
      <c r="CM27" s="1070"/>
      <c r="CN27" s="1026"/>
      <c r="CO27" s="1026"/>
      <c r="CP27" s="1026"/>
    </row>
    <row r="28" spans="1:94">
      <c r="A28" s="1699" t="s">
        <v>354</v>
      </c>
      <c r="B28" s="1071"/>
      <c r="C28" s="1056"/>
      <c r="D28" s="399"/>
      <c r="E28" s="399"/>
      <c r="F28" s="1047"/>
      <c r="G28" s="1046"/>
      <c r="H28" s="399"/>
      <c r="I28" s="1056"/>
      <c r="J28" s="399"/>
      <c r="K28" s="399"/>
      <c r="L28" s="1047"/>
      <c r="M28" s="1046"/>
      <c r="N28" s="399"/>
      <c r="O28" s="1056"/>
      <c r="P28" s="399"/>
      <c r="Q28" s="399"/>
      <c r="R28" s="1047"/>
      <c r="S28" s="1046"/>
      <c r="T28" s="399"/>
      <c r="U28" s="1056"/>
      <c r="V28" s="399"/>
      <c r="W28" s="399"/>
      <c r="X28" s="1047"/>
      <c r="Y28" s="1046"/>
      <c r="Z28" s="399"/>
      <c r="AA28" s="1056"/>
      <c r="AB28" s="399"/>
      <c r="AC28" s="399"/>
      <c r="AD28" s="399"/>
      <c r="AE28" s="1046"/>
      <c r="AF28" s="399"/>
      <c r="AG28" s="1056"/>
      <c r="AH28" s="399"/>
      <c r="AI28" s="399"/>
      <c r="AJ28" s="399"/>
      <c r="AK28" s="1046"/>
      <c r="AL28" s="399"/>
      <c r="AM28" s="1056"/>
      <c r="AN28" s="399"/>
      <c r="AO28" s="399"/>
      <c r="AP28" s="399"/>
      <c r="AQ28" s="1046"/>
      <c r="AR28" s="399"/>
      <c r="AS28" s="1056"/>
      <c r="AT28" s="399"/>
      <c r="AU28" s="399"/>
      <c r="AV28" s="1566"/>
      <c r="AW28" s="1571"/>
      <c r="AX28" s="399"/>
      <c r="AY28" s="1680"/>
      <c r="AZ28" s="399"/>
      <c r="BA28" s="399"/>
      <c r="BB28" s="399"/>
      <c r="BC28" s="1046"/>
      <c r="BD28" s="399"/>
      <c r="BE28" s="1680"/>
      <c r="BF28" s="399"/>
      <c r="BG28" s="399"/>
      <c r="BH28" s="399"/>
      <c r="BI28" s="1046"/>
      <c r="BJ28" s="399"/>
      <c r="BK28" s="1680"/>
      <c r="BL28" s="399"/>
      <c r="BM28" s="399"/>
      <c r="BN28" s="399"/>
      <c r="BO28" s="1046"/>
      <c r="BP28" s="399"/>
      <c r="BQ28" s="1056"/>
      <c r="BR28" s="399"/>
      <c r="BS28" s="399"/>
      <c r="BT28" s="399"/>
      <c r="BU28" s="1046"/>
      <c r="BV28" s="399"/>
      <c r="BW28" s="1056"/>
      <c r="BX28" s="399"/>
      <c r="BY28" s="399"/>
      <c r="BZ28" s="399"/>
      <c r="CA28" s="1046"/>
      <c r="CB28" s="399"/>
      <c r="CC28" s="1056"/>
      <c r="CD28" s="399"/>
      <c r="CE28" s="399"/>
      <c r="CF28" s="399"/>
      <c r="CG28" s="1046"/>
      <c r="CH28" s="399"/>
      <c r="CI28" s="1056"/>
      <c r="CJ28" s="399"/>
      <c r="CK28" s="399"/>
      <c r="CL28" s="399"/>
      <c r="CM28" s="1046"/>
      <c r="CN28" s="1026"/>
      <c r="CO28" s="1026"/>
      <c r="CP28" s="1026"/>
    </row>
    <row r="29" spans="1:94">
      <c r="A29" s="868" t="s">
        <v>411</v>
      </c>
      <c r="B29" s="917"/>
      <c r="C29" s="1052">
        <v>-11.393000000000001</v>
      </c>
      <c r="D29" s="1044">
        <f>-27.517-C29</f>
        <v>-16.123999999999999</v>
      </c>
      <c r="E29" s="1044">
        <f>-37.988-SUM(C29:D29)</f>
        <v>-10.471</v>
      </c>
      <c r="F29" s="1047">
        <f>-44.514-SUM(C29:E29)</f>
        <v>-6.5260000000000034</v>
      </c>
      <c r="G29" s="1053">
        <f t="shared" ref="G29:G34" si="19">SUM(C29:F29)</f>
        <v>-44.514000000000003</v>
      </c>
      <c r="H29" s="1059"/>
      <c r="I29" s="1052">
        <v>-6.7030000000000003</v>
      </c>
      <c r="J29" s="1044">
        <f>-17.896-I29</f>
        <v>-11.193000000000001</v>
      </c>
      <c r="K29" s="1044">
        <f>-31.622-J29-I29</f>
        <v>-13.725999999999999</v>
      </c>
      <c r="L29" s="1047">
        <f>-43.325-SUM(I29:K29)</f>
        <v>-11.703000000000003</v>
      </c>
      <c r="M29" s="1053">
        <f t="shared" ref="M29:M34" si="20">SUM(I29:L29)</f>
        <v>-43.325000000000003</v>
      </c>
      <c r="N29" s="1059"/>
      <c r="O29" s="1052">
        <v>-5.1230000000000002</v>
      </c>
      <c r="P29" s="1044">
        <f>-12.643-O29</f>
        <v>-7.5200000000000005</v>
      </c>
      <c r="Q29" s="1044">
        <f>-14.82-P29-O29</f>
        <v>-2.1769999999999996</v>
      </c>
      <c r="R29" s="1047">
        <f>-31.686-SUM(O29:Q29)</f>
        <v>-16.866</v>
      </c>
      <c r="S29" s="1053">
        <f t="shared" ref="S29:S34" si="21">SUM(O29:R29)</f>
        <v>-31.686</v>
      </c>
      <c r="T29" s="1059"/>
      <c r="U29" s="1052">
        <v>-7.5010000000000003</v>
      </c>
      <c r="V29" s="1044">
        <f>-13.832-U29</f>
        <v>-6.3310000000000004</v>
      </c>
      <c r="W29" s="1044">
        <f>-22.882-V29-U29</f>
        <v>-9.0500000000000007</v>
      </c>
      <c r="X29" s="1047">
        <f>-33.646-SUM(U29:W29)</f>
        <v>-10.763999999999999</v>
      </c>
      <c r="Y29" s="1053">
        <f t="shared" ref="Y29:Y34" si="22">SUM(U29:X29)</f>
        <v>-33.646000000000001</v>
      </c>
      <c r="Z29" s="1059"/>
      <c r="AA29" s="1052">
        <v>-7.681</v>
      </c>
      <c r="AB29" s="1044">
        <f>-15.97-AA29</f>
        <v>-8.2890000000000015</v>
      </c>
      <c r="AC29" s="1044">
        <f>-24.979-SUM(AA29:AB29)</f>
        <v>-9.0089999999999968</v>
      </c>
      <c r="AD29" s="1044">
        <f>-30.592-SUM(AA29:AC29)</f>
        <v>-5.6129999999999995</v>
      </c>
      <c r="AE29" s="1053">
        <f t="shared" ref="AE29:AE34" si="23">SUM(AA29:AD29)</f>
        <v>-30.591999999999999</v>
      </c>
      <c r="AF29" s="1059"/>
      <c r="AG29" s="1052">
        <v>-5.2279999999999998</v>
      </c>
      <c r="AH29" s="1044">
        <v>-6.2210000000000001</v>
      </c>
      <c r="AI29" s="1044">
        <v>-12.901</v>
      </c>
      <c r="AJ29" s="1044">
        <f>-42.408-SUM(AG29:AI29)</f>
        <v>-18.058</v>
      </c>
      <c r="AK29" s="1053">
        <f t="shared" ref="AK29:AK34" si="24">SUM(AG29:AJ29)</f>
        <v>-42.408000000000001</v>
      </c>
      <c r="AL29" s="1059"/>
      <c r="AM29" s="1052">
        <v>-11.829000000000001</v>
      </c>
      <c r="AN29" s="1044">
        <f>-22.852-AM29</f>
        <v>-11.023</v>
      </c>
      <c r="AO29" s="1044">
        <f>-31.564-SUM(AM29:AN29)</f>
        <v>-8.7119999999999997</v>
      </c>
      <c r="AP29" s="1044">
        <f>-38.991-SUM(AM29:AO29)</f>
        <v>-7.4269999999999996</v>
      </c>
      <c r="AQ29" s="1053">
        <f t="shared" ref="AQ29:AQ34" si="25">SUM(AM29:AP29)</f>
        <v>-38.991</v>
      </c>
      <c r="AR29" s="1059"/>
      <c r="AS29" s="1052">
        <v>-6.02</v>
      </c>
      <c r="AT29" s="1369">
        <f>-14.447-AS29</f>
        <v>-8.4269999999999996</v>
      </c>
      <c r="AU29" s="1369">
        <f>-22.214-SUM(AS29:AT29)</f>
        <v>-7.7669999999999995</v>
      </c>
      <c r="AV29" s="1369">
        <f>-29.072-SUM(AS29:AU29)</f>
        <v>-6.8580000000000005</v>
      </c>
      <c r="AW29" s="1053">
        <f t="shared" ref="AW29:AW34" si="26">SUM(AS29:AV29)</f>
        <v>-29.071999999999999</v>
      </c>
      <c r="AX29" s="1059"/>
      <c r="AY29" s="1678">
        <v>-4.4790000000000001</v>
      </c>
      <c r="AZ29" s="1369">
        <f>-10.099-AY29</f>
        <v>-5.62</v>
      </c>
      <c r="BA29" s="1369">
        <f>-17.814-SUM(AY29:AZ29)</f>
        <v>-7.7149999999999999</v>
      </c>
      <c r="BB29" s="1369">
        <f>-29.632-SUM(AY29:BA29)</f>
        <v>-11.818000000000001</v>
      </c>
      <c r="BC29" s="1053">
        <f>SUM(AY29:BB29)</f>
        <v>-29.632000000000001</v>
      </c>
      <c r="BD29" s="1059"/>
      <c r="BE29" s="1678">
        <v>-7.8079999999999998</v>
      </c>
      <c r="BF29" s="1369">
        <f>-16.32-BE29</f>
        <v>-8.5120000000000005</v>
      </c>
      <c r="BG29" s="1369">
        <f>-25.311-SUM(BE29:BF29)</f>
        <v>-8.9909999999999997</v>
      </c>
      <c r="BH29" s="1369">
        <f>-31.702-SUM(BE29:BG29)</f>
        <v>-6.3910000000000018</v>
      </c>
      <c r="BI29" s="1053">
        <f>SUM(BE29:BH29)</f>
        <v>-31.702000000000002</v>
      </c>
      <c r="BJ29" s="1059"/>
      <c r="BK29" s="1678">
        <v>-5.9809999999999999</v>
      </c>
      <c r="BL29" s="1369">
        <f>-11.473-BK29</f>
        <v>-5.4920000000000009</v>
      </c>
      <c r="BM29" s="1369">
        <f>-22.362-SUM(BK29:BL29)</f>
        <v>-10.888999999999998</v>
      </c>
      <c r="BN29" s="1369">
        <f>-39.089-SUM(BK29:BM29)</f>
        <v>-16.727</v>
      </c>
      <c r="BO29" s="1053">
        <f>SUM(BK29:BN29)</f>
        <v>-39.088999999999999</v>
      </c>
      <c r="BP29" s="1059"/>
      <c r="BQ29" s="1055">
        <f>-BS!BQ98</f>
        <v>-7.7957460674019021</v>
      </c>
      <c r="BR29" s="383">
        <f>-BS!BR98</f>
        <v>-8.5734081286997643</v>
      </c>
      <c r="BS29" s="383">
        <f>-BS!BS98</f>
        <v>-8.5358457740951152</v>
      </c>
      <c r="BT29" s="383">
        <f>-BS!BT98</f>
        <v>-9.575034111265893</v>
      </c>
      <c r="BU29" s="1053">
        <f>SUM(BQ29:BT29)</f>
        <v>-34.480034081462676</v>
      </c>
      <c r="BV29" s="1059"/>
      <c r="BW29" s="1055">
        <f>-BS!BW98</f>
        <v>-8.2924663051383654</v>
      </c>
      <c r="BX29" s="383">
        <f>-BS!BX98</f>
        <v>-9.1754586503787632</v>
      </c>
      <c r="BY29" s="383">
        <f>-BS!BY98</f>
        <v>-9.1820644823007651</v>
      </c>
      <c r="BZ29" s="383">
        <f>-BS!BZ98</f>
        <v>-10.309675018435351</v>
      </c>
      <c r="CA29" s="1053">
        <f>SUM(BW29:BZ29)</f>
        <v>-36.959664456253243</v>
      </c>
      <c r="CB29" s="1059"/>
      <c r="CC29" s="1055">
        <f>-BS!CC98</f>
        <v>-8.8903375667114641</v>
      </c>
      <c r="CD29" s="383">
        <f>-BS!CD98</f>
        <v>-9.8557777969009734</v>
      </c>
      <c r="CE29" s="383">
        <f>-BS!CE98</f>
        <v>-9.8407811253765729</v>
      </c>
      <c r="CF29" s="383">
        <f>-BS!CF98</f>
        <v>-10.996903204514691</v>
      </c>
      <c r="CG29" s="1053">
        <f>SUM(CC29:CF29)</f>
        <v>-39.583799693503707</v>
      </c>
      <c r="CH29" s="1059"/>
      <c r="CI29" s="1055">
        <f>-BS!CI98</f>
        <v>-9.3675288970957187</v>
      </c>
      <c r="CJ29" s="383">
        <f>-BS!CJ98</f>
        <v>-10.385804840813783</v>
      </c>
      <c r="CK29" s="383">
        <f>-BS!CK98</f>
        <v>-10.407848986622694</v>
      </c>
      <c r="CL29" s="383">
        <f>-BS!CL98</f>
        <v>-11.621617541657841</v>
      </c>
      <c r="CM29" s="1053">
        <f>SUM(CI29:CL29)</f>
        <v>-41.782800266190037</v>
      </c>
      <c r="CN29" s="1026"/>
      <c r="CO29" s="1026"/>
      <c r="CP29" s="1026"/>
    </row>
    <row r="30" spans="1:94" ht="12.75" hidden="1" customHeight="1" outlineLevel="1">
      <c r="A30" s="868" t="s">
        <v>412</v>
      </c>
      <c r="B30" s="917"/>
      <c r="C30" s="1052">
        <v>0</v>
      </c>
      <c r="D30" s="1044">
        <f>0-C30</f>
        <v>0</v>
      </c>
      <c r="E30" s="1044">
        <f>0-SUM(C30:D30)</f>
        <v>0</v>
      </c>
      <c r="F30" s="1047">
        <f>0-SUM(C30:E30)</f>
        <v>0</v>
      </c>
      <c r="G30" s="1053">
        <f t="shared" si="19"/>
        <v>0</v>
      </c>
      <c r="H30" s="1059"/>
      <c r="I30" s="1052">
        <v>0</v>
      </c>
      <c r="J30" s="1044">
        <f>0-I30</f>
        <v>0</v>
      </c>
      <c r="K30" s="1044">
        <f>0.334-J30-I30</f>
        <v>0.33400000000000002</v>
      </c>
      <c r="L30" s="1047">
        <f>0.384-SUM(I30:K30)</f>
        <v>4.9999999999999989E-2</v>
      </c>
      <c r="M30" s="1053">
        <f t="shared" si="20"/>
        <v>0.38400000000000001</v>
      </c>
      <c r="N30" s="1059"/>
      <c r="O30" s="1052">
        <v>1.4119999999999999</v>
      </c>
      <c r="P30" s="1044">
        <f>1.412-O30</f>
        <v>0</v>
      </c>
      <c r="Q30" s="1044">
        <f>1.412-P30-O30</f>
        <v>0</v>
      </c>
      <c r="R30" s="1047">
        <f>1.412-SUM(O30:Q30)</f>
        <v>0</v>
      </c>
      <c r="S30" s="1053">
        <f t="shared" si="21"/>
        <v>1.4119999999999999</v>
      </c>
      <c r="T30" s="1059"/>
      <c r="U30" s="1052">
        <v>0</v>
      </c>
      <c r="V30" s="1044">
        <f>-1.2-U30</f>
        <v>-1.2</v>
      </c>
      <c r="W30" s="1044">
        <f>-1.2-V30-U30</f>
        <v>0</v>
      </c>
      <c r="X30" s="1047">
        <f>-1.12-SUM(U30:W30)</f>
        <v>7.9999999999999849E-2</v>
      </c>
      <c r="Y30" s="1053">
        <f t="shared" si="22"/>
        <v>-1.1200000000000001</v>
      </c>
      <c r="Z30" s="1059"/>
      <c r="AA30" s="1052">
        <v>0</v>
      </c>
      <c r="AB30" s="1044">
        <f>0.42-AA30</f>
        <v>0.42</v>
      </c>
      <c r="AC30" s="1044">
        <f>1.123-SUM(AA30:AB30)</f>
        <v>0.70300000000000007</v>
      </c>
      <c r="AD30" s="1044">
        <f>1.25-SUM(AA30:AC30)</f>
        <v>0.127</v>
      </c>
      <c r="AE30" s="1053">
        <f t="shared" si="23"/>
        <v>1.25</v>
      </c>
      <c r="AF30" s="1059"/>
      <c r="AG30" s="1052"/>
      <c r="AH30" s="1044">
        <v>0.2</v>
      </c>
      <c r="AI30" s="1044">
        <v>0.47</v>
      </c>
      <c r="AJ30" s="1044">
        <f>0.487-SUM(AG30:AI30)</f>
        <v>-0.18299999999999994</v>
      </c>
      <c r="AK30" s="1053">
        <f t="shared" si="24"/>
        <v>0.48699999999999999</v>
      </c>
      <c r="AL30" s="1059"/>
      <c r="AM30" s="1052">
        <v>1.4</v>
      </c>
      <c r="AN30" s="1044">
        <f>0-AM30</f>
        <v>-1.4</v>
      </c>
      <c r="AO30" s="1044">
        <f>0-SUM(AM30:AN30)</f>
        <v>0</v>
      </c>
      <c r="AP30" s="1044">
        <f>0-SUM(AM30:AO30)</f>
        <v>0</v>
      </c>
      <c r="AQ30" s="1053">
        <f t="shared" si="25"/>
        <v>0</v>
      </c>
      <c r="AR30" s="1059"/>
      <c r="AS30" s="1052">
        <v>0</v>
      </c>
      <c r="AT30" s="1369">
        <f>0-AS30</f>
        <v>0</v>
      </c>
      <c r="AU30" s="1369">
        <f>0-SUM(AS30:AT30)</f>
        <v>0</v>
      </c>
      <c r="AV30" s="1369">
        <f>0-SUM(AS30:AU30)</f>
        <v>0</v>
      </c>
      <c r="AW30" s="1053">
        <f t="shared" si="26"/>
        <v>0</v>
      </c>
      <c r="AX30" s="1059"/>
      <c r="AY30" s="1678">
        <v>5.8999999999999997E-2</v>
      </c>
      <c r="AZ30" s="1369">
        <f>0.059-AY30</f>
        <v>0</v>
      </c>
      <c r="BA30" s="1369">
        <f>0.059-SUM(AY30:AZ30)</f>
        <v>0</v>
      </c>
      <c r="BB30" s="1369">
        <f>0.059-SUM(AY30:BA30)</f>
        <v>0</v>
      </c>
      <c r="BC30" s="1053">
        <f>SUM(AY30:BB30)</f>
        <v>5.8999999999999997E-2</v>
      </c>
      <c r="BD30" s="1059"/>
      <c r="BE30" s="1678">
        <v>0</v>
      </c>
      <c r="BF30" s="1369">
        <f>-2-BE30</f>
        <v>-2</v>
      </c>
      <c r="BG30" s="1369">
        <f>-2-SUM(BE30:BF30)</f>
        <v>0</v>
      </c>
      <c r="BH30" s="1369">
        <f>-16.959-SUM(BE30:BG30)</f>
        <v>-14.959</v>
      </c>
      <c r="BI30" s="1053">
        <f>SUM(BE30:BH30)</f>
        <v>-16.959</v>
      </c>
      <c r="BJ30" s="1059"/>
      <c r="BK30" s="1678">
        <v>15.153</v>
      </c>
      <c r="BL30" s="1369">
        <f>17.203-BK30</f>
        <v>2.0499999999999989</v>
      </c>
      <c r="BM30" s="1369">
        <f>17.218-SUM(BK30:BL30)</f>
        <v>1.5000000000000568E-2</v>
      </c>
      <c r="BN30" s="1369">
        <f>36.541-SUM(BK30:BM30)</f>
        <v>19.322999999999997</v>
      </c>
      <c r="BO30" s="1053">
        <f>SUM(BK30:BN30)</f>
        <v>36.540999999999997</v>
      </c>
      <c r="BP30" s="1059"/>
      <c r="BQ30" s="1052">
        <v>0</v>
      </c>
      <c r="BR30" s="1044">
        <v>0</v>
      </c>
      <c r="BS30" s="1044">
        <v>0</v>
      </c>
      <c r="BT30" s="1044">
        <v>0</v>
      </c>
      <c r="BU30" s="1053">
        <f>SUM(BQ30:BT30)</f>
        <v>0</v>
      </c>
      <c r="BV30" s="1059"/>
      <c r="BW30" s="1052">
        <v>0</v>
      </c>
      <c r="BX30" s="1044">
        <v>0</v>
      </c>
      <c r="BY30" s="1044">
        <v>0</v>
      </c>
      <c r="BZ30" s="1044">
        <v>0</v>
      </c>
      <c r="CA30" s="1053">
        <f>SUM(BW30:BZ30)</f>
        <v>0</v>
      </c>
      <c r="CB30" s="1059"/>
      <c r="CC30" s="1052">
        <v>0</v>
      </c>
      <c r="CD30" s="1044">
        <v>0</v>
      </c>
      <c r="CE30" s="1044">
        <v>0</v>
      </c>
      <c r="CF30" s="1044">
        <v>0</v>
      </c>
      <c r="CG30" s="1053">
        <f>SUM(CC30:CF30)</f>
        <v>0</v>
      </c>
      <c r="CH30" s="1059"/>
      <c r="CI30" s="1052">
        <v>0</v>
      </c>
      <c r="CJ30" s="1044">
        <v>0</v>
      </c>
      <c r="CK30" s="1044">
        <v>0</v>
      </c>
      <c r="CL30" s="1044">
        <v>0</v>
      </c>
      <c r="CM30" s="1053">
        <f>SUM(CI30:CL30)</f>
        <v>0</v>
      </c>
      <c r="CN30" s="1026"/>
      <c r="CO30" s="1026"/>
      <c r="CP30" s="1026"/>
    </row>
    <row r="31" spans="1:94" collapsed="1">
      <c r="A31" s="868" t="s">
        <v>355</v>
      </c>
      <c r="B31" s="917" t="s">
        <v>79</v>
      </c>
      <c r="C31" s="1052">
        <f>-39.995+0.445</f>
        <v>-39.549999999999997</v>
      </c>
      <c r="D31" s="1044">
        <f>0.58-42.925-C31</f>
        <v>-2.7950000000000017</v>
      </c>
      <c r="E31" s="1044">
        <f>-44.016+1.029-SUM(C31:D31)</f>
        <v>-0.64199999999999591</v>
      </c>
      <c r="F31" s="1047">
        <f>1.365-315.872-SUM(C31:E31)</f>
        <v>-271.52</v>
      </c>
      <c r="G31" s="1053">
        <f t="shared" si="19"/>
        <v>-314.50699999999995</v>
      </c>
      <c r="H31" s="1059"/>
      <c r="I31" s="1052">
        <f>-0.144-76.232</f>
        <v>-76.376000000000005</v>
      </c>
      <c r="J31" s="1044">
        <f>-0.148-86.358-I31</f>
        <v>-10.129999999999995</v>
      </c>
      <c r="K31" s="1044">
        <f>-0.16-87.252-J31-I31</f>
        <v>-0.9059999999999917</v>
      </c>
      <c r="L31" s="1047">
        <f>-91.649-0.167-SUM(I31:K31)</f>
        <v>-4.4040000000000106</v>
      </c>
      <c r="M31" s="1053">
        <f t="shared" si="20"/>
        <v>-91.816000000000003</v>
      </c>
      <c r="N31" s="1059"/>
      <c r="O31" s="1052">
        <v>-28.311</v>
      </c>
      <c r="P31" s="1044">
        <f>-49.222-O31</f>
        <v>-20.911000000000001</v>
      </c>
      <c r="Q31" s="1044">
        <f>-101.926-P31-O31</f>
        <v>-52.704000000000001</v>
      </c>
      <c r="R31" s="1047">
        <f>-122.69-SUM(O31:Q31)</f>
        <v>-20.763999999999996</v>
      </c>
      <c r="S31" s="1053">
        <f t="shared" si="21"/>
        <v>-122.69</v>
      </c>
      <c r="T31" s="1059"/>
      <c r="U31" s="1052">
        <v>-3.089</v>
      </c>
      <c r="V31" s="1044">
        <f>-126.728-U31</f>
        <v>-123.639</v>
      </c>
      <c r="W31" s="1044">
        <f>-148.988-V31-U31</f>
        <v>-22.260000000000005</v>
      </c>
      <c r="X31" s="1047">
        <f>-150.374-SUM(U31:W31)</f>
        <v>-1.3859999999999957</v>
      </c>
      <c r="Y31" s="1053">
        <f t="shared" si="22"/>
        <v>-150.374</v>
      </c>
      <c r="Z31" s="1059"/>
      <c r="AA31" s="1052">
        <v>-56.601999999999997</v>
      </c>
      <c r="AB31" s="1044">
        <f>-310.351-AA31</f>
        <v>-253.749</v>
      </c>
      <c r="AC31" s="1044">
        <f>-311.269-SUM(AA31:AB31)</f>
        <v>-0.91800000000000637</v>
      </c>
      <c r="AD31" s="1044">
        <f>-914.041-SUM(AA31:AC31)</f>
        <v>-602.77200000000005</v>
      </c>
      <c r="AE31" s="1053">
        <f t="shared" si="23"/>
        <v>-914.04100000000005</v>
      </c>
      <c r="AF31" s="1059"/>
      <c r="AG31" s="1052"/>
      <c r="AH31" s="1044"/>
      <c r="AI31" s="1044">
        <v>-6.75</v>
      </c>
      <c r="AJ31" s="1044">
        <f>-40.858-SUM(AG31:AI31)</f>
        <v>-34.107999999999997</v>
      </c>
      <c r="AK31" s="1053">
        <f>SUM(AG31:AJ31)</f>
        <v>-40.857999999999997</v>
      </c>
      <c r="AL31" s="1059"/>
      <c r="AM31" s="1052">
        <v>0</v>
      </c>
      <c r="AN31" s="1044">
        <f>-0.049-AM31</f>
        <v>-4.9000000000000002E-2</v>
      </c>
      <c r="AO31" s="1044">
        <f>-7.049-SUM(AM31:AN31)</f>
        <v>-7</v>
      </c>
      <c r="AP31" s="1044">
        <f>-15.699-SUM(AM31:AO31)</f>
        <v>-8.6499999999999986</v>
      </c>
      <c r="AQ31" s="1053">
        <f>SUM(AM31:AP31)</f>
        <v>-15.698999999999998</v>
      </c>
      <c r="AR31" s="1059"/>
      <c r="AS31" s="1052">
        <v>0</v>
      </c>
      <c r="AT31" s="1369">
        <f>-0.35-AS31</f>
        <v>-0.35</v>
      </c>
      <c r="AU31" s="1369">
        <f>-1.879-SUM(AS31:AT31)</f>
        <v>-1.5289999999999999</v>
      </c>
      <c r="AV31" s="1369">
        <f>-271.477-(SUM(AS31:AU31))</f>
        <v>-269.59799999999996</v>
      </c>
      <c r="AW31" s="1053">
        <f t="shared" si="26"/>
        <v>-271.47699999999998</v>
      </c>
      <c r="AX31" s="1059"/>
      <c r="AY31" s="1678">
        <v>0</v>
      </c>
      <c r="AZ31" s="1369">
        <f>0-AY31</f>
        <v>0</v>
      </c>
      <c r="BA31" s="1369">
        <f>0-SUM(AY31:AZ31)</f>
        <v>0</v>
      </c>
      <c r="BB31" s="1369">
        <f>-72.04-(SUM(AY31:BA31))</f>
        <v>-72.040000000000006</v>
      </c>
      <c r="BC31" s="1053">
        <f>SUM(AY31:BB31)</f>
        <v>-72.040000000000006</v>
      </c>
      <c r="BD31" s="1059"/>
      <c r="BE31" s="1678">
        <v>-10.484</v>
      </c>
      <c r="BF31" s="1369">
        <f>-10.484-BE31</f>
        <v>0</v>
      </c>
      <c r="BG31" s="1369">
        <f>-71.924-SUM(BE31:BF31)</f>
        <v>-61.440000000000005</v>
      </c>
      <c r="BH31" s="1369">
        <f>-71.924-SUM(BE31:BG31)</f>
        <v>0</v>
      </c>
      <c r="BI31" s="1053">
        <f>SUM(BE31:BH31)</f>
        <v>-71.924000000000007</v>
      </c>
      <c r="BJ31" s="1059"/>
      <c r="BK31" s="1678">
        <v>-123.578</v>
      </c>
      <c r="BL31" s="1369">
        <f>-123.578-BK31</f>
        <v>0</v>
      </c>
      <c r="BM31" s="1369">
        <f>-123.578-SUM(BK31:BL31)</f>
        <v>0</v>
      </c>
      <c r="BN31" s="1369">
        <f>-1527.183-SUM(BK31:BM31)</f>
        <v>-1403.605</v>
      </c>
      <c r="BO31" s="1053">
        <f>SUM(BK31:BN31)</f>
        <v>-1527.183</v>
      </c>
      <c r="BP31" s="1059"/>
      <c r="BQ31" s="1052">
        <v>0</v>
      </c>
      <c r="BR31" s="1044">
        <v>0</v>
      </c>
      <c r="BS31" s="1044">
        <v>0</v>
      </c>
      <c r="BT31" s="1044">
        <v>0</v>
      </c>
      <c r="BU31" s="1053">
        <f>SUM(BQ31:BT31)</f>
        <v>0</v>
      </c>
      <c r="BV31" s="1059"/>
      <c r="BW31" s="1052">
        <v>0</v>
      </c>
      <c r="BX31" s="1044">
        <v>0</v>
      </c>
      <c r="BY31" s="1044">
        <v>0</v>
      </c>
      <c r="BZ31" s="1044">
        <v>0</v>
      </c>
      <c r="CA31" s="1053">
        <f>SUM(BW31:BZ31)</f>
        <v>0</v>
      </c>
      <c r="CB31" s="1059"/>
      <c r="CC31" s="1052">
        <v>0</v>
      </c>
      <c r="CD31" s="1044">
        <v>0</v>
      </c>
      <c r="CE31" s="1044">
        <v>0</v>
      </c>
      <c r="CF31" s="1044">
        <v>0</v>
      </c>
      <c r="CG31" s="1053">
        <f>SUM(CC31:CF31)</f>
        <v>0</v>
      </c>
      <c r="CH31" s="1059"/>
      <c r="CI31" s="1052">
        <v>0</v>
      </c>
      <c r="CJ31" s="1044">
        <v>0</v>
      </c>
      <c r="CK31" s="1044">
        <v>0</v>
      </c>
      <c r="CL31" s="1044">
        <v>0</v>
      </c>
      <c r="CM31" s="1053">
        <f>SUM(CI31:CL31)</f>
        <v>0</v>
      </c>
      <c r="CN31" s="1026"/>
      <c r="CO31" s="1026"/>
      <c r="CP31" s="1026"/>
    </row>
    <row r="32" spans="1:94" ht="12.75" hidden="1" customHeight="1" outlineLevel="1">
      <c r="A32" s="868" t="s">
        <v>426</v>
      </c>
      <c r="B32" s="917"/>
      <c r="C32" s="1052">
        <v>-0.91800000000000004</v>
      </c>
      <c r="D32" s="1044">
        <f>-1.094+1.327+10.787-C32</f>
        <v>11.938000000000001</v>
      </c>
      <c r="E32" s="1044">
        <f>1.601-1.14+10.787-SUM(C32:D32)</f>
        <v>0.22799999999999976</v>
      </c>
      <c r="F32" s="1047">
        <f>1.601-1.04+10.787-SUM(C32:E32)</f>
        <v>9.9999999999999645E-2</v>
      </c>
      <c r="G32" s="1053">
        <f t="shared" si="19"/>
        <v>11.348000000000001</v>
      </c>
      <c r="H32" s="1059"/>
      <c r="I32" s="1052">
        <v>0.88900000000000001</v>
      </c>
      <c r="J32" s="1044">
        <f>1.158-I32</f>
        <v>0.26899999999999991</v>
      </c>
      <c r="K32" s="1044">
        <f>1.158-J32-I32</f>
        <v>0</v>
      </c>
      <c r="L32" s="1047">
        <f>1.158-SUM(I32:K32)</f>
        <v>0</v>
      </c>
      <c r="M32" s="1053">
        <f t="shared" si="20"/>
        <v>1.1579999999999999</v>
      </c>
      <c r="N32" s="1059"/>
      <c r="O32" s="1052">
        <v>0</v>
      </c>
      <c r="P32" s="1044">
        <f>0-O32</f>
        <v>0</v>
      </c>
      <c r="Q32" s="1044">
        <f>0-P32-O32</f>
        <v>0</v>
      </c>
      <c r="R32" s="1047">
        <f>0-SUM(O32:Q32)</f>
        <v>0</v>
      </c>
      <c r="S32" s="1053">
        <f t="shared" si="21"/>
        <v>0</v>
      </c>
      <c r="T32" s="1059"/>
      <c r="U32" s="1052">
        <v>0</v>
      </c>
      <c r="V32" s="1044">
        <f>11.014-U32</f>
        <v>11.013999999999999</v>
      </c>
      <c r="W32" s="1044">
        <f>11.014-V32-U32</f>
        <v>0</v>
      </c>
      <c r="X32" s="1047">
        <f>11.014-SUM(U32:W32)</f>
        <v>0</v>
      </c>
      <c r="Y32" s="1053">
        <f>SUM(U32:X32)</f>
        <v>11.013999999999999</v>
      </c>
      <c r="Z32" s="1059"/>
      <c r="AA32" s="1052">
        <v>0</v>
      </c>
      <c r="AB32" s="1044">
        <f>0-AA32</f>
        <v>0</v>
      </c>
      <c r="AC32" s="1044">
        <f>0.456-SUM(AA32:AB32)</f>
        <v>0.45600000000000002</v>
      </c>
      <c r="AD32" s="1044">
        <f>0.456+0.814-SUM(AA32:AC32)</f>
        <v>0.81400000000000006</v>
      </c>
      <c r="AE32" s="1053">
        <f t="shared" si="23"/>
        <v>1.27</v>
      </c>
      <c r="AF32" s="1059"/>
      <c r="AG32" s="1052">
        <v>0</v>
      </c>
      <c r="AH32" s="1044">
        <v>0</v>
      </c>
      <c r="AI32" s="1044">
        <v>0</v>
      </c>
      <c r="AJ32" s="1044">
        <v>0</v>
      </c>
      <c r="AK32" s="1053">
        <f t="shared" si="24"/>
        <v>0</v>
      </c>
      <c r="AL32" s="1059"/>
      <c r="AM32" s="1052">
        <v>0</v>
      </c>
      <c r="AN32" s="1044">
        <f>0.22-AM32</f>
        <v>0.22</v>
      </c>
      <c r="AO32" s="1044">
        <f>0.783+52.202-SUM(AM32:AN32)</f>
        <v>52.765000000000001</v>
      </c>
      <c r="AP32" s="1044">
        <f>52.202+0.783-SUM(AM32:AO32)</f>
        <v>0</v>
      </c>
      <c r="AQ32" s="1053">
        <f t="shared" si="25"/>
        <v>52.984999999999999</v>
      </c>
      <c r="AR32" s="1059"/>
      <c r="AS32" s="1052">
        <v>0</v>
      </c>
      <c r="AT32" s="1369">
        <f>0.425-AS32</f>
        <v>0.42499999999999999</v>
      </c>
      <c r="AU32" s="1369">
        <f>0.49-SUM(AS32:AT32)</f>
        <v>6.5000000000000002E-2</v>
      </c>
      <c r="AV32" s="1369">
        <f>0.49+2.531-SUM(AS32:AU32)</f>
        <v>2.5309999999999997</v>
      </c>
      <c r="AW32" s="1053">
        <f t="shared" si="26"/>
        <v>3.0209999999999999</v>
      </c>
      <c r="AX32" s="1059"/>
      <c r="AY32" s="1678">
        <v>-4.6189999999999998</v>
      </c>
      <c r="AZ32" s="1369">
        <f>-18.735-AY32</f>
        <v>-14.116</v>
      </c>
      <c r="BA32" s="1369">
        <f>-18.735+0.757-SUM(AY32:AZ32)</f>
        <v>0.75700000000000145</v>
      </c>
      <c r="BB32" s="1369">
        <f>0.757-SUM(AY32:BA32)</f>
        <v>18.734999999999999</v>
      </c>
      <c r="BC32" s="1053">
        <f>SUM(AY32:BB32)</f>
        <v>0.75700000000000145</v>
      </c>
      <c r="BD32" s="1059"/>
      <c r="BE32" s="1678">
        <v>1</v>
      </c>
      <c r="BF32" s="1369">
        <f>21+0.044-BE32</f>
        <v>20.044</v>
      </c>
      <c r="BG32" s="1369">
        <f>21+0.044-SUM(BE32:BF32)</f>
        <v>0</v>
      </c>
      <c r="BH32" s="1369">
        <f>21+0.044-SUM(BE32:BG32)</f>
        <v>0</v>
      </c>
      <c r="BI32" s="1053">
        <f>SUM(BE32:BH32)</f>
        <v>21.044</v>
      </c>
      <c r="BJ32" s="1059"/>
      <c r="BK32" s="1678">
        <v>0</v>
      </c>
      <c r="BL32" s="1369">
        <f>0.045-BK32</f>
        <v>4.4999999999999998E-2</v>
      </c>
      <c r="BM32" s="1369">
        <f>60.42+0.045-SUM(BK32:BL32)</f>
        <v>60.42</v>
      </c>
      <c r="BN32" s="1369">
        <f>1.1-10.783+0.045+17.218-SUM(BK32:BM32)</f>
        <v>-52.885000000000005</v>
      </c>
      <c r="BO32" s="1053">
        <f>SUM(BK32:BN32)</f>
        <v>7.5799999999999983</v>
      </c>
      <c r="BP32" s="1059"/>
      <c r="BQ32" s="1052">
        <v>0</v>
      </c>
      <c r="BR32" s="1044">
        <v>0</v>
      </c>
      <c r="BS32" s="1044">
        <v>0</v>
      </c>
      <c r="BT32" s="1044">
        <v>0</v>
      </c>
      <c r="BU32" s="1053">
        <f>SUM(BQ32:BT32)</f>
        <v>0</v>
      </c>
      <c r="BV32" s="1059"/>
      <c r="BW32" s="1052">
        <v>0</v>
      </c>
      <c r="BX32" s="1044">
        <v>0</v>
      </c>
      <c r="BY32" s="1044">
        <v>0</v>
      </c>
      <c r="BZ32" s="1044">
        <v>0</v>
      </c>
      <c r="CA32" s="1053">
        <f>SUM(BW32:BZ32)</f>
        <v>0</v>
      </c>
      <c r="CB32" s="1059"/>
      <c r="CC32" s="1052">
        <v>0</v>
      </c>
      <c r="CD32" s="1044">
        <v>0</v>
      </c>
      <c r="CE32" s="1044">
        <v>0</v>
      </c>
      <c r="CF32" s="1044">
        <v>0</v>
      </c>
      <c r="CG32" s="1053">
        <f>SUM(CC32:CF32)</f>
        <v>0</v>
      </c>
      <c r="CH32" s="1059"/>
      <c r="CI32" s="1052">
        <v>0</v>
      </c>
      <c r="CJ32" s="1044">
        <v>0</v>
      </c>
      <c r="CK32" s="1044">
        <v>0</v>
      </c>
      <c r="CL32" s="1044">
        <v>0</v>
      </c>
      <c r="CM32" s="1053">
        <f>SUM(CI32:CL32)</f>
        <v>0</v>
      </c>
      <c r="CN32" s="1026"/>
      <c r="CO32" s="1026"/>
      <c r="CP32" s="1026"/>
    </row>
    <row r="33" spans="1:94" ht="12.75" hidden="1" customHeight="1" outlineLevel="1">
      <c r="A33" s="1698" t="s">
        <v>356</v>
      </c>
      <c r="B33" s="1635" t="s">
        <v>79</v>
      </c>
      <c r="C33" s="1055">
        <f>SUM(C29:C32)</f>
        <v>-51.860999999999997</v>
      </c>
      <c r="D33" s="383">
        <f>SUM(D29:D32)</f>
        <v>-6.9809999999999999</v>
      </c>
      <c r="E33" s="383">
        <f>SUM(E29:E32)</f>
        <v>-10.884999999999996</v>
      </c>
      <c r="F33" s="383">
        <f>SUM(F29:F32)</f>
        <v>-277.94599999999997</v>
      </c>
      <c r="G33" s="1053">
        <f t="shared" ref="G33:L33" si="27">SUM(G29:G32)</f>
        <v>-347.67299999999994</v>
      </c>
      <c r="H33" s="383"/>
      <c r="I33" s="1055">
        <f t="shared" si="27"/>
        <v>-82.190000000000012</v>
      </c>
      <c r="J33" s="383">
        <f t="shared" si="27"/>
        <v>-21.053999999999998</v>
      </c>
      <c r="K33" s="383">
        <f t="shared" si="27"/>
        <v>-14.297999999999991</v>
      </c>
      <c r="L33" s="383">
        <f t="shared" si="27"/>
        <v>-16.057000000000013</v>
      </c>
      <c r="M33" s="1053">
        <f>SUM(M29:M32)</f>
        <v>-133.59900000000002</v>
      </c>
      <c r="N33" s="383"/>
      <c r="O33" s="1055">
        <f>SUM(O29:O32)</f>
        <v>-32.021999999999998</v>
      </c>
      <c r="P33" s="383">
        <f>SUM(P29:P32)</f>
        <v>-28.431000000000001</v>
      </c>
      <c r="Q33" s="383">
        <f>SUM(Q29:Q32)</f>
        <v>-54.881</v>
      </c>
      <c r="R33" s="383">
        <f>SUM(R29:R32)</f>
        <v>-37.629999999999995</v>
      </c>
      <c r="S33" s="1053">
        <f>SUM(S29:S32)</f>
        <v>-152.964</v>
      </c>
      <c r="T33" s="383"/>
      <c r="U33" s="1055">
        <f>SUM(U29:U32)</f>
        <v>-10.59</v>
      </c>
      <c r="V33" s="383">
        <f>SUM(V29:V32)</f>
        <v>-120.15599999999999</v>
      </c>
      <c r="W33" s="383">
        <f>SUM(W29:W32)</f>
        <v>-31.310000000000006</v>
      </c>
      <c r="X33" s="383">
        <f>SUM(X29:X32)</f>
        <v>-12.069999999999995</v>
      </c>
      <c r="Y33" s="1053">
        <f>SUM(Y29:Y32)</f>
        <v>-174.12599999999998</v>
      </c>
      <c r="Z33" s="383"/>
      <c r="AA33" s="1055">
        <f>SUM(AA29:AA32)</f>
        <v>-64.283000000000001</v>
      </c>
      <c r="AB33" s="383">
        <f>SUM(AB29:AB32)</f>
        <v>-261.61799999999999</v>
      </c>
      <c r="AC33" s="383">
        <f>SUM(AC29:AC32)</f>
        <v>-8.7680000000000042</v>
      </c>
      <c r="AD33" s="383">
        <f>SUM(AD29:AD32)</f>
        <v>-607.44400000000007</v>
      </c>
      <c r="AE33" s="1053">
        <f>SUM(AE29:AE32)</f>
        <v>-942.11300000000006</v>
      </c>
      <c r="AF33" s="383"/>
      <c r="AG33" s="1055">
        <f>SUM(AG29:AG32)</f>
        <v>-5.2279999999999998</v>
      </c>
      <c r="AH33" s="383">
        <f>SUM(AH29:AH32)</f>
        <v>-6.0209999999999999</v>
      </c>
      <c r="AI33" s="383">
        <f>SUM(AI29:AI32)</f>
        <v>-19.180999999999997</v>
      </c>
      <c r="AJ33" s="383">
        <f>SUM(AJ29:AJ32)</f>
        <v>-52.348999999999997</v>
      </c>
      <c r="AK33" s="1053">
        <f>SUM(AK29:AK32)</f>
        <v>-82.778999999999996</v>
      </c>
      <c r="AL33" s="383"/>
      <c r="AM33" s="1055">
        <f>SUM(AM29:AM32)</f>
        <v>-10.429</v>
      </c>
      <c r="AN33" s="383">
        <f>SUM(AN29:AN32)</f>
        <v>-12.251999999999999</v>
      </c>
      <c r="AO33" s="383">
        <f>SUM(AO29:AO32)</f>
        <v>37.052999999999997</v>
      </c>
      <c r="AP33" s="383">
        <f>SUM(AP29:AP32)</f>
        <v>-16.076999999999998</v>
      </c>
      <c r="AQ33" s="1053">
        <f>SUM(AQ29:AQ32)</f>
        <v>-1.7049999999999983</v>
      </c>
      <c r="AR33" s="383"/>
      <c r="AS33" s="1055">
        <f>SUM(AS29:AS32)</f>
        <v>-6.02</v>
      </c>
      <c r="AT33" s="383">
        <f>SUM(AT29:AT32)</f>
        <v>-8.3519999999999985</v>
      </c>
      <c r="AU33" s="383">
        <f>SUM(AU29:AU32)</f>
        <v>-9.2309999999999999</v>
      </c>
      <c r="AV33" s="383">
        <f>SUM(AV29:AV32)</f>
        <v>-273.92499999999995</v>
      </c>
      <c r="AW33" s="1053">
        <f>SUM(AW29:AW32)</f>
        <v>-297.52799999999996</v>
      </c>
      <c r="AX33" s="383"/>
      <c r="AY33" s="1055">
        <f>SUM(AY29:AY32)</f>
        <v>-9.0389999999999997</v>
      </c>
      <c r="AZ33" s="383">
        <f>SUM(AZ29:AZ32)</f>
        <v>-19.736000000000001</v>
      </c>
      <c r="BA33" s="383">
        <f>SUM(BA29:BA32)</f>
        <v>-6.9579999999999984</v>
      </c>
      <c r="BB33" s="383">
        <f>SUM(BB29:BB32)</f>
        <v>-65.123000000000005</v>
      </c>
      <c r="BC33" s="1053">
        <f>SUM(BC29:BC32)</f>
        <v>-100.85599999999999</v>
      </c>
      <c r="BD33" s="383"/>
      <c r="BE33" s="1055">
        <f>SUM(BE29:BE32)</f>
        <v>-17.292000000000002</v>
      </c>
      <c r="BF33" s="383">
        <f>SUM(BF29:BF32)</f>
        <v>9.532</v>
      </c>
      <c r="BG33" s="383">
        <f>SUM(BG29:BG32)</f>
        <v>-70.431000000000012</v>
      </c>
      <c r="BH33" s="383">
        <f>SUM(BH29:BH32)</f>
        <v>-21.35</v>
      </c>
      <c r="BI33" s="1053">
        <f>SUM(BI29:BI32)</f>
        <v>-99.541000000000011</v>
      </c>
      <c r="BJ33" s="383"/>
      <c r="BK33" s="1055">
        <f>SUM(BK29:BK32)</f>
        <v>-114.40600000000001</v>
      </c>
      <c r="BL33" s="383">
        <f>SUM(BL29:BL32)</f>
        <v>-3.397000000000002</v>
      </c>
      <c r="BM33" s="383">
        <f>SUM(BM29:BM32)</f>
        <v>49.546000000000006</v>
      </c>
      <c r="BN33" s="383">
        <f>SUM(BN29:BN32)</f>
        <v>-1453.894</v>
      </c>
      <c r="BO33" s="1053">
        <f>SUM(BO29:BO32)</f>
        <v>-1522.1510000000001</v>
      </c>
      <c r="BP33" s="383"/>
      <c r="BQ33" s="1055">
        <f>SUM(BQ29:BQ32)</f>
        <v>-7.7957460674019021</v>
      </c>
      <c r="BR33" s="383">
        <f>SUM(BR29:BR32)</f>
        <v>-8.5734081286997643</v>
      </c>
      <c r="BS33" s="383">
        <f>SUM(BS29:BS32)</f>
        <v>-8.5358457740951152</v>
      </c>
      <c r="BT33" s="383">
        <f>SUM(BT29:BT32)</f>
        <v>-9.575034111265893</v>
      </c>
      <c r="BU33" s="1053">
        <f>SUM(BU29:BU32)</f>
        <v>-34.480034081462676</v>
      </c>
      <c r="BV33" s="383"/>
      <c r="BW33" s="1055">
        <f>SUM(BW29:BW32)</f>
        <v>-8.2924663051383654</v>
      </c>
      <c r="BX33" s="383">
        <f>SUM(BX29:BX32)</f>
        <v>-9.1754586503787632</v>
      </c>
      <c r="BY33" s="383">
        <f>SUM(BY29:BY32)</f>
        <v>-9.1820644823007651</v>
      </c>
      <c r="BZ33" s="383">
        <f>SUM(BZ29:BZ32)</f>
        <v>-10.309675018435351</v>
      </c>
      <c r="CA33" s="1053">
        <f>SUM(CA29:CA32)</f>
        <v>-36.959664456253243</v>
      </c>
      <c r="CB33" s="383"/>
      <c r="CC33" s="1055">
        <f>SUM(CC29:CC32)</f>
        <v>-8.8903375667114641</v>
      </c>
      <c r="CD33" s="383">
        <f>SUM(CD29:CD32)</f>
        <v>-9.8557777969009734</v>
      </c>
      <c r="CE33" s="383">
        <f>SUM(CE29:CE32)</f>
        <v>-9.8407811253765729</v>
      </c>
      <c r="CF33" s="383">
        <f>SUM(CF29:CF32)</f>
        <v>-10.996903204514691</v>
      </c>
      <c r="CG33" s="1053">
        <f>SUM(CG29:CG32)</f>
        <v>-39.583799693503707</v>
      </c>
      <c r="CH33" s="383"/>
      <c r="CI33" s="1055">
        <f>SUM(CI29:CI32)</f>
        <v>-9.3675288970957187</v>
      </c>
      <c r="CJ33" s="383">
        <f>SUM(CJ29:CJ32)</f>
        <v>-10.385804840813783</v>
      </c>
      <c r="CK33" s="383">
        <f>SUM(CK29:CK32)</f>
        <v>-10.407848986622694</v>
      </c>
      <c r="CL33" s="383">
        <f>SUM(CL29:CL32)</f>
        <v>-11.621617541657841</v>
      </c>
      <c r="CM33" s="1053">
        <f>SUM(CM29:CM32)</f>
        <v>-41.782800266190037</v>
      </c>
      <c r="CN33" s="1026"/>
      <c r="CO33" s="1026"/>
      <c r="CP33" s="1026"/>
    </row>
    <row r="34" spans="1:94" ht="12.75" hidden="1" customHeight="1" outlineLevel="1">
      <c r="A34" s="1698" t="s">
        <v>357</v>
      </c>
      <c r="B34" s="1635" t="s">
        <v>79</v>
      </c>
      <c r="C34" s="1052">
        <v>0</v>
      </c>
      <c r="D34" s="1044">
        <f>0.8-C34</f>
        <v>0.8</v>
      </c>
      <c r="E34" s="1044">
        <f>0.8-SUM(C34:D34)</f>
        <v>0</v>
      </c>
      <c r="F34" s="1047">
        <f>-1.666-SUM(C34:E34)</f>
        <v>-2.4660000000000002</v>
      </c>
      <c r="G34" s="1053">
        <f t="shared" si="19"/>
        <v>-1.6660000000000001</v>
      </c>
      <c r="H34" s="383"/>
      <c r="I34" s="1052">
        <v>-0.621</v>
      </c>
      <c r="J34" s="1044">
        <f>-1.573-I34</f>
        <v>-0.95199999999999996</v>
      </c>
      <c r="K34" s="1044">
        <f>-1.864-J34-I34</f>
        <v>-0.29100000000000015</v>
      </c>
      <c r="L34" s="1047">
        <f>-2.079-SUM(I34:K34)</f>
        <v>-0.21500000000000008</v>
      </c>
      <c r="M34" s="1053">
        <f t="shared" si="20"/>
        <v>-2.0790000000000002</v>
      </c>
      <c r="N34" s="383"/>
      <c r="O34" s="1052">
        <v>-0.50900000000000001</v>
      </c>
      <c r="P34" s="1044">
        <f>-0.579-O34</f>
        <v>-6.9999999999999951E-2</v>
      </c>
      <c r="Q34" s="1044">
        <f>-27.799-P34-O34</f>
        <v>-27.22</v>
      </c>
      <c r="R34" s="1047">
        <f>-0.903-SUM(O34:Q34)</f>
        <v>26.896000000000001</v>
      </c>
      <c r="S34" s="1053">
        <f t="shared" si="21"/>
        <v>-0.90299999999999869</v>
      </c>
      <c r="T34" s="383"/>
      <c r="U34" s="1052">
        <v>-2.3210000000000002</v>
      </c>
      <c r="V34" s="1044">
        <f>6.974-U34</f>
        <v>9.2949999999999999</v>
      </c>
      <c r="W34" s="1044">
        <f>4.567-V34-U34</f>
        <v>-2.4069999999999996</v>
      </c>
      <c r="X34" s="1047">
        <f>469.275-SUM(U34:W34)</f>
        <v>464.70799999999997</v>
      </c>
      <c r="Y34" s="1053">
        <f t="shared" si="22"/>
        <v>469.27499999999998</v>
      </c>
      <c r="Z34" s="383"/>
      <c r="AA34" s="1052">
        <v>0</v>
      </c>
      <c r="AB34" s="1044">
        <f>28.252-AA34</f>
        <v>28.251999999999999</v>
      </c>
      <c r="AC34" s="1044">
        <f>32.252-SUM(AA34:AB34)</f>
        <v>4.0000000000000036</v>
      </c>
      <c r="AD34" s="1044">
        <f>32.252-SUM(AA34:AC34)</f>
        <v>0</v>
      </c>
      <c r="AE34" s="1053">
        <f t="shared" si="23"/>
        <v>32.252000000000002</v>
      </c>
      <c r="AF34" s="383"/>
      <c r="AG34" s="1052">
        <v>0</v>
      </c>
      <c r="AH34" s="1044">
        <v>0.98799999999999999</v>
      </c>
      <c r="AI34" s="1044">
        <v>0.98799999999999999</v>
      </c>
      <c r="AJ34" s="1044">
        <f>2.47-SUM(AG34:AI34)</f>
        <v>0.49400000000000022</v>
      </c>
      <c r="AK34" s="1053">
        <f t="shared" si="24"/>
        <v>2.4700000000000002</v>
      </c>
      <c r="AL34" s="383"/>
      <c r="AM34" s="1052">
        <v>0.123</v>
      </c>
      <c r="AN34" s="1044">
        <f>0.494-AM34</f>
        <v>0.371</v>
      </c>
      <c r="AO34" s="1044">
        <f>0.494-SUM(AM34:AN34)</f>
        <v>0</v>
      </c>
      <c r="AP34" s="1044">
        <f>0.494-SUM(AM34:AO34)</f>
        <v>0</v>
      </c>
      <c r="AQ34" s="1053">
        <f t="shared" si="25"/>
        <v>0.49399999999999999</v>
      </c>
      <c r="AR34" s="383"/>
      <c r="AS34" s="1052">
        <v>0</v>
      </c>
      <c r="AT34" s="1369">
        <f>-0.213-AS34</f>
        <v>-0.21299999999999999</v>
      </c>
      <c r="AU34" s="1369">
        <f>-0.213-SUM(AS34:AT34)</f>
        <v>0</v>
      </c>
      <c r="AV34" s="1369">
        <f>1.631-SUM(AS34:AU34)</f>
        <v>1.8440000000000001</v>
      </c>
      <c r="AW34" s="1053">
        <f t="shared" si="26"/>
        <v>1.631</v>
      </c>
      <c r="AX34" s="383"/>
      <c r="AY34" s="1678">
        <v>0</v>
      </c>
      <c r="AZ34" s="1369">
        <f>0-AY34</f>
        <v>0</v>
      </c>
      <c r="BA34" s="1369">
        <f>0-SUM(AY34:AZ34)</f>
        <v>0</v>
      </c>
      <c r="BB34" s="1369">
        <f>-SUM(AY34:BA34)</f>
        <v>0</v>
      </c>
      <c r="BC34" s="1053">
        <f>SUM(AY34:BB34)</f>
        <v>0</v>
      </c>
      <c r="BD34" s="383"/>
      <c r="BE34" s="1678">
        <v>0</v>
      </c>
      <c r="BF34" s="1369">
        <f>0-BE34</f>
        <v>0</v>
      </c>
      <c r="BG34" s="1369">
        <f t="shared" ref="BG34" si="28">0-SUM(BE34:BF34)</f>
        <v>0</v>
      </c>
      <c r="BH34" s="1369">
        <f>-1.302-SUM(BE34:BG34)</f>
        <v>-1.302</v>
      </c>
      <c r="BI34" s="1053">
        <f>SUM(BE34:BH34)</f>
        <v>-1.302</v>
      </c>
      <c r="BJ34" s="383"/>
      <c r="BK34" s="1678">
        <v>-0.28000000000000003</v>
      </c>
      <c r="BL34" s="1369">
        <f>276.982-BK34</f>
        <v>277.262</v>
      </c>
      <c r="BM34" s="1369">
        <f>272.779-SUM(BK34:BL34)</f>
        <v>-4.2030000000000314</v>
      </c>
      <c r="BN34" s="1369">
        <f>272.779-SUM(BK34:BM34)</f>
        <v>0</v>
      </c>
      <c r="BO34" s="1053">
        <f>SUM(BK34:BN34)</f>
        <v>272.779</v>
      </c>
      <c r="BP34" s="383"/>
      <c r="BQ34" s="1052">
        <v>0</v>
      </c>
      <c r="BR34" s="1044">
        <v>0</v>
      </c>
      <c r="BS34" s="1044">
        <v>0</v>
      </c>
      <c r="BT34" s="1044">
        <v>0</v>
      </c>
      <c r="BU34" s="1053">
        <f>SUM(BQ34:BT34)</f>
        <v>0</v>
      </c>
      <c r="BV34" s="383"/>
      <c r="BW34" s="1052">
        <v>0</v>
      </c>
      <c r="BX34" s="1044">
        <v>0</v>
      </c>
      <c r="BY34" s="1044">
        <v>0</v>
      </c>
      <c r="BZ34" s="1044">
        <v>0</v>
      </c>
      <c r="CA34" s="1053">
        <f>SUM(BW34:BZ34)</f>
        <v>0</v>
      </c>
      <c r="CB34" s="383"/>
      <c r="CC34" s="1052">
        <v>0</v>
      </c>
      <c r="CD34" s="1044">
        <v>0</v>
      </c>
      <c r="CE34" s="1044">
        <v>0</v>
      </c>
      <c r="CF34" s="1044">
        <v>0</v>
      </c>
      <c r="CG34" s="1053">
        <f>SUM(CC34:CF34)</f>
        <v>0</v>
      </c>
      <c r="CH34" s="383"/>
      <c r="CI34" s="1052">
        <v>0</v>
      </c>
      <c r="CJ34" s="1044">
        <v>0</v>
      </c>
      <c r="CK34" s="1044">
        <v>0</v>
      </c>
      <c r="CL34" s="1044">
        <v>0</v>
      </c>
      <c r="CM34" s="1053">
        <f>SUM(CI34:CL34)</f>
        <v>0</v>
      </c>
      <c r="CN34" s="1026"/>
      <c r="CO34" s="1026"/>
      <c r="CP34" s="1026"/>
    </row>
    <row r="35" spans="1:94" collapsed="1">
      <c r="A35" s="1700" t="s">
        <v>358</v>
      </c>
      <c r="B35" s="1063"/>
      <c r="C35" s="1064">
        <f>C33+C34</f>
        <v>-51.860999999999997</v>
      </c>
      <c r="D35" s="1065">
        <f>D33+D34</f>
        <v>-6.181</v>
      </c>
      <c r="E35" s="1065">
        <f>E33+E34</f>
        <v>-10.884999999999996</v>
      </c>
      <c r="F35" s="1065">
        <f>F33+F34</f>
        <v>-280.41199999999998</v>
      </c>
      <c r="G35" s="1066">
        <f>G33+G34</f>
        <v>-349.33899999999994</v>
      </c>
      <c r="H35" s="1065"/>
      <c r="I35" s="1064">
        <f>I33+I34</f>
        <v>-82.811000000000007</v>
      </c>
      <c r="J35" s="1065">
        <f>J33+J34</f>
        <v>-22.006</v>
      </c>
      <c r="K35" s="1065">
        <f>K33+K34</f>
        <v>-14.588999999999992</v>
      </c>
      <c r="L35" s="1065">
        <f>L33+L34</f>
        <v>-16.272000000000013</v>
      </c>
      <c r="M35" s="1066">
        <f>M33+M34</f>
        <v>-135.67800000000003</v>
      </c>
      <c r="N35" s="1065"/>
      <c r="O35" s="1064">
        <f>O33+O34</f>
        <v>-32.530999999999999</v>
      </c>
      <c r="P35" s="1065">
        <f>P33+P34</f>
        <v>-28.501000000000001</v>
      </c>
      <c r="Q35" s="1065">
        <f>Q33+Q34</f>
        <v>-82.100999999999999</v>
      </c>
      <c r="R35" s="1065">
        <f>R33+R34</f>
        <v>-10.733999999999995</v>
      </c>
      <c r="S35" s="1066">
        <f>S33+S34</f>
        <v>-153.86699999999999</v>
      </c>
      <c r="T35" s="1065"/>
      <c r="U35" s="1064">
        <f>U33+U34</f>
        <v>-12.911</v>
      </c>
      <c r="V35" s="1065">
        <f>V33+V34</f>
        <v>-110.86099999999999</v>
      </c>
      <c r="W35" s="1065">
        <f>W33+W34</f>
        <v>-33.717000000000006</v>
      </c>
      <c r="X35" s="1065">
        <f>X33+X34</f>
        <v>452.63799999999998</v>
      </c>
      <c r="Y35" s="1066">
        <f>Y33+Y34</f>
        <v>295.149</v>
      </c>
      <c r="Z35" s="1065"/>
      <c r="AA35" s="1064">
        <f>AA33+AA34</f>
        <v>-64.283000000000001</v>
      </c>
      <c r="AB35" s="1065">
        <f>AB33+AB34</f>
        <v>-233.36599999999999</v>
      </c>
      <c r="AC35" s="1065">
        <f>AC33+AC34</f>
        <v>-4.7680000000000007</v>
      </c>
      <c r="AD35" s="1065">
        <f>AD33+AD34</f>
        <v>-607.44400000000007</v>
      </c>
      <c r="AE35" s="1066">
        <f>AE33+AE34</f>
        <v>-909.8610000000001</v>
      </c>
      <c r="AF35" s="1065"/>
      <c r="AG35" s="1064">
        <f>AG33+AG34</f>
        <v>-5.2279999999999998</v>
      </c>
      <c r="AH35" s="1065">
        <f>AH33+AH34</f>
        <v>-5.0329999999999995</v>
      </c>
      <c r="AI35" s="1065">
        <f>AI33+AI34</f>
        <v>-18.192999999999998</v>
      </c>
      <c r="AJ35" s="1065">
        <f>AJ33+AJ34</f>
        <v>-51.854999999999997</v>
      </c>
      <c r="AK35" s="1066">
        <f>AK33+AK34</f>
        <v>-80.308999999999997</v>
      </c>
      <c r="AL35" s="1065"/>
      <c r="AM35" s="1064">
        <f>AM33+AM34</f>
        <v>-10.306000000000001</v>
      </c>
      <c r="AN35" s="1065">
        <f>AN33+AN34</f>
        <v>-11.880999999999998</v>
      </c>
      <c r="AO35" s="1065">
        <f>AO33+AO34</f>
        <v>37.052999999999997</v>
      </c>
      <c r="AP35" s="1065">
        <f>AP33+AP34</f>
        <v>-16.076999999999998</v>
      </c>
      <c r="AQ35" s="1066">
        <f>AQ33+AQ34</f>
        <v>-1.2109999999999983</v>
      </c>
      <c r="AR35" s="1065"/>
      <c r="AS35" s="1064">
        <f>AS33+AS34</f>
        <v>-6.02</v>
      </c>
      <c r="AT35" s="1065">
        <f>AT33+AT34</f>
        <v>-8.5649999999999977</v>
      </c>
      <c r="AU35" s="1065">
        <f>AU33+AU34</f>
        <v>-9.2309999999999999</v>
      </c>
      <c r="AV35" s="1568">
        <f>AV33+AV34</f>
        <v>-272.08099999999996</v>
      </c>
      <c r="AW35" s="1572">
        <f>AW33+AW34</f>
        <v>-295.89699999999999</v>
      </c>
      <c r="AX35" s="1065"/>
      <c r="AY35" s="1682">
        <f>AY33+AY34</f>
        <v>-9.0389999999999997</v>
      </c>
      <c r="AZ35" s="1065">
        <f>AZ33+AZ34</f>
        <v>-19.736000000000001</v>
      </c>
      <c r="BA35" s="1065">
        <f>BA33+BA34</f>
        <v>-6.9579999999999984</v>
      </c>
      <c r="BB35" s="1065">
        <f>BB33+BB34</f>
        <v>-65.123000000000005</v>
      </c>
      <c r="BC35" s="1066">
        <f>BC33+BC34</f>
        <v>-100.85599999999999</v>
      </c>
      <c r="BD35" s="1065"/>
      <c r="BE35" s="1682">
        <f>BE33+BE34</f>
        <v>-17.292000000000002</v>
      </c>
      <c r="BF35" s="1065">
        <f>BF33+BF34</f>
        <v>9.532</v>
      </c>
      <c r="BG35" s="1065">
        <f>BG33+BG34</f>
        <v>-70.431000000000012</v>
      </c>
      <c r="BH35" s="1065">
        <f>BH33+BH34</f>
        <v>-22.652000000000001</v>
      </c>
      <c r="BI35" s="1066">
        <f>BI33+BI34</f>
        <v>-100.84300000000002</v>
      </c>
      <c r="BJ35" s="1065"/>
      <c r="BK35" s="1682">
        <f>BK33+BK34</f>
        <v>-114.68600000000001</v>
      </c>
      <c r="BL35" s="1065">
        <f>BL33+BL34</f>
        <v>273.86500000000001</v>
      </c>
      <c r="BM35" s="1065">
        <f>BM33+BM34</f>
        <v>45.342999999999975</v>
      </c>
      <c r="BN35" s="1065">
        <f>BN33+BN34</f>
        <v>-1453.894</v>
      </c>
      <c r="BO35" s="1066">
        <f>BO33+BO34</f>
        <v>-1249.3720000000001</v>
      </c>
      <c r="BP35" s="1065"/>
      <c r="BQ35" s="1064">
        <f>BQ33+BQ34</f>
        <v>-7.7957460674019021</v>
      </c>
      <c r="BR35" s="1065">
        <f>BR33+BR34</f>
        <v>-8.5734081286997643</v>
      </c>
      <c r="BS35" s="1065">
        <f>BS33+BS34</f>
        <v>-8.5358457740951152</v>
      </c>
      <c r="BT35" s="1065">
        <f>BT33+BT34</f>
        <v>-9.575034111265893</v>
      </c>
      <c r="BU35" s="1066">
        <f>BU33+BU34</f>
        <v>-34.480034081462676</v>
      </c>
      <c r="BV35" s="1065"/>
      <c r="BW35" s="1064">
        <f>BW33+BW34</f>
        <v>-8.2924663051383654</v>
      </c>
      <c r="BX35" s="1065">
        <f>BX33+BX34</f>
        <v>-9.1754586503787632</v>
      </c>
      <c r="BY35" s="1065">
        <f>BY33+BY34</f>
        <v>-9.1820644823007651</v>
      </c>
      <c r="BZ35" s="1065">
        <f>BZ33+BZ34</f>
        <v>-10.309675018435351</v>
      </c>
      <c r="CA35" s="1066">
        <f>CA33+CA34</f>
        <v>-36.959664456253243</v>
      </c>
      <c r="CB35" s="1065"/>
      <c r="CC35" s="1064">
        <f>CC33+CC34</f>
        <v>-8.8903375667114641</v>
      </c>
      <c r="CD35" s="1065">
        <f>CD33+CD34</f>
        <v>-9.8557777969009734</v>
      </c>
      <c r="CE35" s="1065">
        <f>CE33+CE34</f>
        <v>-9.8407811253765729</v>
      </c>
      <c r="CF35" s="1065">
        <f>CF33+CF34</f>
        <v>-10.996903204514691</v>
      </c>
      <c r="CG35" s="1066">
        <f>CG33+CG34</f>
        <v>-39.583799693503707</v>
      </c>
      <c r="CH35" s="1065"/>
      <c r="CI35" s="1064">
        <f>CI33+CI34</f>
        <v>-9.3675288970957187</v>
      </c>
      <c r="CJ35" s="1065">
        <f>CJ33+CJ34</f>
        <v>-10.385804840813783</v>
      </c>
      <c r="CK35" s="1065">
        <f>CK33+CK34</f>
        <v>-10.407848986622694</v>
      </c>
      <c r="CL35" s="1065">
        <f>CL33+CL34</f>
        <v>-11.621617541657841</v>
      </c>
      <c r="CM35" s="1066">
        <f>CM33+CM34</f>
        <v>-41.782800266190037</v>
      </c>
      <c r="CN35" s="1026"/>
      <c r="CO35" s="1026"/>
      <c r="CP35" s="1026"/>
    </row>
    <row r="36" spans="1:94">
      <c r="A36" s="1701"/>
      <c r="B36" s="1067"/>
      <c r="C36" s="1068"/>
      <c r="D36" s="1069"/>
      <c r="E36" s="1069"/>
      <c r="F36" s="1069"/>
      <c r="G36" s="1070"/>
      <c r="H36" s="1069"/>
      <c r="I36" s="1068"/>
      <c r="J36" s="1069"/>
      <c r="K36" s="1069"/>
      <c r="L36" s="1069"/>
      <c r="M36" s="1070"/>
      <c r="N36" s="1069"/>
      <c r="O36" s="1068"/>
      <c r="P36" s="1069"/>
      <c r="Q36" s="1069"/>
      <c r="R36" s="1069"/>
      <c r="S36" s="1070"/>
      <c r="T36" s="1069"/>
      <c r="U36" s="1068"/>
      <c r="V36" s="1069"/>
      <c r="W36" s="1069"/>
      <c r="X36" s="1069"/>
      <c r="Y36" s="1070"/>
      <c r="Z36" s="1069"/>
      <c r="AA36" s="1068"/>
      <c r="AB36" s="1069"/>
      <c r="AC36" s="1069"/>
      <c r="AD36" s="1069"/>
      <c r="AE36" s="1070"/>
      <c r="AF36" s="1069"/>
      <c r="AG36" s="1068"/>
      <c r="AH36" s="1069"/>
      <c r="AI36" s="1069"/>
      <c r="AJ36" s="1069"/>
      <c r="AK36" s="1070"/>
      <c r="AL36" s="1069"/>
      <c r="AM36" s="1068"/>
      <c r="AN36" s="1069"/>
      <c r="AO36" s="1069"/>
      <c r="AP36" s="1069"/>
      <c r="AQ36" s="1070"/>
      <c r="AR36" s="1069"/>
      <c r="AS36" s="1068"/>
      <c r="AT36" s="1069"/>
      <c r="AU36" s="1069"/>
      <c r="AV36" s="1569"/>
      <c r="AW36" s="1570"/>
      <c r="AX36" s="1069"/>
      <c r="AY36" s="1683"/>
      <c r="AZ36" s="1069"/>
      <c r="BA36" s="1069"/>
      <c r="BB36" s="1069"/>
      <c r="BC36" s="1070"/>
      <c r="BD36" s="1069"/>
      <c r="BE36" s="1683"/>
      <c r="BF36" s="1069"/>
      <c r="BG36" s="1069"/>
      <c r="BH36" s="1069"/>
      <c r="BI36" s="1070"/>
      <c r="BJ36" s="1069"/>
      <c r="BK36" s="1683"/>
      <c r="BL36" s="1069"/>
      <c r="BM36" s="1069"/>
      <c r="BN36" s="1069"/>
      <c r="BO36" s="1070"/>
      <c r="BP36" s="1069"/>
      <c r="BQ36" s="1068"/>
      <c r="BR36" s="1069"/>
      <c r="BS36" s="1069"/>
      <c r="BT36" s="1069"/>
      <c r="BU36" s="1070"/>
      <c r="BV36" s="1069"/>
      <c r="BW36" s="1068"/>
      <c r="BX36" s="1069"/>
      <c r="BY36" s="1069"/>
      <c r="BZ36" s="1069"/>
      <c r="CA36" s="1070"/>
      <c r="CB36" s="1069"/>
      <c r="CC36" s="1068"/>
      <c r="CD36" s="1069"/>
      <c r="CE36" s="1069"/>
      <c r="CF36" s="1069"/>
      <c r="CG36" s="1070"/>
      <c r="CH36" s="1069"/>
      <c r="CI36" s="1068"/>
      <c r="CJ36" s="1069"/>
      <c r="CK36" s="1069"/>
      <c r="CL36" s="1069"/>
      <c r="CM36" s="1070"/>
      <c r="CN36" s="1026"/>
      <c r="CO36" s="1026"/>
      <c r="CP36" s="1026"/>
    </row>
    <row r="37" spans="1:94">
      <c r="A37" s="1699" t="s">
        <v>359</v>
      </c>
      <c r="B37" s="1071"/>
      <c r="C37" s="1056"/>
      <c r="D37" s="399"/>
      <c r="E37" s="399"/>
      <c r="F37" s="1072"/>
      <c r="G37" s="1053"/>
      <c r="H37" s="399"/>
      <c r="I37" s="1056"/>
      <c r="J37" s="399"/>
      <c r="K37" s="399"/>
      <c r="L37" s="1072"/>
      <c r="M37" s="1053"/>
      <c r="N37" s="399"/>
      <c r="O37" s="1056"/>
      <c r="P37" s="399"/>
      <c r="Q37" s="399"/>
      <c r="R37" s="1072"/>
      <c r="S37" s="1053"/>
      <c r="T37" s="399"/>
      <c r="U37" s="1056"/>
      <c r="V37" s="399"/>
      <c r="W37" s="399"/>
      <c r="X37" s="1072"/>
      <c r="Y37" s="1053"/>
      <c r="Z37" s="399"/>
      <c r="AA37" s="1056"/>
      <c r="AB37" s="399"/>
      <c r="AC37" s="399"/>
      <c r="AD37" s="399"/>
      <c r="AE37" s="1053"/>
      <c r="AF37" s="399"/>
      <c r="AG37" s="1056"/>
      <c r="AH37" s="399"/>
      <c r="AI37" s="399"/>
      <c r="AJ37" s="399"/>
      <c r="AK37" s="1053"/>
      <c r="AL37" s="399"/>
      <c r="AM37" s="1056"/>
      <c r="AN37" s="399"/>
      <c r="AO37" s="399"/>
      <c r="AP37" s="399"/>
      <c r="AQ37" s="1053"/>
      <c r="AR37" s="399"/>
      <c r="AS37" s="1056"/>
      <c r="AT37" s="399"/>
      <c r="AU37" s="399"/>
      <c r="AV37" s="1566"/>
      <c r="AW37" s="1053"/>
      <c r="AX37" s="399"/>
      <c r="AY37" s="1680"/>
      <c r="AZ37" s="399"/>
      <c r="BA37" s="399"/>
      <c r="BB37" s="399"/>
      <c r="BC37" s="1053"/>
      <c r="BD37" s="399"/>
      <c r="BE37" s="1680"/>
      <c r="BF37" s="399"/>
      <c r="BG37" s="399"/>
      <c r="BH37" s="399"/>
      <c r="BI37" s="1053"/>
      <c r="BJ37" s="399"/>
      <c r="BK37" s="1680"/>
      <c r="BL37" s="399"/>
      <c r="BM37" s="399"/>
      <c r="BN37" s="399"/>
      <c r="BO37" s="1053"/>
      <c r="BP37" s="399"/>
      <c r="BQ37" s="1056"/>
      <c r="BR37" s="399"/>
      <c r="BS37" s="399"/>
      <c r="BT37" s="399"/>
      <c r="BU37" s="1053"/>
      <c r="BV37" s="399"/>
      <c r="BW37" s="1056"/>
      <c r="BX37" s="399"/>
      <c r="BY37" s="399"/>
      <c r="BZ37" s="399"/>
      <c r="CA37" s="1053"/>
      <c r="CB37" s="399"/>
      <c r="CC37" s="1056"/>
      <c r="CD37" s="399"/>
      <c r="CE37" s="399"/>
      <c r="CF37" s="399"/>
      <c r="CG37" s="1053"/>
      <c r="CH37" s="399"/>
      <c r="CI37" s="1056"/>
      <c r="CJ37" s="399"/>
      <c r="CK37" s="399"/>
      <c r="CL37" s="399"/>
      <c r="CM37" s="1053"/>
      <c r="CN37" s="1026"/>
      <c r="CO37" s="1026"/>
      <c r="CP37" s="1026"/>
    </row>
    <row r="38" spans="1:94">
      <c r="A38" s="868" t="s">
        <v>413</v>
      </c>
      <c r="B38" s="917"/>
      <c r="C38" s="1052">
        <v>0</v>
      </c>
      <c r="D38" s="1044">
        <f>-49.694-C38</f>
        <v>-49.694000000000003</v>
      </c>
      <c r="E38" s="1044">
        <f>-182.431-SUM(C38:D38)</f>
        <v>-132.73700000000002</v>
      </c>
      <c r="F38" s="1047">
        <f>-212.431-SUM(C38:E38)</f>
        <v>-29.999999999999972</v>
      </c>
      <c r="G38" s="1053">
        <f t="shared" ref="G38:G48" si="29">SUM(C38:F38)</f>
        <v>-212.43100000000001</v>
      </c>
      <c r="H38" s="1059"/>
      <c r="I38" s="1052">
        <v>-305</v>
      </c>
      <c r="J38" s="1044">
        <f>-510.5-I38</f>
        <v>-205.5</v>
      </c>
      <c r="K38" s="1044">
        <f>-531.5-J38-I38</f>
        <v>-21</v>
      </c>
      <c r="L38" s="1047">
        <f>-633-SUM(I38:K38)</f>
        <v>-101.5</v>
      </c>
      <c r="M38" s="1053">
        <f t="shared" ref="M38:M48" si="30">SUM(I38:L38)</f>
        <v>-633</v>
      </c>
      <c r="N38" s="1059"/>
      <c r="O38" s="1052">
        <v>-71.563999999999993</v>
      </c>
      <c r="P38" s="1044">
        <f>-185.611-O38</f>
        <v>-114.047</v>
      </c>
      <c r="Q38" s="1044">
        <f>-276.047-P38-O38</f>
        <v>-90.436000000000035</v>
      </c>
      <c r="R38" s="1047">
        <f>-363.111-SUM(O38:Q38)</f>
        <v>-87.063999999999965</v>
      </c>
      <c r="S38" s="1053">
        <f t="shared" ref="S38:S48" si="31">SUM(O38:R38)</f>
        <v>-363.11099999999999</v>
      </c>
      <c r="T38" s="1059"/>
      <c r="U38" s="1052">
        <v>-62</v>
      </c>
      <c r="V38" s="1044">
        <f>-111.5-U38</f>
        <v>-49.5</v>
      </c>
      <c r="W38" s="1044">
        <f>-157.846-V38-U38</f>
        <v>-46.346000000000004</v>
      </c>
      <c r="X38" s="1047">
        <f>-508.846-SUM(U38:W38)</f>
        <v>-351</v>
      </c>
      <c r="Y38" s="1053">
        <f t="shared" ref="Y38:Y48" si="32">SUM(U38:X38)</f>
        <v>-508.846</v>
      </c>
      <c r="Z38" s="1059"/>
      <c r="AA38" s="1052">
        <v>-118.2</v>
      </c>
      <c r="AB38" s="1044">
        <f>-247-AA38</f>
        <v>-128.80000000000001</v>
      </c>
      <c r="AC38" s="1044">
        <f>-496-SUM(AA38:AB38)</f>
        <v>-249</v>
      </c>
      <c r="AD38" s="1044">
        <f>-763-SUM(AA38:AC38)</f>
        <v>-267</v>
      </c>
      <c r="AE38" s="1053">
        <f t="shared" ref="AE38:AE48" si="33">SUM(AA38:AD38)</f>
        <v>-763</v>
      </c>
      <c r="AF38" s="1059"/>
      <c r="AG38" s="1052">
        <v>-122</v>
      </c>
      <c r="AH38" s="1044">
        <v>-122</v>
      </c>
      <c r="AI38" s="1044">
        <v>-89</v>
      </c>
      <c r="AJ38" s="1044">
        <f>-435.85-SUM(AG38:AI38)</f>
        <v>-102.85000000000002</v>
      </c>
      <c r="AK38" s="1053">
        <f t="shared" ref="AK38:AK48" si="34">SUM(AG38:AJ38)</f>
        <v>-435.85</v>
      </c>
      <c r="AL38" s="1059"/>
      <c r="AM38" s="1052">
        <v>-135</v>
      </c>
      <c r="AN38" s="1044">
        <f>-282-AM38</f>
        <v>-147</v>
      </c>
      <c r="AO38" s="1044">
        <f>-429-SUM(AM38:AN38)</f>
        <v>-147</v>
      </c>
      <c r="AP38" s="1044">
        <f>-538-150-11.119-SUM(AM38:AO38)</f>
        <v>-270.11900000000003</v>
      </c>
      <c r="AQ38" s="1053">
        <f t="shared" ref="AQ38:AQ48" si="35">SUM(AM38:AP38)</f>
        <v>-699.11900000000003</v>
      </c>
      <c r="AR38" s="1073"/>
      <c r="AS38" s="1052">
        <v>-95</v>
      </c>
      <c r="AT38" s="1369">
        <f>-232-AS38</f>
        <v>-137</v>
      </c>
      <c r="AU38" s="1369">
        <f>-305-SUM(AS38:AT38)</f>
        <v>-73</v>
      </c>
      <c r="AV38" s="1369">
        <f>-356-SUM(AS38:AU38)</f>
        <v>-51</v>
      </c>
      <c r="AW38" s="1053">
        <f>SUM(AS38:AV38)</f>
        <v>-356</v>
      </c>
      <c r="AX38" s="1073"/>
      <c r="AY38" s="1678">
        <v>-98</v>
      </c>
      <c r="AZ38" s="1369">
        <f>-249-AY38</f>
        <v>-151</v>
      </c>
      <c r="BA38" s="1369">
        <f>-371-SUM(AY38:AZ38)</f>
        <v>-122</v>
      </c>
      <c r="BB38" s="1369">
        <f>-485-SUM(AY38:BA38)</f>
        <v>-114</v>
      </c>
      <c r="BC38" s="1053">
        <f>SUM(AY38:BB38)</f>
        <v>-485</v>
      </c>
      <c r="BD38" s="1073"/>
      <c r="BE38" s="1678">
        <f>-75</f>
        <v>-75</v>
      </c>
      <c r="BF38" s="1369">
        <f>-195-BE38</f>
        <v>-120</v>
      </c>
      <c r="BG38" s="1369">
        <f>-804.507-SUM(BE38:BF38)</f>
        <v>-609.50699999999995</v>
      </c>
      <c r="BH38" s="1369">
        <f>-902.507-SUM(BE38:BG38)</f>
        <v>-98</v>
      </c>
      <c r="BI38" s="1053">
        <f>SUM(BE38:BH38)</f>
        <v>-902.50699999999995</v>
      </c>
      <c r="BJ38" s="1073"/>
      <c r="BK38" s="1678">
        <v>-145.94999999999999</v>
      </c>
      <c r="BL38" s="1369">
        <f>-145.95-BK38</f>
        <v>0</v>
      </c>
      <c r="BM38" s="1369">
        <f>-146.965-SUM(BK38:BL38)</f>
        <v>-1.0150000000000148</v>
      </c>
      <c r="BN38" s="1369">
        <f>-235.965-SUM(BK38:BM38)</f>
        <v>-89</v>
      </c>
      <c r="BO38" s="1053">
        <f>SUM(BK38:BN38)</f>
        <v>-235.965</v>
      </c>
      <c r="BP38" s="1073"/>
      <c r="BQ38" s="1055">
        <f>IF(Debt!BQ28&lt;0,Debt!BQ28,0)</f>
        <v>-75</v>
      </c>
      <c r="BR38" s="383">
        <f>IF(Debt!BR28&lt;0,Debt!BR28,0)</f>
        <v>-250</v>
      </c>
      <c r="BS38" s="383">
        <f>IF(Debt!BS28&lt;0,Debt!BS28,0)</f>
        <v>-50</v>
      </c>
      <c r="BT38" s="383">
        <f>IF(Debt!BT28&lt;0,Debt!BT28,0)</f>
        <v>-150</v>
      </c>
      <c r="BU38" s="1053">
        <f>SUM(BQ38:BT38)</f>
        <v>-525</v>
      </c>
      <c r="BV38" s="1073"/>
      <c r="BW38" s="1055">
        <f>IF(Debt!BW28&lt;0,Debt!BW28,0)</f>
        <v>-100</v>
      </c>
      <c r="BX38" s="383">
        <f>IF(Debt!BX28&lt;0,Debt!BX28,0)</f>
        <v>-100</v>
      </c>
      <c r="BY38" s="383">
        <f>IF(Debt!BY28&lt;0,Debt!BY28,0)</f>
        <v>-100</v>
      </c>
      <c r="BZ38" s="383">
        <f>IF(Debt!BZ28&lt;0,Debt!BZ28,0)</f>
        <v>0</v>
      </c>
      <c r="CA38" s="1053">
        <f>SUM(BW38:BZ38)</f>
        <v>-300</v>
      </c>
      <c r="CB38" s="1073"/>
      <c r="CC38" s="1055">
        <f>IF(Debt!CC28&lt;0,Debt!CC28,0)</f>
        <v>0</v>
      </c>
      <c r="CD38" s="383">
        <f>IF(Debt!CD28&lt;0,Debt!CD28,0)</f>
        <v>0</v>
      </c>
      <c r="CE38" s="383">
        <f>IF(Debt!CE28&lt;0,Debt!CE28,0)</f>
        <v>0</v>
      </c>
      <c r="CF38" s="383">
        <f>IF(Debt!CF28&lt;0,Debt!CF28,0)</f>
        <v>-100</v>
      </c>
      <c r="CG38" s="1053">
        <f>SUM(CC38:CF38)</f>
        <v>-100</v>
      </c>
      <c r="CH38" s="1073"/>
      <c r="CI38" s="1055">
        <f>IF(Debt!CI28&lt;0,Debt!CI28,0)</f>
        <v>-100</v>
      </c>
      <c r="CJ38" s="383">
        <f>IF(Debt!CJ28&lt;0,Debt!CJ28,0)</f>
        <v>-100</v>
      </c>
      <c r="CK38" s="383">
        <f>IF(Debt!CK28&lt;0,Debt!CK28,0)</f>
        <v>-100</v>
      </c>
      <c r="CL38" s="383">
        <f>IF(Debt!CL28&lt;0,Debt!CL28,0)</f>
        <v>-161.80000000000001</v>
      </c>
      <c r="CM38" s="1053">
        <f>SUM(CI38:CL38)</f>
        <v>-461.8</v>
      </c>
      <c r="CN38" s="1026"/>
      <c r="CO38" s="1026"/>
      <c r="CP38" s="1026"/>
    </row>
    <row r="39" spans="1:94">
      <c r="A39" s="868" t="s">
        <v>414</v>
      </c>
      <c r="B39" s="917"/>
      <c r="C39" s="1052">
        <v>25.45</v>
      </c>
      <c r="D39" s="1044">
        <f>129.462-C39</f>
        <v>104.01199999999999</v>
      </c>
      <c r="E39" s="1044">
        <f>271.462-SUM(C39:D39)</f>
        <v>142</v>
      </c>
      <c r="F39" s="1047">
        <f>571.462-SUM(C39:E39)</f>
        <v>300</v>
      </c>
      <c r="G39" s="1053">
        <f t="shared" si="29"/>
        <v>571.46199999999999</v>
      </c>
      <c r="H39" s="1059"/>
      <c r="I39" s="1052">
        <v>355</v>
      </c>
      <c r="J39" s="1044">
        <f>365.5+150-I39</f>
        <v>160.5</v>
      </c>
      <c r="K39" s="1044">
        <f>409.5+150-J39-I39</f>
        <v>44</v>
      </c>
      <c r="L39" s="1047">
        <f>476+150-SUM(I39:K39)</f>
        <v>66.5</v>
      </c>
      <c r="M39" s="1053">
        <f t="shared" si="30"/>
        <v>626</v>
      </c>
      <c r="N39" s="1059"/>
      <c r="O39" s="1052">
        <v>105</v>
      </c>
      <c r="P39" s="1044">
        <f>197-O39</f>
        <v>92</v>
      </c>
      <c r="Q39" s="1044">
        <f>339.5-P39-O39</f>
        <v>142.5</v>
      </c>
      <c r="R39" s="1047">
        <f>406.5-SUM(O39:Q39)</f>
        <v>67</v>
      </c>
      <c r="S39" s="1053">
        <f t="shared" si="31"/>
        <v>406.5</v>
      </c>
      <c r="T39" s="1059"/>
      <c r="U39" s="1052">
        <v>32</v>
      </c>
      <c r="V39" s="1044">
        <f>171-U39</f>
        <v>139</v>
      </c>
      <c r="W39" s="1044">
        <f>261-V39-U39</f>
        <v>90</v>
      </c>
      <c r="X39" s="1047">
        <f>368-SUM(U39:W39)</f>
        <v>107</v>
      </c>
      <c r="Y39" s="1053">
        <f t="shared" si="32"/>
        <v>368</v>
      </c>
      <c r="Z39" s="1059"/>
      <c r="AA39" s="1052">
        <v>208</v>
      </c>
      <c r="AB39" s="1044">
        <f>494-AA39</f>
        <v>286</v>
      </c>
      <c r="AC39" s="1044">
        <f>580-SUM(AA39:AB39)</f>
        <v>86</v>
      </c>
      <c r="AD39" s="1044">
        <f>787+496.86-SUM(AA39:AC39)</f>
        <v>703.86000000000013</v>
      </c>
      <c r="AE39" s="1053">
        <f t="shared" si="33"/>
        <v>1283.8600000000001</v>
      </c>
      <c r="AF39" s="1059"/>
      <c r="AG39" s="1052">
        <v>111</v>
      </c>
      <c r="AH39" s="1044">
        <v>99</v>
      </c>
      <c r="AI39" s="1044">
        <v>81</v>
      </c>
      <c r="AJ39" s="1044">
        <f>(395+4.05)-SUM(AG39:AI39)</f>
        <v>108.05000000000001</v>
      </c>
      <c r="AK39" s="1053">
        <f t="shared" si="34"/>
        <v>399.05</v>
      </c>
      <c r="AL39" s="1059"/>
      <c r="AM39" s="1052">
        <v>213</v>
      </c>
      <c r="AN39" s="1044">
        <f>340-AM39</f>
        <v>127</v>
      </c>
      <c r="AO39" s="1044">
        <f>419-SUM(AM39:AN39)</f>
        <v>79</v>
      </c>
      <c r="AP39" s="1044">
        <f>677-SUM(AM39:AO39)</f>
        <v>258</v>
      </c>
      <c r="AQ39" s="1053">
        <f t="shared" si="35"/>
        <v>677</v>
      </c>
      <c r="AR39" s="1059"/>
      <c r="AS39" s="1052">
        <v>90</v>
      </c>
      <c r="AT39" s="1369">
        <f>193-AS39</f>
        <v>103</v>
      </c>
      <c r="AU39" s="1369">
        <f>227-SUM(AS39:AT39)</f>
        <v>34</v>
      </c>
      <c r="AV39" s="1369">
        <f>475-SUM(AS39:AU39)</f>
        <v>248</v>
      </c>
      <c r="AW39" s="1053">
        <f>SUM(AS39:AV39)</f>
        <v>475</v>
      </c>
      <c r="AX39" s="1059"/>
      <c r="AY39" s="1678">
        <v>61</v>
      </c>
      <c r="AZ39" s="1369">
        <f>184-AY39</f>
        <v>123</v>
      </c>
      <c r="BA39" s="1369">
        <f>347-SUM(AY39:AZ39)</f>
        <v>163</v>
      </c>
      <c r="BB39" s="1369">
        <f>451-SUM(AY39:BA39)</f>
        <v>104</v>
      </c>
      <c r="BC39" s="1053">
        <f>SUM(AY39:BB39)</f>
        <v>451</v>
      </c>
      <c r="BD39" s="1059"/>
      <c r="BE39" s="1678">
        <v>183</v>
      </c>
      <c r="BF39" s="1369">
        <f>240-BE39</f>
        <v>57</v>
      </c>
      <c r="BG39" s="1369">
        <f>375.507-SUM(BE39:BF39)</f>
        <v>135.50700000000001</v>
      </c>
      <c r="BH39" s="1369">
        <f>420.507-SUM(BE39:BG39)</f>
        <v>45</v>
      </c>
      <c r="BI39" s="1053">
        <f>SUM(BE39:BH39)</f>
        <v>420.50700000000001</v>
      </c>
      <c r="BJ39" s="1059"/>
      <c r="BK39" s="1678">
        <v>146.952</v>
      </c>
      <c r="BL39" s="1369">
        <f>146.952-BK39</f>
        <v>0</v>
      </c>
      <c r="BM39" s="1369">
        <f>146.952-SUM(BK39:BL39)</f>
        <v>0</v>
      </c>
      <c r="BN39" s="1369">
        <f>1060.952-SUM(BK39:BM39)</f>
        <v>914</v>
      </c>
      <c r="BO39" s="1053">
        <f>SUM(BK39:BN39)</f>
        <v>1060.952</v>
      </c>
      <c r="BP39" s="1059"/>
      <c r="BQ39" s="1055">
        <f>IF(Debt!BQ28&gt;0,Debt!BQ28,0)</f>
        <v>0</v>
      </c>
      <c r="BR39" s="2377">
        <v>368.4</v>
      </c>
      <c r="BS39" s="383">
        <f>IF(Debt!BS28&gt;0,Debt!BS28,0)</f>
        <v>0</v>
      </c>
      <c r="BT39" s="383">
        <f>IF(Debt!BT28&gt;0,Debt!BT28,0)</f>
        <v>0</v>
      </c>
      <c r="BU39" s="1053">
        <f>SUM(BQ39:BT39)</f>
        <v>368.4</v>
      </c>
      <c r="BV39" s="1059"/>
      <c r="BW39" s="1055">
        <f>IF(Debt!BW28&gt;0,Debt!BW28,0)</f>
        <v>0</v>
      </c>
      <c r="BX39" s="383">
        <f>IF(Debt!BX28&gt;0,Debt!BX28,0)</f>
        <v>0</v>
      </c>
      <c r="BY39" s="383">
        <f>IF(Debt!BY28&gt;0,Debt!BY28,0)</f>
        <v>0</v>
      </c>
      <c r="BZ39" s="383">
        <f>IF(Debt!BZ28&gt;0,Debt!BZ28,0)</f>
        <v>0</v>
      </c>
      <c r="CA39" s="1053">
        <f>SUM(BW39:BZ39)</f>
        <v>0</v>
      </c>
      <c r="CB39" s="1059"/>
      <c r="CC39" s="1055">
        <f>IF(Debt!CC28&gt;0,Debt!CC28,0)</f>
        <v>0</v>
      </c>
      <c r="CD39" s="383">
        <f>IF(Debt!CD28&gt;0,Debt!CD28,0)</f>
        <v>0</v>
      </c>
      <c r="CE39" s="383">
        <f>IF(Debt!CE28&gt;0,Debt!CE28,0)</f>
        <v>0</v>
      </c>
      <c r="CF39" s="383">
        <f>IF(Debt!CF28&gt;0,Debt!CF28,0)</f>
        <v>0</v>
      </c>
      <c r="CG39" s="1053">
        <f>SUM(CC39:CF39)</f>
        <v>0</v>
      </c>
      <c r="CH39" s="1059"/>
      <c r="CI39" s="1055">
        <f>IF(Debt!CI28&gt;0,Debt!CI28,0)</f>
        <v>0</v>
      </c>
      <c r="CJ39" s="383">
        <f>IF(Debt!CJ28&gt;0,Debt!CJ28,0)</f>
        <v>0</v>
      </c>
      <c r="CK39" s="383">
        <f>IF(Debt!CK28&gt;0,Debt!CK28,0)</f>
        <v>0</v>
      </c>
      <c r="CL39" s="383">
        <f>IF(Debt!CL28&gt;0,Debt!CL28,0)</f>
        <v>0</v>
      </c>
      <c r="CM39" s="1053">
        <f>SUM(CI39:CL39)</f>
        <v>0</v>
      </c>
      <c r="CN39" s="1026"/>
      <c r="CO39" s="1026"/>
      <c r="CP39" s="1026"/>
    </row>
    <row r="40" spans="1:94">
      <c r="A40" s="868" t="s">
        <v>415</v>
      </c>
      <c r="B40" s="917"/>
      <c r="C40" s="1052">
        <v>0</v>
      </c>
      <c r="D40" s="1044">
        <f>0-C40</f>
        <v>0</v>
      </c>
      <c r="E40" s="1044">
        <f>-0.415-SUM(C40:D40)</f>
        <v>-0.41499999999999998</v>
      </c>
      <c r="F40" s="1047">
        <f>-0.765-SUM(C40:E40)</f>
        <v>-0.35000000000000003</v>
      </c>
      <c r="G40" s="1053">
        <f t="shared" si="29"/>
        <v>-0.76500000000000001</v>
      </c>
      <c r="H40" s="1059"/>
      <c r="I40" s="1052">
        <v>-0.58499999999999996</v>
      </c>
      <c r="J40" s="1044">
        <f>-1.841-I40</f>
        <v>-1.256</v>
      </c>
      <c r="K40" s="1044">
        <f>-1.969-J40-I40</f>
        <v>-0.12800000000000011</v>
      </c>
      <c r="L40" s="1047">
        <f>-1.997-SUM(I40:K40)</f>
        <v>-2.8000000000000025E-2</v>
      </c>
      <c r="M40" s="1053">
        <f t="shared" si="30"/>
        <v>-1.9970000000000001</v>
      </c>
      <c r="N40" s="1059"/>
      <c r="O40" s="1052">
        <v>-7.0000000000000001E-3</v>
      </c>
      <c r="P40" s="1044">
        <f>-0.007-O40</f>
        <v>0</v>
      </c>
      <c r="Q40" s="1044">
        <f>-0.007-P40-O40</f>
        <v>0</v>
      </c>
      <c r="R40" s="1047">
        <f>-0.007-SUM(O40:Q40)</f>
        <v>0</v>
      </c>
      <c r="S40" s="1053">
        <f t="shared" si="31"/>
        <v>-7.0000000000000001E-3</v>
      </c>
      <c r="T40" s="1059"/>
      <c r="U40" s="1052">
        <v>0</v>
      </c>
      <c r="V40" s="1044">
        <f>-0.072-U40</f>
        <v>-7.1999999999999995E-2</v>
      </c>
      <c r="W40" s="1044">
        <f>-0.072-V40-U40</f>
        <v>0</v>
      </c>
      <c r="X40" s="1047">
        <f>-0.072-SUM(U40:W40)</f>
        <v>0</v>
      </c>
      <c r="Y40" s="1053">
        <f t="shared" si="32"/>
        <v>-7.1999999999999995E-2</v>
      </c>
      <c r="Z40" s="1059"/>
      <c r="AA40" s="1052">
        <v>0</v>
      </c>
      <c r="AB40" s="1044">
        <f>0-AA40</f>
        <v>0</v>
      </c>
      <c r="AC40" s="1044">
        <f>-1-SUM(AA40:AB40)</f>
        <v>-1</v>
      </c>
      <c r="AD40" s="1044">
        <f>-10.531-SUM(AA40:AC40)</f>
        <v>-9.5310000000000006</v>
      </c>
      <c r="AE40" s="1053">
        <f t="shared" si="33"/>
        <v>-10.531000000000001</v>
      </c>
      <c r="AF40" s="1059"/>
      <c r="AG40" s="1052">
        <v>-0.27900000000000003</v>
      </c>
      <c r="AH40" s="1044">
        <v>-0.13700000000000001</v>
      </c>
      <c r="AI40" s="1044"/>
      <c r="AJ40" s="1044">
        <f>-0.416-SUM(AG40:AI40)</f>
        <v>0</v>
      </c>
      <c r="AK40" s="1053">
        <f t="shared" si="34"/>
        <v>-0.41600000000000004</v>
      </c>
      <c r="AL40" s="1059"/>
      <c r="AM40" s="1052">
        <v>0</v>
      </c>
      <c r="AN40" s="1044">
        <f>0-AM40</f>
        <v>0</v>
      </c>
      <c r="AO40" s="1044">
        <f>0-SUM(AM40:AN40)</f>
        <v>0</v>
      </c>
      <c r="AP40" s="1044">
        <f>0-SUM(AM40:AO40)</f>
        <v>0</v>
      </c>
      <c r="AQ40" s="1053">
        <f t="shared" si="35"/>
        <v>0</v>
      </c>
      <c r="AR40" s="1059"/>
      <c r="AS40" s="1052">
        <v>-1.724</v>
      </c>
      <c r="AT40" s="1369">
        <f>-1.845-AS40</f>
        <v>-0.121</v>
      </c>
      <c r="AU40" s="1369">
        <f>-1.845-SUM(AS40:AT40)</f>
        <v>0</v>
      </c>
      <c r="AV40" s="1369">
        <f>-1.845-SUM(AS40:AU40)</f>
        <v>0</v>
      </c>
      <c r="AW40" s="1053">
        <f t="shared" ref="AW40:AW48" si="36">SUM(AS40:AV40)</f>
        <v>-1.845</v>
      </c>
      <c r="AX40" s="1059"/>
      <c r="AY40" s="1678">
        <v>0</v>
      </c>
      <c r="AZ40" s="1369">
        <f>0-AY40</f>
        <v>0</v>
      </c>
      <c r="BA40" s="1369">
        <f>0-SUM(AY40:AZ40)</f>
        <v>0</v>
      </c>
      <c r="BB40" s="1369">
        <f>SUM(AY40:BA40)</f>
        <v>0</v>
      </c>
      <c r="BC40" s="1053">
        <f t="shared" ref="BC40:BC46" si="37">SUM(AY40:BB40)</f>
        <v>0</v>
      </c>
      <c r="BD40" s="1059"/>
      <c r="BE40" s="1678">
        <v>0</v>
      </c>
      <c r="BF40" s="1369">
        <f>0-BE40</f>
        <v>0</v>
      </c>
      <c r="BG40" s="1369">
        <f>-7.868-SUM(BE40:BF40)</f>
        <v>-7.8680000000000003</v>
      </c>
      <c r="BH40" s="1369">
        <f>-7.868-SUM(BE40:BG40)</f>
        <v>0</v>
      </c>
      <c r="BI40" s="1053">
        <f t="shared" ref="BI40:BI46" si="38">SUM(BE40:BH40)</f>
        <v>-7.8680000000000003</v>
      </c>
      <c r="BJ40" s="1059"/>
      <c r="BK40" s="1678">
        <v>0</v>
      </c>
      <c r="BL40" s="1369">
        <f t="shared" ref="BL40" si="39">0-BK40</f>
        <v>0</v>
      </c>
      <c r="BM40" s="1369">
        <f t="shared" ref="BM40" si="40">0-SUM(BK40:BL40)</f>
        <v>0</v>
      </c>
      <c r="BN40" s="1369">
        <f>0-SUM(BK40:BM40)</f>
        <v>0</v>
      </c>
      <c r="BO40" s="1053">
        <f t="shared" ref="BO40:BO46" si="41">SUM(BK40:BN40)</f>
        <v>0</v>
      </c>
      <c r="BP40" s="1059"/>
      <c r="BQ40" s="1052">
        <v>0</v>
      </c>
      <c r="BR40" s="1044">
        <v>0</v>
      </c>
      <c r="BS40" s="1044">
        <v>0</v>
      </c>
      <c r="BT40" s="1044">
        <v>0</v>
      </c>
      <c r="BU40" s="1053">
        <f t="shared" ref="BU40:BU46" si="42">SUM(BQ40:BT40)</f>
        <v>0</v>
      </c>
      <c r="BV40" s="1059"/>
      <c r="BW40" s="1052">
        <v>0</v>
      </c>
      <c r="BX40" s="1044">
        <v>0</v>
      </c>
      <c r="BY40" s="1044">
        <v>0</v>
      </c>
      <c r="BZ40" s="1044">
        <v>0</v>
      </c>
      <c r="CA40" s="1053">
        <f t="shared" ref="CA40:CA46" si="43">SUM(BW40:BZ40)</f>
        <v>0</v>
      </c>
      <c r="CB40" s="1059"/>
      <c r="CC40" s="1052">
        <v>0</v>
      </c>
      <c r="CD40" s="1044">
        <v>0</v>
      </c>
      <c r="CE40" s="1044">
        <v>0</v>
      </c>
      <c r="CF40" s="1044">
        <v>0</v>
      </c>
      <c r="CG40" s="1053">
        <f t="shared" ref="CG40:CG46" si="44">SUM(CC40:CF40)</f>
        <v>0</v>
      </c>
      <c r="CH40" s="1059"/>
      <c r="CI40" s="1052">
        <v>0</v>
      </c>
      <c r="CJ40" s="1044">
        <v>0</v>
      </c>
      <c r="CK40" s="1044">
        <v>0</v>
      </c>
      <c r="CL40" s="1044">
        <v>0</v>
      </c>
      <c r="CM40" s="1053">
        <f t="shared" ref="CM40:CM46" si="45">SUM(CI40:CL40)</f>
        <v>0</v>
      </c>
      <c r="CN40" s="1026"/>
      <c r="CO40" s="1026"/>
      <c r="CP40" s="1026"/>
    </row>
    <row r="41" spans="1:94" ht="12.75" hidden="1" customHeight="1" outlineLevel="1">
      <c r="A41" s="868" t="s">
        <v>416</v>
      </c>
      <c r="B41" s="917"/>
      <c r="C41" s="1052">
        <v>-1.2999999999999999E-2</v>
      </c>
      <c r="D41" s="1044">
        <f>-0.824-C41</f>
        <v>-0.81099999999999994</v>
      </c>
      <c r="E41" s="1044">
        <f>-0.861-SUM(C41:D41)</f>
        <v>-3.7000000000000033E-2</v>
      </c>
      <c r="F41" s="1047">
        <f>-1.263-4.232-SUM(C41:E41)</f>
        <v>-4.6340000000000003</v>
      </c>
      <c r="G41" s="1053">
        <f t="shared" si="29"/>
        <v>-5.4950000000000001</v>
      </c>
      <c r="H41" s="1059"/>
      <c r="I41" s="1052">
        <v>-1.6E-2</v>
      </c>
      <c r="J41" s="1044">
        <f>-0.499-11.702-I41</f>
        <v>-12.185</v>
      </c>
      <c r="K41" s="1044">
        <f>-0.511-11.702-J41-I41</f>
        <v>-1.1999999999998692E-2</v>
      </c>
      <c r="L41" s="1047">
        <f>-0.521-27.064-SUM(I41:K41)</f>
        <v>-15.372000000000002</v>
      </c>
      <c r="M41" s="1053">
        <f t="shared" si="30"/>
        <v>-27.585000000000001</v>
      </c>
      <c r="N41" s="1059"/>
      <c r="O41" s="1052">
        <v>-0.01</v>
      </c>
      <c r="P41" s="1044">
        <f>-0.081-O41</f>
        <v>-7.1000000000000008E-2</v>
      </c>
      <c r="Q41" s="1044">
        <f>-0.079-P41-O41</f>
        <v>2.000000000000007E-3</v>
      </c>
      <c r="R41" s="1047">
        <f>-0.116-SUM(O41:Q41)</f>
        <v>-3.7000000000000005E-2</v>
      </c>
      <c r="S41" s="1053">
        <f t="shared" si="31"/>
        <v>-0.11600000000000001</v>
      </c>
      <c r="T41" s="1059"/>
      <c r="U41" s="1052">
        <v>-3.6999999999999998E-2</v>
      </c>
      <c r="V41" s="1044">
        <f>-0.074-U41</f>
        <v>-3.6999999999999998E-2</v>
      </c>
      <c r="W41" s="1044">
        <f>-0.111-V41-U41</f>
        <v>-3.7000000000000012E-2</v>
      </c>
      <c r="X41" s="1047">
        <f>-0.149-SUM(U41:W41)</f>
        <v>-3.7999999999999978E-2</v>
      </c>
      <c r="Y41" s="1053">
        <f t="shared" si="32"/>
        <v>-0.14899999999999999</v>
      </c>
      <c r="Z41" s="1059"/>
      <c r="AA41" s="1052">
        <v>-3.7999999999999999E-2</v>
      </c>
      <c r="AB41" s="1044">
        <f>-2.303-AA41</f>
        <v>-2.2650000000000001</v>
      </c>
      <c r="AC41" s="1044">
        <f>-2.303-SUM(AA41:AB41)</f>
        <v>0</v>
      </c>
      <c r="AD41" s="1044">
        <f>-2.303-SUM(AA41:AC41)</f>
        <v>0</v>
      </c>
      <c r="AE41" s="1053">
        <f t="shared" si="33"/>
        <v>-2.3029999999999999</v>
      </c>
      <c r="AF41" s="1059"/>
      <c r="AG41" s="1052"/>
      <c r="AH41" s="1044"/>
      <c r="AI41" s="1044">
        <v>-0.14299999999999999</v>
      </c>
      <c r="AJ41" s="1044">
        <f>5.274-SUM(AG41:AI41)</f>
        <v>5.4169999999999998</v>
      </c>
      <c r="AK41" s="1053">
        <f t="shared" si="34"/>
        <v>5.274</v>
      </c>
      <c r="AL41" s="1059"/>
      <c r="AM41" s="1052">
        <v>8.0220000000000002</v>
      </c>
      <c r="AN41" s="1044">
        <f>5.264-AM41</f>
        <v>-2.758</v>
      </c>
      <c r="AO41" s="1044">
        <f>5.53-SUM(AM41:AN41)</f>
        <v>0.26600000000000001</v>
      </c>
      <c r="AP41" s="1044">
        <f>5.281-SUM(AM41:AO41)</f>
        <v>-0.24900000000000055</v>
      </c>
      <c r="AQ41" s="1053">
        <f t="shared" si="35"/>
        <v>5.2809999999999997</v>
      </c>
      <c r="AR41" s="1059"/>
      <c r="AS41" s="1052">
        <v>-0.252</v>
      </c>
      <c r="AT41" s="1369">
        <f>-0.507-AS41</f>
        <v>-0.255</v>
      </c>
      <c r="AU41" s="1369">
        <f>-1.225-SUM(AS41:AT41)</f>
        <v>-0.71800000000000008</v>
      </c>
      <c r="AV41" s="1369">
        <f>-12.675-SUM(AS41:AU41)</f>
        <v>-11.450000000000001</v>
      </c>
      <c r="AW41" s="1053">
        <f t="shared" si="36"/>
        <v>-12.675000000000001</v>
      </c>
      <c r="AX41" s="1059"/>
      <c r="AY41" s="1678">
        <v>-0.26300000000000001</v>
      </c>
      <c r="AZ41" s="1369">
        <f>0-AY41</f>
        <v>0.26300000000000001</v>
      </c>
      <c r="BA41" s="1369">
        <f>-0.8-SUM(AY41:AZ41)</f>
        <v>-0.8</v>
      </c>
      <c r="BB41" s="1369">
        <f>-1.072-SUM(AY41:BA41)</f>
        <v>-0.27200000000000002</v>
      </c>
      <c r="BC41" s="1053">
        <f t="shared" si="37"/>
        <v>-1.0720000000000001</v>
      </c>
      <c r="BD41" s="1059"/>
      <c r="BE41" s="1678">
        <v>-0.27500000000000002</v>
      </c>
      <c r="BF41" s="1369">
        <f>-0.553-BE41</f>
        <v>-0.27800000000000002</v>
      </c>
      <c r="BG41" s="1369">
        <f>-0.835+546.19-SUM(BE41:BF41)</f>
        <v>545.90800000000002</v>
      </c>
      <c r="BH41" s="1369">
        <f>-1.096+546.19-SUM(BE41:BG41)</f>
        <v>-0.26099999999996726</v>
      </c>
      <c r="BI41" s="1053">
        <f t="shared" si="38"/>
        <v>545.09400000000005</v>
      </c>
      <c r="BJ41" s="1059"/>
      <c r="BK41" s="1678">
        <v>-0.28699999999999998</v>
      </c>
      <c r="BL41" s="1369">
        <f>-0.577-BK41</f>
        <v>-0.28999999999999998</v>
      </c>
      <c r="BM41" s="1369">
        <f>-0.872-SUM(BK41:BL41)</f>
        <v>-0.29500000000000004</v>
      </c>
      <c r="BN41" s="1369">
        <f>-2.831-SUM(BK41:BM41)</f>
        <v>-1.9590000000000001</v>
      </c>
      <c r="BO41" s="1053">
        <f t="shared" si="41"/>
        <v>-2.831</v>
      </c>
      <c r="BP41" s="1059"/>
      <c r="BQ41" s="1052">
        <v>0</v>
      </c>
      <c r="BR41" s="1044">
        <v>0</v>
      </c>
      <c r="BS41" s="1044">
        <v>0</v>
      </c>
      <c r="BT41" s="1044">
        <v>0</v>
      </c>
      <c r="BU41" s="1053">
        <f t="shared" si="42"/>
        <v>0</v>
      </c>
      <c r="BV41" s="1059"/>
      <c r="BW41" s="1052">
        <v>0</v>
      </c>
      <c r="BX41" s="1044">
        <v>0</v>
      </c>
      <c r="BY41" s="1044">
        <v>0</v>
      </c>
      <c r="BZ41" s="1044">
        <v>0</v>
      </c>
      <c r="CA41" s="1053">
        <f t="shared" si="43"/>
        <v>0</v>
      </c>
      <c r="CB41" s="1059"/>
      <c r="CC41" s="1052">
        <v>0</v>
      </c>
      <c r="CD41" s="1044">
        <v>0</v>
      </c>
      <c r="CE41" s="1044">
        <v>0</v>
      </c>
      <c r="CF41" s="1044">
        <v>0</v>
      </c>
      <c r="CG41" s="1053">
        <f t="shared" si="44"/>
        <v>0</v>
      </c>
      <c r="CH41" s="1059"/>
      <c r="CI41" s="1052">
        <v>0</v>
      </c>
      <c r="CJ41" s="1044">
        <v>0</v>
      </c>
      <c r="CK41" s="1044">
        <v>0</v>
      </c>
      <c r="CL41" s="1044">
        <v>0</v>
      </c>
      <c r="CM41" s="1053">
        <f t="shared" si="45"/>
        <v>0</v>
      </c>
      <c r="CN41" s="1026"/>
      <c r="CO41" s="1026"/>
      <c r="CP41" s="1026"/>
    </row>
    <row r="42" spans="1:94" ht="12.75" hidden="1" customHeight="1" outlineLevel="1">
      <c r="A42" s="868" t="s">
        <v>417</v>
      </c>
      <c r="B42" s="917" t="s">
        <v>79</v>
      </c>
      <c r="C42" s="1052">
        <v>0</v>
      </c>
      <c r="D42" s="1044">
        <f>0-C42</f>
        <v>0</v>
      </c>
      <c r="E42" s="1044">
        <f>0-SUM(C42:D42)</f>
        <v>0</v>
      </c>
      <c r="F42" s="1047">
        <f>0-SUM(C42:E42)</f>
        <v>0</v>
      </c>
      <c r="G42" s="1053">
        <f t="shared" si="29"/>
        <v>0</v>
      </c>
      <c r="H42" s="1059"/>
      <c r="I42" s="1052">
        <v>0</v>
      </c>
      <c r="J42" s="1044">
        <f>0-I42</f>
        <v>0</v>
      </c>
      <c r="K42" s="1044">
        <f>0-J42-I42</f>
        <v>0</v>
      </c>
      <c r="L42" s="1047">
        <f>0-SUM(I42:K42)</f>
        <v>0</v>
      </c>
      <c r="M42" s="1053">
        <f t="shared" si="30"/>
        <v>0</v>
      </c>
      <c r="N42" s="1059"/>
      <c r="O42" s="1052">
        <v>0</v>
      </c>
      <c r="P42" s="1044">
        <f>0-O42</f>
        <v>0</v>
      </c>
      <c r="Q42" s="1044">
        <f>0-P42-O42</f>
        <v>0</v>
      </c>
      <c r="R42" s="1047">
        <f>0-SUM(O42:Q42)</f>
        <v>0</v>
      </c>
      <c r="S42" s="1053">
        <f t="shared" si="31"/>
        <v>0</v>
      </c>
      <c r="T42" s="1059"/>
      <c r="U42" s="1052">
        <v>-0.13600000000000001</v>
      </c>
      <c r="V42" s="1044">
        <f>-0.136-U42</f>
        <v>0</v>
      </c>
      <c r="W42" s="1044">
        <f>-0.136-V42-U42</f>
        <v>0</v>
      </c>
      <c r="X42" s="1047">
        <f>-0.136-SUM(U42:W42)</f>
        <v>0</v>
      </c>
      <c r="Y42" s="1053">
        <f t="shared" si="32"/>
        <v>-0.13600000000000001</v>
      </c>
      <c r="Z42" s="1059"/>
      <c r="AA42" s="1052">
        <v>-0.13700000000000001</v>
      </c>
      <c r="AB42" s="1044">
        <f>-0.137-AA42</f>
        <v>0</v>
      </c>
      <c r="AC42" s="1044">
        <f>-0.137-SUM(AA42:AB42)</f>
        <v>0</v>
      </c>
      <c r="AD42" s="1044">
        <f>-0.137-SUM(AA42:AC42)</f>
        <v>0</v>
      </c>
      <c r="AE42" s="1053">
        <f t="shared" si="33"/>
        <v>-0.13700000000000001</v>
      </c>
      <c r="AF42" s="1059"/>
      <c r="AG42" s="1052"/>
      <c r="AH42" s="1044">
        <v>-9.343</v>
      </c>
      <c r="AI42" s="1044">
        <v>-3.1160000000000001</v>
      </c>
      <c r="AJ42" s="1044">
        <f>-12.459-SUM(AG42:AI42)</f>
        <v>0</v>
      </c>
      <c r="AK42" s="1053">
        <f t="shared" si="34"/>
        <v>-12.459</v>
      </c>
      <c r="AL42" s="1059"/>
      <c r="AM42" s="1052">
        <v>0.84</v>
      </c>
      <c r="AN42" s="1044">
        <f>1.363-AM42</f>
        <v>0.52300000000000002</v>
      </c>
      <c r="AO42" s="1044">
        <f>1.363-SUM(AM42:AN42)</f>
        <v>0</v>
      </c>
      <c r="AP42" s="1044">
        <f>1.363-SUM(AM42:AO42)</f>
        <v>0</v>
      </c>
      <c r="AQ42" s="1053">
        <f t="shared" si="35"/>
        <v>1.363</v>
      </c>
      <c r="AR42" s="1059"/>
      <c r="AS42" s="1052">
        <v>0</v>
      </c>
      <c r="AT42" s="1369">
        <f>0-AS42</f>
        <v>0</v>
      </c>
      <c r="AU42" s="1369">
        <f>-0.855-SUM(AS42:AT42)</f>
        <v>-0.85499999999999998</v>
      </c>
      <c r="AV42" s="1369">
        <f>-0.855-SUM(AS42:AU42)</f>
        <v>0</v>
      </c>
      <c r="AW42" s="1053">
        <f t="shared" si="36"/>
        <v>-0.85499999999999998</v>
      </c>
      <c r="AX42" s="1059"/>
      <c r="AY42" s="1678">
        <v>0</v>
      </c>
      <c r="AZ42" s="1369">
        <f>0.344-AY42</f>
        <v>0.34399999999999997</v>
      </c>
      <c r="BA42" s="1369">
        <f>-0.026-SUM(AY42:AZ42)</f>
        <v>-0.37</v>
      </c>
      <c r="BB42" s="1369">
        <f>-0.103-SUM(AY42:BA42)</f>
        <v>-7.6999999999999971E-2</v>
      </c>
      <c r="BC42" s="1053">
        <f t="shared" si="37"/>
        <v>-0.10299999999999999</v>
      </c>
      <c r="BD42" s="1059"/>
      <c r="BE42" s="1678">
        <v>-9.2999999999999999E-2</v>
      </c>
      <c r="BF42" s="1369">
        <f>-0.099-BE42</f>
        <v>-6.0000000000000053E-3</v>
      </c>
      <c r="BG42" s="1369">
        <f>-0.113-SUM(BE42:BF42)</f>
        <v>-1.3999999999999999E-2</v>
      </c>
      <c r="BH42" s="1369">
        <f>-0.155-SUM(BE42:BG42)</f>
        <v>-4.1999999999999996E-2</v>
      </c>
      <c r="BI42" s="1053">
        <f t="shared" si="38"/>
        <v>-0.155</v>
      </c>
      <c r="BJ42" s="1059"/>
      <c r="BK42" s="1678">
        <v>-8.94</v>
      </c>
      <c r="BL42" s="1369">
        <f>-8.94-BK42</f>
        <v>0</v>
      </c>
      <c r="BM42" s="1369">
        <f>-8.94-SUM(BK42:BL42)</f>
        <v>0</v>
      </c>
      <c r="BN42" s="1369">
        <f>-8.94-SUM(BK42:BM42)</f>
        <v>0</v>
      </c>
      <c r="BO42" s="1053">
        <f t="shared" si="41"/>
        <v>-8.94</v>
      </c>
      <c r="BP42" s="1059"/>
      <c r="BQ42" s="1052">
        <v>0</v>
      </c>
      <c r="BR42" s="1044">
        <v>0</v>
      </c>
      <c r="BS42" s="1044">
        <v>0</v>
      </c>
      <c r="BT42" s="1044">
        <v>0</v>
      </c>
      <c r="BU42" s="1053">
        <f t="shared" si="42"/>
        <v>0</v>
      </c>
      <c r="BV42" s="1059"/>
      <c r="BW42" s="1052">
        <v>0</v>
      </c>
      <c r="BX42" s="1044">
        <v>0</v>
      </c>
      <c r="BY42" s="1044">
        <v>0</v>
      </c>
      <c r="BZ42" s="1044">
        <v>0</v>
      </c>
      <c r="CA42" s="1053">
        <f t="shared" si="43"/>
        <v>0</v>
      </c>
      <c r="CB42" s="1059"/>
      <c r="CC42" s="1052">
        <v>0</v>
      </c>
      <c r="CD42" s="1044">
        <v>0</v>
      </c>
      <c r="CE42" s="1044">
        <v>0</v>
      </c>
      <c r="CF42" s="1044">
        <v>0</v>
      </c>
      <c r="CG42" s="1053">
        <f t="shared" si="44"/>
        <v>0</v>
      </c>
      <c r="CH42" s="1059"/>
      <c r="CI42" s="1052">
        <v>0</v>
      </c>
      <c r="CJ42" s="1044">
        <v>0</v>
      </c>
      <c r="CK42" s="1044">
        <v>0</v>
      </c>
      <c r="CL42" s="1044">
        <v>0</v>
      </c>
      <c r="CM42" s="1053">
        <f t="shared" si="45"/>
        <v>0</v>
      </c>
      <c r="CN42" s="1026"/>
      <c r="CO42" s="1026"/>
      <c r="CP42" s="1026"/>
    </row>
    <row r="43" spans="1:94" collapsed="1">
      <c r="A43" s="868" t="s">
        <v>410</v>
      </c>
      <c r="B43" s="917" t="s">
        <v>79</v>
      </c>
      <c r="C43" s="1052">
        <v>0.70299999999999996</v>
      </c>
      <c r="D43" s="1044">
        <f>1.435-C43</f>
        <v>0.7320000000000001</v>
      </c>
      <c r="E43" s="1044">
        <f>5.987-SUM(C43:D43)</f>
        <v>4.5519999999999996</v>
      </c>
      <c r="F43" s="1047">
        <f>0.414-SUM(C43:E43)</f>
        <v>-5.5730000000000004</v>
      </c>
      <c r="G43" s="1053">
        <f t="shared" si="29"/>
        <v>0.4139999999999997</v>
      </c>
      <c r="H43" s="1059"/>
      <c r="I43" s="1052">
        <v>4.0000000000000001E-3</v>
      </c>
      <c r="J43" s="1044">
        <f>0.108-I43</f>
        <v>0.104</v>
      </c>
      <c r="K43" s="1044">
        <f>0.359-J43-I43</f>
        <v>0.251</v>
      </c>
      <c r="L43" s="1047">
        <f>0.342-SUM(I43:K43)</f>
        <v>-1.699999999999996E-2</v>
      </c>
      <c r="M43" s="1053">
        <f t="shared" si="30"/>
        <v>0.34200000000000003</v>
      </c>
      <c r="N43" s="1059"/>
      <c r="O43" s="1052">
        <v>-7.5999999999999998E-2</v>
      </c>
      <c r="P43" s="1044">
        <f>0.025-O43</f>
        <v>0.10100000000000001</v>
      </c>
      <c r="Q43" s="1044">
        <f>0.03-P43-O43</f>
        <v>4.9999999999999906E-3</v>
      </c>
      <c r="R43" s="1047">
        <f>0.222-SUM(O43:Q43)</f>
        <v>0.192</v>
      </c>
      <c r="S43" s="1053">
        <f t="shared" si="31"/>
        <v>0.222</v>
      </c>
      <c r="T43" s="1059"/>
      <c r="U43" s="1052">
        <v>2.4E-2</v>
      </c>
      <c r="V43" s="1044">
        <f>0.024-U43</f>
        <v>0</v>
      </c>
      <c r="W43" s="1044">
        <f>0.082-V43-U43</f>
        <v>5.8000000000000003E-2</v>
      </c>
      <c r="X43" s="1047">
        <f>2.405-SUM(U43:W43)</f>
        <v>2.323</v>
      </c>
      <c r="Y43" s="1053">
        <f t="shared" si="32"/>
        <v>2.4049999999999998</v>
      </c>
      <c r="Z43" s="1059"/>
      <c r="AA43" s="1052">
        <v>7.7720000000000002</v>
      </c>
      <c r="AB43" s="1044">
        <f>8.591-AA43</f>
        <v>0.81899999999999906</v>
      </c>
      <c r="AC43" s="1044">
        <f>9.303-SUM(AA43:AB43)</f>
        <v>0.71200000000000152</v>
      </c>
      <c r="AD43" s="1044">
        <f>9.321-SUM(AA43:AC43)</f>
        <v>1.7999999999998906E-2</v>
      </c>
      <c r="AE43" s="1053">
        <f t="shared" si="33"/>
        <v>9.3209999999999997</v>
      </c>
      <c r="AF43" s="1059"/>
      <c r="AG43" s="1052">
        <v>1.139</v>
      </c>
      <c r="AH43" s="1044"/>
      <c r="AI43" s="1044">
        <v>0.628</v>
      </c>
      <c r="AJ43" s="1044">
        <f>1.767-SUM(AG43:AI43)</f>
        <v>0</v>
      </c>
      <c r="AK43" s="1053">
        <f t="shared" si="34"/>
        <v>1.7669999999999999</v>
      </c>
      <c r="AL43" s="1059"/>
      <c r="AM43" s="1052">
        <v>0</v>
      </c>
      <c r="AN43" s="1044">
        <f>0-AM43</f>
        <v>0</v>
      </c>
      <c r="AO43" s="1044">
        <f>0-SUM(AM43:AN43)</f>
        <v>0</v>
      </c>
      <c r="AP43" s="1044">
        <f>0-SUM(AM43:AO43)</f>
        <v>0</v>
      </c>
      <c r="AQ43" s="1053">
        <f t="shared" si="35"/>
        <v>0</v>
      </c>
      <c r="AR43" s="1059"/>
      <c r="AS43" s="1052">
        <v>0</v>
      </c>
      <c r="AT43" s="1369">
        <f>0-AS43</f>
        <v>0</v>
      </c>
      <c r="AU43" s="1369">
        <f>0-SUM(AS43:AT43)</f>
        <v>0</v>
      </c>
      <c r="AV43" s="1369">
        <f>0-SUM(AS43:AU43)</f>
        <v>0</v>
      </c>
      <c r="AW43" s="1053">
        <f t="shared" si="36"/>
        <v>0</v>
      </c>
      <c r="AX43" s="1059"/>
      <c r="AY43" s="1678">
        <v>15.563000000000001</v>
      </c>
      <c r="AZ43" s="1369">
        <f>23.468-AY43</f>
        <v>7.9049999999999994</v>
      </c>
      <c r="BA43" s="1369">
        <f>19.21-SUM(AY43:AZ43)</f>
        <v>-4.2579999999999991</v>
      </c>
      <c r="BB43" s="1369">
        <f>2.435+18.706-SUM(AY43:BA43)</f>
        <v>1.9309999999999974</v>
      </c>
      <c r="BC43" s="1053">
        <f t="shared" si="37"/>
        <v>21.140999999999998</v>
      </c>
      <c r="BD43" s="1059"/>
      <c r="BE43" s="1678">
        <v>2.63</v>
      </c>
      <c r="BF43" s="1369">
        <f>1.278-BE43</f>
        <v>-1.3519999999999999</v>
      </c>
      <c r="BG43" s="1369">
        <f>1.674-SUM(BE43:BF43)</f>
        <v>0.39599999999999991</v>
      </c>
      <c r="BH43" s="1369">
        <f>-1.9-SUM(BE43:BG43)</f>
        <v>-3.5739999999999998</v>
      </c>
      <c r="BI43" s="1053">
        <f t="shared" si="38"/>
        <v>-1.9</v>
      </c>
      <c r="BJ43" s="1059"/>
      <c r="BK43" s="1678">
        <v>-1.569</v>
      </c>
      <c r="BL43" s="1369">
        <f>-4.314-BK43</f>
        <v>-2.7450000000000001</v>
      </c>
      <c r="BM43" s="1369">
        <f>-11.539-SUM(BK43:BL43)</f>
        <v>-7.2249999999999996</v>
      </c>
      <c r="BN43" s="1369">
        <f>-13.824-SUM(BK43:BM43)</f>
        <v>-2.2850000000000001</v>
      </c>
      <c r="BO43" s="1053">
        <f t="shared" si="41"/>
        <v>-13.824</v>
      </c>
      <c r="BP43" s="1059"/>
      <c r="BQ43" s="1052">
        <v>0</v>
      </c>
      <c r="BR43" s="1044">
        <v>0</v>
      </c>
      <c r="BS43" s="1044">
        <v>0</v>
      </c>
      <c r="BT43" s="1044">
        <v>0</v>
      </c>
      <c r="BU43" s="1053">
        <f t="shared" si="42"/>
        <v>0</v>
      </c>
      <c r="BV43" s="1059"/>
      <c r="BW43" s="1052">
        <v>0</v>
      </c>
      <c r="BX43" s="1044">
        <v>0</v>
      </c>
      <c r="BY43" s="1044">
        <v>0</v>
      </c>
      <c r="BZ43" s="1044">
        <v>0</v>
      </c>
      <c r="CA43" s="1053">
        <f t="shared" si="43"/>
        <v>0</v>
      </c>
      <c r="CB43" s="1059"/>
      <c r="CC43" s="1052">
        <v>0</v>
      </c>
      <c r="CD43" s="1044">
        <v>0</v>
      </c>
      <c r="CE43" s="1044">
        <v>0</v>
      </c>
      <c r="CF43" s="1044">
        <v>0</v>
      </c>
      <c r="CG43" s="1053">
        <f t="shared" si="44"/>
        <v>0</v>
      </c>
      <c r="CH43" s="1059"/>
      <c r="CI43" s="1052">
        <v>0</v>
      </c>
      <c r="CJ43" s="1044">
        <v>0</v>
      </c>
      <c r="CK43" s="1044">
        <v>0</v>
      </c>
      <c r="CL43" s="1044">
        <v>0</v>
      </c>
      <c r="CM43" s="1053">
        <f t="shared" si="45"/>
        <v>0</v>
      </c>
      <c r="CN43" s="1026"/>
      <c r="CO43" s="1026"/>
      <c r="CP43" s="1026"/>
    </row>
    <row r="44" spans="1:94">
      <c r="A44" s="868" t="s">
        <v>360</v>
      </c>
      <c r="B44" s="917" t="s">
        <v>79</v>
      </c>
      <c r="C44" s="1052">
        <v>6.17</v>
      </c>
      <c r="D44" s="1044">
        <f>12.781-C44</f>
        <v>6.6110000000000007</v>
      </c>
      <c r="E44" s="1044">
        <f>30.223-SUM(C44:D44)</f>
        <v>17.442</v>
      </c>
      <c r="F44" s="1047">
        <f>32.377-SUM(C44:E44)</f>
        <v>2.1540000000000035</v>
      </c>
      <c r="G44" s="1053">
        <f t="shared" si="29"/>
        <v>32.377000000000002</v>
      </c>
      <c r="H44" s="1059"/>
      <c r="I44" s="1052">
        <v>0.64600000000000002</v>
      </c>
      <c r="J44" s="1044">
        <f>18.368-I44</f>
        <v>17.721999999999998</v>
      </c>
      <c r="K44" s="1044">
        <f>43.435-J44-I44</f>
        <v>25.067000000000004</v>
      </c>
      <c r="L44" s="1047">
        <f>43.741-SUM(I44:K44)</f>
        <v>0.30599999999999739</v>
      </c>
      <c r="M44" s="1053">
        <f t="shared" si="30"/>
        <v>43.741</v>
      </c>
      <c r="N44" s="1059"/>
      <c r="O44" s="1052">
        <v>0.30399999999999999</v>
      </c>
      <c r="P44" s="1044">
        <f>2.079-O44</f>
        <v>1.7750000000000001</v>
      </c>
      <c r="Q44" s="1044">
        <f>2.262-P44-O44</f>
        <v>0.18299999999999988</v>
      </c>
      <c r="R44" s="1047">
        <f>6.244-SUM(O44:Q44)</f>
        <v>3.9819999999999998</v>
      </c>
      <c r="S44" s="1053">
        <f t="shared" si="31"/>
        <v>6.2439999999999998</v>
      </c>
      <c r="T44" s="1059"/>
      <c r="U44" s="1052">
        <v>12.433999999999999</v>
      </c>
      <c r="V44" s="1044">
        <f>13.047-U44</f>
        <v>0.61300000000000132</v>
      </c>
      <c r="W44" s="1044">
        <f>15.171-V44-U44</f>
        <v>2.1239999999999988</v>
      </c>
      <c r="X44" s="1047">
        <f>29.035-SUM(U44:W44)</f>
        <v>13.864000000000001</v>
      </c>
      <c r="Y44" s="1053">
        <f t="shared" si="32"/>
        <v>29.035</v>
      </c>
      <c r="Z44" s="1059"/>
      <c r="AA44" s="1052">
        <v>18.03</v>
      </c>
      <c r="AB44" s="1044">
        <f>23.552-AA44</f>
        <v>5.5219999999999985</v>
      </c>
      <c r="AC44" s="1044">
        <f>23.67-SUM(AA44:AB44)</f>
        <v>0.1180000000000021</v>
      </c>
      <c r="AD44" s="1044">
        <f>23.736-SUM(AA44:AC44)</f>
        <v>6.5999999999998948E-2</v>
      </c>
      <c r="AE44" s="1053">
        <f t="shared" si="33"/>
        <v>23.736000000000001</v>
      </c>
      <c r="AF44" s="1059"/>
      <c r="AG44" s="1052">
        <v>9.4990000000000006</v>
      </c>
      <c r="AH44" s="1044">
        <v>2.2469999999999999</v>
      </c>
      <c r="AI44" s="1044">
        <v>11.198</v>
      </c>
      <c r="AJ44" s="1044">
        <f>32.478-SUM(AG44:AI44)</f>
        <v>9.5339999999999989</v>
      </c>
      <c r="AK44" s="1053">
        <f t="shared" si="34"/>
        <v>32.478000000000002</v>
      </c>
      <c r="AL44" s="1059"/>
      <c r="AM44" s="1052">
        <v>5.4619999999999997</v>
      </c>
      <c r="AN44" s="1044">
        <f>7.289-AM44</f>
        <v>1.827</v>
      </c>
      <c r="AO44" s="1044">
        <f>15.292-SUM(AM44:AN44)</f>
        <v>8.0030000000000001</v>
      </c>
      <c r="AP44" s="1044">
        <f>20.313-SUM(AM44:AO44)</f>
        <v>5.020999999999999</v>
      </c>
      <c r="AQ44" s="1053">
        <f t="shared" si="35"/>
        <v>20.312999999999999</v>
      </c>
      <c r="AR44" s="1059"/>
      <c r="AS44" s="1052">
        <v>7.2309999999999999</v>
      </c>
      <c r="AT44" s="1369">
        <f>19.454-AS44</f>
        <v>12.223000000000001</v>
      </c>
      <c r="AU44" s="1369">
        <f>20.947-SUM(AS44:AT44)</f>
        <v>1.4929999999999986</v>
      </c>
      <c r="AV44" s="1369">
        <f>24.455-SUM(AS44:AU44)</f>
        <v>3.5079999999999991</v>
      </c>
      <c r="AW44" s="1053">
        <f t="shared" si="36"/>
        <v>24.454999999999998</v>
      </c>
      <c r="AX44" s="1059"/>
      <c r="AY44" s="1678">
        <v>8.84</v>
      </c>
      <c r="AZ44" s="1369">
        <f>12.669-AY44</f>
        <v>3.8290000000000006</v>
      </c>
      <c r="BA44" s="1369">
        <f>13.081-SUM(AY44:AZ44)</f>
        <v>0.41199999999999903</v>
      </c>
      <c r="BB44" s="1369">
        <f>14.905-SUM(AY44:BA44)</f>
        <v>1.8239999999999998</v>
      </c>
      <c r="BC44" s="1053">
        <f t="shared" si="37"/>
        <v>14.904999999999999</v>
      </c>
      <c r="BD44" s="1059"/>
      <c r="BE44" s="1678">
        <v>1.238</v>
      </c>
      <c r="BF44" s="1369">
        <f>8.953-BE44</f>
        <v>7.7149999999999999</v>
      </c>
      <c r="BG44" s="1369">
        <f>12.081-SUM(BE44:BF44)</f>
        <v>3.1280000000000001</v>
      </c>
      <c r="BH44" s="1369">
        <f>14.418-SUM(BE44:BG44)</f>
        <v>2.3369999999999997</v>
      </c>
      <c r="BI44" s="1053">
        <f t="shared" si="38"/>
        <v>14.417999999999999</v>
      </c>
      <c r="BJ44" s="1059"/>
      <c r="BK44" s="1678">
        <v>4.6269999999999998</v>
      </c>
      <c r="BL44" s="1369">
        <f>13.223-BK44</f>
        <v>8.5960000000000001</v>
      </c>
      <c r="BM44" s="1369">
        <f>14.004-SUM(BK44:BL44)</f>
        <v>0.78100000000000058</v>
      </c>
      <c r="BN44" s="1369">
        <f>18.004-SUM(BK44:BM44)</f>
        <v>4.0000000000000018</v>
      </c>
      <c r="BO44" s="1053">
        <f t="shared" si="41"/>
        <v>18.004000000000001</v>
      </c>
      <c r="BP44" s="1059"/>
      <c r="BQ44" s="1055">
        <f>BQ82</f>
        <v>15.680689199999998</v>
      </c>
      <c r="BR44" s="383">
        <f>BR82</f>
        <v>16.736867135999997</v>
      </c>
      <c r="BS44" s="383">
        <f>BS82</f>
        <v>13.218155343359996</v>
      </c>
      <c r="BT44" s="383">
        <f>BT82</f>
        <v>10.514701325145598</v>
      </c>
      <c r="BU44" s="1053">
        <f t="shared" si="42"/>
        <v>56.150413004505594</v>
      </c>
      <c r="BV44" s="1059"/>
      <c r="BW44" s="1055">
        <f>BW82</f>
        <v>9.6380539157593148</v>
      </c>
      <c r="BX44" s="383">
        <f>BX82</f>
        <v>17.675867344293838</v>
      </c>
      <c r="BY44" s="383">
        <f>BY82</f>
        <v>14.016232030381174</v>
      </c>
      <c r="BZ44" s="383">
        <f>BZ82</f>
        <v>11.251678724604416</v>
      </c>
      <c r="CA44" s="1053">
        <f t="shared" si="43"/>
        <v>52.581832015038742</v>
      </c>
      <c r="CB44" s="1059"/>
      <c r="CC44" s="1055">
        <f>CC82</f>
        <v>10.366048707558159</v>
      </c>
      <c r="CD44" s="383">
        <f>CD82</f>
        <v>28.702162658943088</v>
      </c>
      <c r="CE44" s="383">
        <f>CE82</f>
        <v>22.802750010533334</v>
      </c>
      <c r="CF44" s="383">
        <f>CF82</f>
        <v>18.382795386278719</v>
      </c>
      <c r="CG44" s="1053">
        <f t="shared" si="44"/>
        <v>80.253756763313291</v>
      </c>
      <c r="CH44" s="1059"/>
      <c r="CI44" s="1055">
        <f>CI82</f>
        <v>16.975392412354395</v>
      </c>
      <c r="CJ44" s="383">
        <f>CJ82</f>
        <v>54.266745081432198</v>
      </c>
      <c r="CK44" s="383">
        <f>CK82</f>
        <v>43.134223833063643</v>
      </c>
      <c r="CL44" s="383">
        <f>CL82</f>
        <v>34.811809608191467</v>
      </c>
      <c r="CM44" s="1053">
        <f t="shared" si="45"/>
        <v>149.18817093504171</v>
      </c>
      <c r="CN44" s="1026"/>
      <c r="CO44" s="1026"/>
      <c r="CP44" s="1026"/>
    </row>
    <row r="45" spans="1:94">
      <c r="A45" s="868" t="s">
        <v>361</v>
      </c>
      <c r="B45" s="917"/>
      <c r="C45" s="1052">
        <v>-60.027999999999999</v>
      </c>
      <c r="D45" s="1044">
        <f>-147.105-C45</f>
        <v>-87.076999999999998</v>
      </c>
      <c r="E45" s="1044">
        <f>-176.031-SUM(C45:D45)</f>
        <v>-28.926000000000016</v>
      </c>
      <c r="F45" s="1047">
        <f>-202.971-SUM(C45:E45)</f>
        <v>-26.939999999999998</v>
      </c>
      <c r="G45" s="1053">
        <f t="shared" si="29"/>
        <v>-202.971</v>
      </c>
      <c r="H45" s="1059"/>
      <c r="I45" s="1052">
        <v>-0.40799999999999997</v>
      </c>
      <c r="J45" s="1044">
        <f>-0.408-I45</f>
        <v>0</v>
      </c>
      <c r="K45" s="1044">
        <f>-57.139-J45-I45</f>
        <v>-56.731000000000002</v>
      </c>
      <c r="L45" s="1047">
        <f>-75.514-SUM(I45:K45)</f>
        <v>-18.374999999999993</v>
      </c>
      <c r="M45" s="1053">
        <f t="shared" si="30"/>
        <v>-75.513999999999996</v>
      </c>
      <c r="N45" s="1059"/>
      <c r="O45" s="1052">
        <v>-14.577</v>
      </c>
      <c r="P45" s="1044">
        <f>-14.587-O45</f>
        <v>-9.9999999999997868E-3</v>
      </c>
      <c r="Q45" s="1044">
        <f>-14.619-P45-O45</f>
        <v>-3.2000000000000028E-2</v>
      </c>
      <c r="R45" s="1047">
        <f>-14.619-SUM(O45:Q45)</f>
        <v>0</v>
      </c>
      <c r="S45" s="1053">
        <f t="shared" si="31"/>
        <v>-14.619</v>
      </c>
      <c r="T45" s="1059"/>
      <c r="U45" s="1052">
        <v>-0.93799999999999994</v>
      </c>
      <c r="V45" s="1044">
        <f>-0.995-U45</f>
        <v>-5.7000000000000051E-2</v>
      </c>
      <c r="W45" s="1044">
        <f>-0.995-V45-U45</f>
        <v>0</v>
      </c>
      <c r="X45" s="1047">
        <f>-72.768-SUM(U45:W45)</f>
        <v>-71.772999999999996</v>
      </c>
      <c r="Y45" s="1053">
        <f t="shared" si="32"/>
        <v>-72.768000000000001</v>
      </c>
      <c r="Z45" s="1059"/>
      <c r="AA45" s="1052">
        <v>-109.224</v>
      </c>
      <c r="AB45" s="1044">
        <f>-109.997-AA45</f>
        <v>-0.77299999999999613</v>
      </c>
      <c r="AC45" s="1044">
        <f>-110.004-SUM(AA45:AB45)</f>
        <v>-7.0000000000050022E-3</v>
      </c>
      <c r="AD45" s="1044">
        <f>-110.005-SUM(AA45:AC45)</f>
        <v>-9.9999999999056399E-4</v>
      </c>
      <c r="AE45" s="1053">
        <f t="shared" si="33"/>
        <v>-110.005</v>
      </c>
      <c r="AF45" s="1059"/>
      <c r="AG45" s="1052">
        <v>-1.6319999999999999</v>
      </c>
      <c r="AH45" s="1044">
        <v>-0.43099999999999999</v>
      </c>
      <c r="AI45" s="1044">
        <v>-2.9000000000000001E-2</v>
      </c>
      <c r="AJ45" s="1044">
        <f>-2.104-SUM(AG45:AI45)</f>
        <v>-1.2000000000000455E-2</v>
      </c>
      <c r="AK45" s="1053">
        <f t="shared" si="34"/>
        <v>-2.1040000000000001</v>
      </c>
      <c r="AL45" s="1059"/>
      <c r="AM45" s="1052">
        <v>-126.858</v>
      </c>
      <c r="AN45" s="1044">
        <f>-126.993-AM45</f>
        <v>-0.13499999999999091</v>
      </c>
      <c r="AO45" s="1044">
        <f>-127.186-SUM(AM45:AN45)</f>
        <v>-0.19300000000001205</v>
      </c>
      <c r="AP45" s="1044">
        <f>-127.398-SUM(AM45:AO45)</f>
        <v>-0.21199999999998909</v>
      </c>
      <c r="AQ45" s="1053">
        <f t="shared" si="35"/>
        <v>-127.398</v>
      </c>
      <c r="AR45" s="1059"/>
      <c r="AS45" s="1052">
        <v>-3.9159999999999999</v>
      </c>
      <c r="AT45" s="1369">
        <f>-38.976-AS45</f>
        <v>-35.06</v>
      </c>
      <c r="AU45" s="1369">
        <f>-39.004-SUM(AS45:AT45)</f>
        <v>-2.7999999999998693E-2</v>
      </c>
      <c r="AV45" s="1369">
        <f>-65.529-SUM(AS45:AU45)</f>
        <v>-26.524999999999999</v>
      </c>
      <c r="AW45" s="1053">
        <f t="shared" si="36"/>
        <v>-65.528999999999996</v>
      </c>
      <c r="AX45" s="1059"/>
      <c r="AY45" s="1678">
        <v>-3.9540000000000002</v>
      </c>
      <c r="AZ45" s="1369">
        <f>-4.095-AY45</f>
        <v>-0.14099999999999957</v>
      </c>
      <c r="BA45" s="1369">
        <f>-76.158-SUM(AY45:AZ45)</f>
        <v>-72.063000000000002</v>
      </c>
      <c r="BB45" s="1369">
        <f>-76.439-SUM(AY45:BA45)</f>
        <v>-0.2809999999999917</v>
      </c>
      <c r="BC45" s="1053">
        <f t="shared" si="37"/>
        <v>-76.438999999999993</v>
      </c>
      <c r="BD45" s="1059"/>
      <c r="BE45" s="1678">
        <v>-151.352</v>
      </c>
      <c r="BF45" s="1369">
        <f>-151.544-BE45</f>
        <v>-0.19200000000000728</v>
      </c>
      <c r="BG45" s="1369">
        <f>-151.64-SUM(BE45:BF45)</f>
        <v>-9.5999999999975216E-2</v>
      </c>
      <c r="BH45" s="1369">
        <f>-151.801-SUM(BE45:BG45)</f>
        <v>-0.16100000000000136</v>
      </c>
      <c r="BI45" s="1053">
        <f t="shared" si="38"/>
        <v>-151.80099999999999</v>
      </c>
      <c r="BJ45" s="1059"/>
      <c r="BK45" s="1678">
        <v>-3.1269999999999998</v>
      </c>
      <c r="BL45" s="1369">
        <f>-3.265-BK45</f>
        <v>-0.13800000000000034</v>
      </c>
      <c r="BM45" s="1369">
        <f>-3.48-SUM(BK45:BL45)</f>
        <v>-0.21499999999999986</v>
      </c>
      <c r="BN45" s="1369">
        <f>-3.834-SUM(BK45:BM45)</f>
        <v>-0.35400000000000009</v>
      </c>
      <c r="BO45" s="1053">
        <f t="shared" si="41"/>
        <v>-3.8340000000000001</v>
      </c>
      <c r="BP45" s="1059"/>
      <c r="BQ45" s="1055">
        <f>BQ88</f>
        <v>-15</v>
      </c>
      <c r="BR45" s="383">
        <f>BR88</f>
        <v>-15</v>
      </c>
      <c r="BS45" s="383">
        <f>BS88</f>
        <v>-15</v>
      </c>
      <c r="BT45" s="383">
        <f>BT88</f>
        <v>-15</v>
      </c>
      <c r="BU45" s="1053">
        <f t="shared" si="42"/>
        <v>-60</v>
      </c>
      <c r="BV45" s="1059"/>
      <c r="BW45" s="1055">
        <f>BW88</f>
        <v>-30</v>
      </c>
      <c r="BX45" s="383">
        <f>BX88</f>
        <v>-30</v>
      </c>
      <c r="BY45" s="383">
        <f>BY88</f>
        <v>-30</v>
      </c>
      <c r="BZ45" s="383">
        <f>BZ88</f>
        <v>-30</v>
      </c>
      <c r="CA45" s="1053">
        <f t="shared" si="43"/>
        <v>-120</v>
      </c>
      <c r="CB45" s="1059"/>
      <c r="CC45" s="1055">
        <f>CC88</f>
        <v>-30</v>
      </c>
      <c r="CD45" s="383">
        <f>CD88</f>
        <v>-30</v>
      </c>
      <c r="CE45" s="383">
        <f>CE88</f>
        <v>-30</v>
      </c>
      <c r="CF45" s="383">
        <f>CF88</f>
        <v>-30</v>
      </c>
      <c r="CG45" s="1053">
        <f t="shared" si="44"/>
        <v>-120</v>
      </c>
      <c r="CH45" s="1059"/>
      <c r="CI45" s="1055">
        <f>CI88</f>
        <v>-30</v>
      </c>
      <c r="CJ45" s="383">
        <f>CJ88</f>
        <v>-30</v>
      </c>
      <c r="CK45" s="383">
        <f>CK88</f>
        <v>-30</v>
      </c>
      <c r="CL45" s="383">
        <f>CL88</f>
        <v>-30</v>
      </c>
      <c r="CM45" s="1053">
        <f t="shared" si="45"/>
        <v>-120</v>
      </c>
      <c r="CN45" s="1026"/>
      <c r="CO45" s="1026"/>
      <c r="CP45" s="1026"/>
    </row>
    <row r="46" spans="1:94">
      <c r="A46" s="868" t="s">
        <v>362</v>
      </c>
      <c r="B46" s="917"/>
      <c r="C46" s="1052">
        <v>-8.6300000000000008</v>
      </c>
      <c r="D46" s="1044">
        <f>-17.123-C46</f>
        <v>-8.4930000000000003</v>
      </c>
      <c r="E46" s="1044">
        <f>-25.41-SUM(C46:D46)</f>
        <v>-8.286999999999999</v>
      </c>
      <c r="F46" s="1047">
        <f>-33.704-SUM(C46:E46)</f>
        <v>-8.2940000000000005</v>
      </c>
      <c r="G46" s="1053">
        <f t="shared" si="29"/>
        <v>-33.704000000000001</v>
      </c>
      <c r="H46" s="1059"/>
      <c r="I46" s="1052">
        <v>-8.2360000000000007</v>
      </c>
      <c r="J46" s="1044">
        <f>-16.487-I46</f>
        <v>-8.2509999999999977</v>
      </c>
      <c r="K46" s="1044">
        <f>-24.805-J46-I46</f>
        <v>-8.3180000000000014</v>
      </c>
      <c r="L46" s="1047">
        <f>-33.072-SUM(I46:K46)</f>
        <v>-8.267000000000003</v>
      </c>
      <c r="M46" s="1053">
        <f t="shared" si="30"/>
        <v>-33.072000000000003</v>
      </c>
      <c r="N46" s="1059"/>
      <c r="O46" s="1052">
        <v>-8.2050000000000001</v>
      </c>
      <c r="P46" s="1044">
        <f>-16.358-O46</f>
        <v>-8.1530000000000005</v>
      </c>
      <c r="Q46" s="1044">
        <f>-24.528-P46-O46</f>
        <v>-8.17</v>
      </c>
      <c r="R46" s="1047">
        <f>-32.701-SUM(O46:Q46)</f>
        <v>-8.1730000000000018</v>
      </c>
      <c r="S46" s="1053">
        <f t="shared" si="31"/>
        <v>-32.701000000000001</v>
      </c>
      <c r="T46" s="1059"/>
      <c r="U46" s="1052">
        <v>-8.2270000000000003</v>
      </c>
      <c r="V46" s="1044">
        <f>-16.474-U46</f>
        <v>-8.2469999999999999</v>
      </c>
      <c r="W46" s="1044">
        <f>-24.729-V46-U46</f>
        <v>-8.254999999999999</v>
      </c>
      <c r="X46" s="1047">
        <f>-32.992-SUM(U46:W46)</f>
        <v>-8.2629999999999981</v>
      </c>
      <c r="Y46" s="1053">
        <f t="shared" si="32"/>
        <v>-32.991999999999997</v>
      </c>
      <c r="Z46" s="1059"/>
      <c r="AA46" s="1052">
        <v>-8.1059999999999999</v>
      </c>
      <c r="AB46" s="1044">
        <f>-15.997-AA46</f>
        <v>-7.891</v>
      </c>
      <c r="AC46" s="1044">
        <f>-23.913-SUM(AA46:AB46)</f>
        <v>-7.9160000000000004</v>
      </c>
      <c r="AD46" s="1044">
        <f>-31.829-SUM(AA46:AC46)</f>
        <v>-7.9160000000000004</v>
      </c>
      <c r="AE46" s="1053">
        <f t="shared" si="33"/>
        <v>-31.829000000000001</v>
      </c>
      <c r="AF46" s="1059"/>
      <c r="AG46" s="1052">
        <v>-7.9219999999999997</v>
      </c>
      <c r="AH46" s="1044">
        <f>-7.969</f>
        <v>-7.9690000000000003</v>
      </c>
      <c r="AI46" s="1044">
        <v>-7.984</v>
      </c>
      <c r="AJ46" s="1044">
        <f>-31.903-SUM(AG46:AI46)</f>
        <v>-8.0279999999999987</v>
      </c>
      <c r="AK46" s="1053">
        <f t="shared" si="34"/>
        <v>-31.902999999999999</v>
      </c>
      <c r="AL46" s="1059"/>
      <c r="AM46" s="1052">
        <v>-8.06</v>
      </c>
      <c r="AN46" s="1044">
        <f>-15.892-AM46</f>
        <v>-7.831999999999999</v>
      </c>
      <c r="AO46" s="1044">
        <f>-23.733-SUM(AM46:AN46)</f>
        <v>-7.8410000000000011</v>
      </c>
      <c r="AP46" s="1044">
        <f>-31.6-SUM(AM46:AO46)</f>
        <v>-7.8670000000000009</v>
      </c>
      <c r="AQ46" s="1053">
        <f t="shared" si="35"/>
        <v>-31.6</v>
      </c>
      <c r="AR46" s="1059"/>
      <c r="AS46" s="1052">
        <v>-7.8869999999999996</v>
      </c>
      <c r="AT46" s="1369">
        <f>-15.809-AS46</f>
        <v>-7.9219999999999997</v>
      </c>
      <c r="AU46" s="1369">
        <f>-23.713-SUM(AS46:AT46)</f>
        <v>-7.9040000000000017</v>
      </c>
      <c r="AV46" s="1369">
        <f>-31.62-SUM(AS46:AU46)</f>
        <v>-7.907</v>
      </c>
      <c r="AW46" s="1053">
        <f t="shared" si="36"/>
        <v>-31.62</v>
      </c>
      <c r="AX46" s="1059"/>
      <c r="AY46" s="1678">
        <v>-7.8760000000000003</v>
      </c>
      <c r="AZ46" s="1369">
        <f>-15.799-AY46</f>
        <v>-7.9229999999999992</v>
      </c>
      <c r="BA46" s="1369">
        <f>-23.737-SUM(AY46:AZ46)</f>
        <v>-7.9379999999999988</v>
      </c>
      <c r="BB46" s="1369">
        <f>-31.571-SUM(AY46:BA46)</f>
        <v>-7.8340000000000032</v>
      </c>
      <c r="BC46" s="1053">
        <f t="shared" si="37"/>
        <v>-31.571000000000002</v>
      </c>
      <c r="BD46" s="1059"/>
      <c r="BE46" s="1678">
        <v>-7.843</v>
      </c>
      <c r="BF46" s="1369">
        <f>-15.474-BE46</f>
        <v>-7.6310000000000002</v>
      </c>
      <c r="BG46" s="1369">
        <f>-23.131-SUM(BE46:BF46)</f>
        <v>-7.657</v>
      </c>
      <c r="BH46" s="1369">
        <f>-30.799-SUM(BE46:BG46)</f>
        <v>-7.6679999999999993</v>
      </c>
      <c r="BI46" s="1053">
        <f t="shared" si="38"/>
        <v>-30.798999999999999</v>
      </c>
      <c r="BJ46" s="1059"/>
      <c r="BK46" s="1678">
        <v>-7.673</v>
      </c>
      <c r="BL46" s="1369">
        <f>-15.363-BK46</f>
        <v>-7.6899999999999995</v>
      </c>
      <c r="BM46" s="1369">
        <f>-23.077-SUM(BK46:BL46)</f>
        <v>-7.7140000000000022</v>
      </c>
      <c r="BN46" s="1369">
        <f>-30.793-SUM(BK46:BM46)</f>
        <v>-7.7159999999999975</v>
      </c>
      <c r="BO46" s="1053">
        <f t="shared" si="41"/>
        <v>-30.792999999999999</v>
      </c>
      <c r="BP46" s="1059"/>
      <c r="BQ46" s="1055">
        <f>-IS!BQ51</f>
        <v>-7.7050756030500001</v>
      </c>
      <c r="BR46" s="383">
        <f>-IS!BR51</f>
        <v>-7.7065654532469301</v>
      </c>
      <c r="BS46" s="383">
        <f>-IS!BS51</f>
        <v>-7.7050671014402177</v>
      </c>
      <c r="BT46" s="383">
        <f>-IS!BT51</f>
        <v>-7.7013696432091532</v>
      </c>
      <c r="BU46" s="1053">
        <f t="shared" si="42"/>
        <v>-30.818077800946298</v>
      </c>
      <c r="BV46" s="1059"/>
      <c r="BW46" s="1055">
        <f>-IS!BW51</f>
        <v>-7.6849145955770028</v>
      </c>
      <c r="BX46" s="383">
        <f>-IS!BX51</f>
        <v>-7.6751511260100136</v>
      </c>
      <c r="BY46" s="383">
        <f>-IS!BY51</f>
        <v>-7.6627376065081627</v>
      </c>
      <c r="BZ46" s="383">
        <f>-IS!BZ51</f>
        <v>-7.6484635930005442</v>
      </c>
      <c r="CA46" s="1053">
        <f t="shared" si="43"/>
        <v>-30.671266921095722</v>
      </c>
      <c r="CB46" s="1059"/>
      <c r="CC46" s="1055">
        <f>-IS!CC51</f>
        <v>-7.6338094853532761</v>
      </c>
      <c r="CD46" s="383">
        <f>-IS!CD51</f>
        <v>-7.6328598871471334</v>
      </c>
      <c r="CE46" s="383">
        <f>-IS!CE51</f>
        <v>-7.6276974573387868</v>
      </c>
      <c r="CF46" s="383">
        <f>-IS!CF51</f>
        <v>-7.6195286780406715</v>
      </c>
      <c r="CG46" s="1053">
        <f t="shared" si="44"/>
        <v>-30.513895507879866</v>
      </c>
      <c r="CH46" s="1059"/>
      <c r="CI46" s="1055">
        <f>-IS!CI51</f>
        <v>-7.6105505018615336</v>
      </c>
      <c r="CJ46" s="383">
        <f>-IS!CJ51</f>
        <v>-7.6269489577403471</v>
      </c>
      <c r="CK46" s="383">
        <f>-IS!CK51</f>
        <v>-7.6356498500381447</v>
      </c>
      <c r="CL46" s="383">
        <f>-IS!CL51</f>
        <v>-7.6387747474657637</v>
      </c>
      <c r="CM46" s="1053">
        <f t="shared" si="45"/>
        <v>-30.511924057105791</v>
      </c>
      <c r="CN46" s="1026"/>
      <c r="CO46" s="1026"/>
      <c r="CP46" s="1026"/>
    </row>
    <row r="47" spans="1:94" ht="12.75" hidden="1" customHeight="1" outlineLevel="1">
      <c r="A47" s="1698" t="s">
        <v>363</v>
      </c>
      <c r="B47" s="1635" t="s">
        <v>79</v>
      </c>
      <c r="C47" s="1055">
        <f>SUM(C38:C46)</f>
        <v>-36.348000000000006</v>
      </c>
      <c r="D47" s="383">
        <f>SUM(D38:D46)</f>
        <v>-34.72000000000002</v>
      </c>
      <c r="E47" s="383">
        <f>SUM(E38:E46)</f>
        <v>-6.4080000000000368</v>
      </c>
      <c r="F47" s="383">
        <f>SUM(F38:F46)</f>
        <v>226.36299999999997</v>
      </c>
      <c r="G47" s="1053">
        <f>SUM(G38:G46)</f>
        <v>148.88699999999994</v>
      </c>
      <c r="H47" s="383"/>
      <c r="I47" s="1055">
        <f>SUM(I38:I46)</f>
        <v>41.405000000000001</v>
      </c>
      <c r="J47" s="383">
        <f>SUM(J38:J46)</f>
        <v>-48.866000000000007</v>
      </c>
      <c r="K47" s="383">
        <f>SUM(K38:K46)</f>
        <v>-16.870999999999999</v>
      </c>
      <c r="L47" s="383">
        <f>SUM(L38:L46)</f>
        <v>-76.752999999999986</v>
      </c>
      <c r="M47" s="1053">
        <f>SUM(M38:M46)</f>
        <v>-101.08500000000001</v>
      </c>
      <c r="N47" s="383"/>
      <c r="O47" s="1055">
        <f>SUM(O38:O46)</f>
        <v>10.865000000000014</v>
      </c>
      <c r="P47" s="383">
        <f>SUM(P38:P46)</f>
        <v>-28.405000000000001</v>
      </c>
      <c r="Q47" s="383">
        <f>SUM(Q38:Q46)</f>
        <v>44.051999999999964</v>
      </c>
      <c r="R47" s="383">
        <f>SUM(R38:R46)</f>
        <v>-24.099999999999966</v>
      </c>
      <c r="S47" s="1053">
        <f>SUM(S38:S46)</f>
        <v>2.4120000000000132</v>
      </c>
      <c r="T47" s="383"/>
      <c r="U47" s="1055">
        <f>SUM(U38:U46)</f>
        <v>-26.879999999999995</v>
      </c>
      <c r="V47" s="383">
        <f>SUM(V38:V46)</f>
        <v>81.699999999999989</v>
      </c>
      <c r="W47" s="383">
        <f>SUM(W38:W46)</f>
        <v>37.543999999999997</v>
      </c>
      <c r="X47" s="383">
        <f>SUM(X38:X46)</f>
        <v>-307.887</v>
      </c>
      <c r="Y47" s="1053">
        <f>SUM(Y38:Y46)</f>
        <v>-215.523</v>
      </c>
      <c r="Z47" s="383"/>
      <c r="AA47" s="1055">
        <f>SUM(AA38:AA46)</f>
        <v>-1.9029999999999969</v>
      </c>
      <c r="AB47" s="383">
        <f>SUM(AB38:AB46)</f>
        <v>152.61199999999999</v>
      </c>
      <c r="AC47" s="383">
        <f>SUM(AC38:AC46)</f>
        <v>-171.09300000000002</v>
      </c>
      <c r="AD47" s="383">
        <f>SUM(AD38:AD46)</f>
        <v>419.49600000000009</v>
      </c>
      <c r="AE47" s="1053">
        <f>SUM(AE38:AE46)</f>
        <v>399.11200000000014</v>
      </c>
      <c r="AF47" s="383"/>
      <c r="AG47" s="1055">
        <f>SUM(AG38:AG46)</f>
        <v>-10.195</v>
      </c>
      <c r="AH47" s="383">
        <f>SUM(AH38:AH46)</f>
        <v>-38.633000000000003</v>
      </c>
      <c r="AI47" s="383">
        <f>SUM(AI38:AI46)</f>
        <v>-7.4459999999999997</v>
      </c>
      <c r="AJ47" s="383">
        <f>SUM(AJ38:AJ46)</f>
        <v>12.11099999999999</v>
      </c>
      <c r="AK47" s="1053">
        <f>SUM(AK38:AK46)</f>
        <v>-44.163000000000004</v>
      </c>
      <c r="AL47" s="383"/>
      <c r="AM47" s="1055">
        <f>SUM(AM38:AM46)</f>
        <v>-42.593999999999994</v>
      </c>
      <c r="AN47" s="383">
        <f>SUM(AN38:AN46)</f>
        <v>-28.374999999999993</v>
      </c>
      <c r="AO47" s="383">
        <f>SUM(AO38:AO46)</f>
        <v>-67.765000000000015</v>
      </c>
      <c r="AP47" s="383">
        <f>SUM(AP38:AP46)</f>
        <v>-15.42600000000002</v>
      </c>
      <c r="AQ47" s="1053">
        <f>SUM(AQ38:AQ46)</f>
        <v>-154.16000000000003</v>
      </c>
      <c r="AR47" s="383"/>
      <c r="AS47" s="1055">
        <f>SUM(AS38:AS46)</f>
        <v>-11.548</v>
      </c>
      <c r="AT47" s="383">
        <f>SUM(AT38:AT46)</f>
        <v>-65.135000000000005</v>
      </c>
      <c r="AU47" s="383">
        <f>SUM(AU38:AU46)</f>
        <v>-47.012</v>
      </c>
      <c r="AV47" s="383">
        <f>SUM(AV38:AV46)</f>
        <v>154.626</v>
      </c>
      <c r="AW47" s="1053">
        <f>SUM(AW38:AW46)</f>
        <v>30.930999999999987</v>
      </c>
      <c r="AX47" s="383"/>
      <c r="AY47" s="1055">
        <f>SUM(AY38:AY46)</f>
        <v>-24.689999999999998</v>
      </c>
      <c r="AZ47" s="383">
        <f>SUM(AZ38:AZ46)</f>
        <v>-23.722999999999999</v>
      </c>
      <c r="BA47" s="383">
        <f>SUM(BA38:BA46)</f>
        <v>-44.016999999999996</v>
      </c>
      <c r="BB47" s="383">
        <f>SUM(BB38:BB46)</f>
        <v>-14.708999999999998</v>
      </c>
      <c r="BC47" s="1053">
        <f>SUM(BC38:BC46)</f>
        <v>-107.139</v>
      </c>
      <c r="BD47" s="383"/>
      <c r="BE47" s="1055">
        <f>SUM(BE38:BE46)</f>
        <v>-47.695000000000022</v>
      </c>
      <c r="BF47" s="383">
        <f>SUM(BF38:BF46)</f>
        <v>-64.744</v>
      </c>
      <c r="BG47" s="383">
        <f>SUM(BG38:BG46)</f>
        <v>59.797000000000111</v>
      </c>
      <c r="BH47" s="383">
        <f>SUM(BH38:BH46)</f>
        <v>-62.368999999999964</v>
      </c>
      <c r="BI47" s="1053">
        <f>SUM(BI38:BI46)</f>
        <v>-115.01099999999988</v>
      </c>
      <c r="BJ47" s="383"/>
      <c r="BK47" s="1055">
        <f>SUM(BK38:BK46)</f>
        <v>-15.96699999999999</v>
      </c>
      <c r="BL47" s="383">
        <f>SUM(BL38:BL46)</f>
        <v>-2.2669999999999995</v>
      </c>
      <c r="BM47" s="383">
        <f>SUM(BM38:BM46)</f>
        <v>-15.683000000000016</v>
      </c>
      <c r="BN47" s="383">
        <f>SUM(BN38:BN46)</f>
        <v>816.68600000000004</v>
      </c>
      <c r="BO47" s="1053">
        <f>SUM(BO38:BO46)</f>
        <v>782.76900000000001</v>
      </c>
      <c r="BP47" s="383"/>
      <c r="BQ47" s="1055">
        <f>SUM(BQ38:BQ46)</f>
        <v>-82.024386403050016</v>
      </c>
      <c r="BR47" s="383">
        <f>SUM(BR38:BR46)</f>
        <v>112.43030168275305</v>
      </c>
      <c r="BS47" s="383">
        <f>SUM(BS38:BS46)</f>
        <v>-59.486911758080225</v>
      </c>
      <c r="BT47" s="383">
        <f>SUM(BT38:BT46)</f>
        <v>-162.18666831806354</v>
      </c>
      <c r="BU47" s="1053">
        <f>SUM(BU38:BU46)</f>
        <v>-191.26766479644073</v>
      </c>
      <c r="BV47" s="383"/>
      <c r="BW47" s="1055">
        <f>SUM(BW38:BW46)</f>
        <v>-128.04686067981768</v>
      </c>
      <c r="BX47" s="383">
        <f>SUM(BX38:BX46)</f>
        <v>-119.99928378171617</v>
      </c>
      <c r="BY47" s="383">
        <f>SUM(BY38:BY46)</f>
        <v>-123.64650557612698</v>
      </c>
      <c r="BZ47" s="383">
        <f>SUM(BZ38:BZ46)</f>
        <v>-26.396784868396125</v>
      </c>
      <c r="CA47" s="1053">
        <f>SUM(CA38:CA46)</f>
        <v>-398.08943490605697</v>
      </c>
      <c r="CB47" s="383"/>
      <c r="CC47" s="1055">
        <f>SUM(CC38:CC46)</f>
        <v>-27.267760777795118</v>
      </c>
      <c r="CD47" s="383">
        <f>SUM(CD38:CD46)</f>
        <v>-8.9306972282040462</v>
      </c>
      <c r="CE47" s="383">
        <f>SUM(CE38:CE46)</f>
        <v>-14.824947446805453</v>
      </c>
      <c r="CF47" s="383">
        <f>SUM(CF38:CF46)</f>
        <v>-119.23673329176195</v>
      </c>
      <c r="CG47" s="1053">
        <f>SUM(CG38:CG46)</f>
        <v>-170.26013874456658</v>
      </c>
      <c r="CH47" s="383"/>
      <c r="CI47" s="1055">
        <f>SUM(CI38:CI46)</f>
        <v>-120.63515808950714</v>
      </c>
      <c r="CJ47" s="383">
        <f>SUM(CJ38:CJ46)</f>
        <v>-83.360203876308162</v>
      </c>
      <c r="CK47" s="383">
        <f>SUM(CK38:CK46)</f>
        <v>-94.501426016974506</v>
      </c>
      <c r="CL47" s="383">
        <f>SUM(CL38:CL46)</f>
        <v>-164.62696513927429</v>
      </c>
      <c r="CM47" s="1053">
        <f>SUM(CM38:CM46)</f>
        <v>-463.1237531220641</v>
      </c>
      <c r="CN47" s="1026"/>
      <c r="CO47" s="1026"/>
      <c r="CP47" s="1026"/>
    </row>
    <row r="48" spans="1:94" ht="12.75" hidden="1" customHeight="1" outlineLevel="1">
      <c r="A48" s="1698" t="s">
        <v>364</v>
      </c>
      <c r="B48" s="1635" t="s">
        <v>79</v>
      </c>
      <c r="C48" s="1052">
        <v>0</v>
      </c>
      <c r="D48" s="1044">
        <f>0-C48</f>
        <v>0</v>
      </c>
      <c r="E48" s="1044">
        <f>0-SUM(C48:D48)</f>
        <v>0</v>
      </c>
      <c r="F48" s="1047">
        <f>0-SUM(C48:E48)</f>
        <v>0</v>
      </c>
      <c r="G48" s="1053">
        <f t="shared" si="29"/>
        <v>0</v>
      </c>
      <c r="H48" s="383"/>
      <c r="I48" s="1052">
        <v>0</v>
      </c>
      <c r="J48" s="1044">
        <f>0-I48</f>
        <v>0</v>
      </c>
      <c r="K48" s="1044">
        <f>0-J48-I48</f>
        <v>0</v>
      </c>
      <c r="L48" s="1047">
        <f>0-SUM(I48:K48)</f>
        <v>0</v>
      </c>
      <c r="M48" s="1053">
        <f t="shared" si="30"/>
        <v>0</v>
      </c>
      <c r="N48" s="383"/>
      <c r="O48" s="1052">
        <v>0</v>
      </c>
      <c r="P48" s="1044">
        <f>0-O48</f>
        <v>0</v>
      </c>
      <c r="Q48" s="1044">
        <f>-1.564-P48-O48</f>
        <v>-1.5640000000000001</v>
      </c>
      <c r="R48" s="1047">
        <f>0-SUM(O48:Q48)</f>
        <v>1.5640000000000001</v>
      </c>
      <c r="S48" s="1053">
        <f t="shared" si="31"/>
        <v>0</v>
      </c>
      <c r="T48" s="383"/>
      <c r="U48" s="1052">
        <v>-2.8439999999999999</v>
      </c>
      <c r="V48" s="1044">
        <f>-2.844-U48</f>
        <v>0</v>
      </c>
      <c r="W48" s="1044">
        <f>-2.844-V48-U48</f>
        <v>0</v>
      </c>
      <c r="X48" s="1047">
        <f>-2.844-SUM(U48:W48)</f>
        <v>0</v>
      </c>
      <c r="Y48" s="1053">
        <f t="shared" si="32"/>
        <v>-2.8439999999999999</v>
      </c>
      <c r="Z48" s="383"/>
      <c r="AA48" s="1052">
        <v>-1.9079999999999999</v>
      </c>
      <c r="AB48" s="1044">
        <f>-1.908-AA48</f>
        <v>0</v>
      </c>
      <c r="AC48" s="1044">
        <f>-1.908-SUM(AA48:AB48)</f>
        <v>0</v>
      </c>
      <c r="AD48" s="1044">
        <f>-1.908-SUM(AA48:AC48)</f>
        <v>0</v>
      </c>
      <c r="AE48" s="1053">
        <f t="shared" si="33"/>
        <v>-1.9079999999999999</v>
      </c>
      <c r="AF48" s="383"/>
      <c r="AG48" s="1052">
        <v>0</v>
      </c>
      <c r="AH48" s="1044">
        <v>0</v>
      </c>
      <c r="AI48" s="1044">
        <v>0</v>
      </c>
      <c r="AJ48" s="1044">
        <v>0</v>
      </c>
      <c r="AK48" s="1053">
        <f t="shared" si="34"/>
        <v>0</v>
      </c>
      <c r="AL48" s="383"/>
      <c r="AM48" s="1052">
        <v>0</v>
      </c>
      <c r="AN48" s="1044">
        <f>0-AM48</f>
        <v>0</v>
      </c>
      <c r="AO48" s="1044">
        <f>0-SUM(AM48:AN48)</f>
        <v>0</v>
      </c>
      <c r="AP48" s="1044">
        <f>0-SUM(AM48:AO48)</f>
        <v>0</v>
      </c>
      <c r="AQ48" s="1053">
        <f t="shared" si="35"/>
        <v>0</v>
      </c>
      <c r="AR48" s="383"/>
      <c r="AS48" s="1052">
        <v>0</v>
      </c>
      <c r="AT48" s="1369">
        <f>0-AS48</f>
        <v>0</v>
      </c>
      <c r="AU48" s="1369">
        <f>0-SUM(AS48:AT48)</f>
        <v>0</v>
      </c>
      <c r="AV48" s="1369">
        <f>0-SUM(AS48:AU48)</f>
        <v>0</v>
      </c>
      <c r="AW48" s="1053">
        <f t="shared" si="36"/>
        <v>0</v>
      </c>
      <c r="AX48" s="383"/>
      <c r="AY48" s="1678">
        <v>0</v>
      </c>
      <c r="AZ48" s="1369">
        <f>0-AY48</f>
        <v>0</v>
      </c>
      <c r="BA48" s="1369">
        <f>0-SUM(AY48:AZ48)</f>
        <v>0</v>
      </c>
      <c r="BB48" s="1369">
        <f>0-SUM(AY48:BA48)</f>
        <v>0</v>
      </c>
      <c r="BC48" s="1053">
        <f>SUM(AY48:BB48)</f>
        <v>0</v>
      </c>
      <c r="BD48" s="383"/>
      <c r="BE48" s="1678">
        <v>0</v>
      </c>
      <c r="BF48" s="1369">
        <f>0-BE48</f>
        <v>0</v>
      </c>
      <c r="BG48" s="1369">
        <f t="shared" ref="BG48" si="46">0-SUM(BE48:BF48)</f>
        <v>0</v>
      </c>
      <c r="BH48" s="1369">
        <f t="shared" ref="BH48" si="47">0-SUM(BE48:BG48)</f>
        <v>0</v>
      </c>
      <c r="BI48" s="1053">
        <f>SUM(BE48:BH48)</f>
        <v>0</v>
      </c>
      <c r="BJ48" s="383"/>
      <c r="BK48" s="1678">
        <v>-0.214</v>
      </c>
      <c r="BL48" s="1369">
        <f>-0.533-BK48</f>
        <v>-0.31900000000000006</v>
      </c>
      <c r="BM48" s="1369">
        <f>19.794-SUM(BK48:BL48)</f>
        <v>20.327000000000002</v>
      </c>
      <c r="BN48" s="1369">
        <f>-0.533-SUM(BK48:BM48)</f>
        <v>-20.327000000000002</v>
      </c>
      <c r="BO48" s="1053">
        <f>SUM(BK48:BN48)</f>
        <v>-0.53300000000000125</v>
      </c>
      <c r="BP48" s="383"/>
      <c r="BQ48" s="1052">
        <v>0</v>
      </c>
      <c r="BR48" s="1044">
        <v>0</v>
      </c>
      <c r="BS48" s="1044">
        <v>0</v>
      </c>
      <c r="BT48" s="1044">
        <v>0</v>
      </c>
      <c r="BU48" s="1053">
        <f>SUM(BQ48:BT48)</f>
        <v>0</v>
      </c>
      <c r="BV48" s="383"/>
      <c r="BW48" s="1052">
        <v>0</v>
      </c>
      <c r="BX48" s="1044">
        <v>0</v>
      </c>
      <c r="BY48" s="1044">
        <v>0</v>
      </c>
      <c r="BZ48" s="1044">
        <v>0</v>
      </c>
      <c r="CA48" s="1053">
        <f>SUM(BW48:BZ48)</f>
        <v>0</v>
      </c>
      <c r="CB48" s="383"/>
      <c r="CC48" s="1052">
        <v>0</v>
      </c>
      <c r="CD48" s="1044">
        <v>0</v>
      </c>
      <c r="CE48" s="1044">
        <v>0</v>
      </c>
      <c r="CF48" s="1044">
        <v>0</v>
      </c>
      <c r="CG48" s="1053">
        <f>SUM(CC48:CF48)</f>
        <v>0</v>
      </c>
      <c r="CH48" s="383"/>
      <c r="CI48" s="1052">
        <v>0</v>
      </c>
      <c r="CJ48" s="1044">
        <v>0</v>
      </c>
      <c r="CK48" s="1044">
        <v>0</v>
      </c>
      <c r="CL48" s="1044">
        <v>0</v>
      </c>
      <c r="CM48" s="1053">
        <f>SUM(CI48:CL48)</f>
        <v>0</v>
      </c>
      <c r="CN48" s="1026"/>
      <c r="CO48" s="1026"/>
      <c r="CP48" s="1026"/>
    </row>
    <row r="49" spans="1:107" collapsed="1">
      <c r="A49" s="1700" t="s">
        <v>365</v>
      </c>
      <c r="B49" s="1749" t="s">
        <v>79</v>
      </c>
      <c r="C49" s="1074">
        <f>C47+C48</f>
        <v>-36.348000000000006</v>
      </c>
      <c r="D49" s="1075">
        <f>D47+D48</f>
        <v>-34.72000000000002</v>
      </c>
      <c r="E49" s="1075">
        <f>E47+E48</f>
        <v>-6.4080000000000368</v>
      </c>
      <c r="F49" s="1075">
        <f>F47+F48</f>
        <v>226.36299999999997</v>
      </c>
      <c r="G49" s="1076">
        <f>G47+G48</f>
        <v>148.88699999999994</v>
      </c>
      <c r="H49" s="1065"/>
      <c r="I49" s="1074">
        <f>I47+I48</f>
        <v>41.405000000000001</v>
      </c>
      <c r="J49" s="1075">
        <f>J47+J48</f>
        <v>-48.866000000000007</v>
      </c>
      <c r="K49" s="1075">
        <f>K47+K48</f>
        <v>-16.870999999999999</v>
      </c>
      <c r="L49" s="1075">
        <f>L47+L48</f>
        <v>-76.752999999999986</v>
      </c>
      <c r="M49" s="1076">
        <f>SUM(I49:L49)</f>
        <v>-101.08499999999999</v>
      </c>
      <c r="N49" s="1065"/>
      <c r="O49" s="1074">
        <f>+O47+O48</f>
        <v>10.865000000000014</v>
      </c>
      <c r="P49" s="1075">
        <f>+P47+P48</f>
        <v>-28.405000000000001</v>
      </c>
      <c r="Q49" s="1075">
        <f>+Q47+Q48</f>
        <v>42.487999999999964</v>
      </c>
      <c r="R49" s="1075">
        <f>+R47+R48</f>
        <v>-22.535999999999966</v>
      </c>
      <c r="S49" s="1076">
        <f>SUM(O49:R49)</f>
        <v>2.4120000000000132</v>
      </c>
      <c r="T49" s="1065"/>
      <c r="U49" s="1074">
        <f>U47+U48</f>
        <v>-29.723999999999997</v>
      </c>
      <c r="V49" s="1075">
        <f>V47+V48</f>
        <v>81.699999999999989</v>
      </c>
      <c r="W49" s="1075">
        <f>W47+W48</f>
        <v>37.543999999999997</v>
      </c>
      <c r="X49" s="1075">
        <f>X47+X48</f>
        <v>-307.887</v>
      </c>
      <c r="Y49" s="1076">
        <f>SUM(U49:X49)</f>
        <v>-218.36700000000002</v>
      </c>
      <c r="Z49" s="1065"/>
      <c r="AA49" s="1074">
        <f>AA47+AA48</f>
        <v>-3.8109999999999968</v>
      </c>
      <c r="AB49" s="1075">
        <f>AB47+AB48</f>
        <v>152.61199999999999</v>
      </c>
      <c r="AC49" s="1075">
        <f>AC47+AC48</f>
        <v>-171.09300000000002</v>
      </c>
      <c r="AD49" s="1075">
        <f>AD47+AD48</f>
        <v>419.49600000000009</v>
      </c>
      <c r="AE49" s="1076">
        <f>SUM(AA49:AD49)</f>
        <v>397.20400000000006</v>
      </c>
      <c r="AF49" s="1065"/>
      <c r="AG49" s="1074">
        <f>AG47+AG48</f>
        <v>-10.195</v>
      </c>
      <c r="AH49" s="1075">
        <f>AH47+AH48</f>
        <v>-38.633000000000003</v>
      </c>
      <c r="AI49" s="1075">
        <f>AI47+AI48</f>
        <v>-7.4459999999999997</v>
      </c>
      <c r="AJ49" s="1075">
        <f>AJ47+AJ48</f>
        <v>12.11099999999999</v>
      </c>
      <c r="AK49" s="1076">
        <f>SUM(AG49:AJ49)</f>
        <v>-44.163000000000011</v>
      </c>
      <c r="AL49" s="1065"/>
      <c r="AM49" s="1074">
        <f>AM47+AM48</f>
        <v>-42.593999999999994</v>
      </c>
      <c r="AN49" s="1075">
        <f>AN47+AN48</f>
        <v>-28.374999999999993</v>
      </c>
      <c r="AO49" s="1075">
        <f>AO47+AO48</f>
        <v>-67.765000000000015</v>
      </c>
      <c r="AP49" s="1075">
        <f>AP47+AP48</f>
        <v>-15.42600000000002</v>
      </c>
      <c r="AQ49" s="1076">
        <f>SUM(AM49:AP49)</f>
        <v>-154.16000000000003</v>
      </c>
      <c r="AR49" s="1065"/>
      <c r="AS49" s="1074">
        <f>AS47+AS48</f>
        <v>-11.548</v>
      </c>
      <c r="AT49" s="1075">
        <f>AT47+AT48</f>
        <v>-65.135000000000005</v>
      </c>
      <c r="AU49" s="1075">
        <f>AU47+AU48</f>
        <v>-47.012</v>
      </c>
      <c r="AV49" s="1573">
        <f>AV47+AV48</f>
        <v>154.626</v>
      </c>
      <c r="AW49" s="1574">
        <f>SUM(AS49:AV49)</f>
        <v>30.930999999999997</v>
      </c>
      <c r="AX49" s="1065"/>
      <c r="AY49" s="1684">
        <f>AY47+AY48</f>
        <v>-24.689999999999998</v>
      </c>
      <c r="AZ49" s="1075">
        <f>AZ47+AZ48</f>
        <v>-23.722999999999999</v>
      </c>
      <c r="BA49" s="1075">
        <f>BA47+BA48</f>
        <v>-44.016999999999996</v>
      </c>
      <c r="BB49" s="1573">
        <f>BB47+BB48</f>
        <v>-14.708999999999998</v>
      </c>
      <c r="BC49" s="1076">
        <f>SUM(AY49:BB49)</f>
        <v>-107.139</v>
      </c>
      <c r="BD49" s="1065"/>
      <c r="BE49" s="1684">
        <f>BE47+BE48</f>
        <v>-47.695000000000022</v>
      </c>
      <c r="BF49" s="1075">
        <f>BF47+BF48</f>
        <v>-64.744</v>
      </c>
      <c r="BG49" s="1075">
        <f>BG47+BG48</f>
        <v>59.797000000000111</v>
      </c>
      <c r="BH49" s="1573">
        <f>BH47+BH48</f>
        <v>-62.368999999999964</v>
      </c>
      <c r="BI49" s="1076">
        <f>SUM(BE49:BH49)</f>
        <v>-115.01099999999988</v>
      </c>
      <c r="BJ49" s="1065"/>
      <c r="BK49" s="1684">
        <f>BK47+BK48</f>
        <v>-16.18099999999999</v>
      </c>
      <c r="BL49" s="1075">
        <f>BL47+BL48</f>
        <v>-2.5859999999999994</v>
      </c>
      <c r="BM49" s="1075">
        <f>BM47+BM48</f>
        <v>4.6439999999999859</v>
      </c>
      <c r="BN49" s="1573">
        <f>BN47+BN48</f>
        <v>796.35900000000004</v>
      </c>
      <c r="BO49" s="1076">
        <f>SUM(BK49:BN49)</f>
        <v>782.23599999999999</v>
      </c>
      <c r="BP49" s="1065"/>
      <c r="BQ49" s="1074">
        <f>BQ47+BQ48</f>
        <v>-82.024386403050016</v>
      </c>
      <c r="BR49" s="1075">
        <f>BR47+BR48</f>
        <v>112.43030168275305</v>
      </c>
      <c r="BS49" s="1075">
        <f>BS47+BS48</f>
        <v>-59.486911758080225</v>
      </c>
      <c r="BT49" s="1075">
        <f>BT47+BT48</f>
        <v>-162.18666831806354</v>
      </c>
      <c r="BU49" s="1076">
        <f>SUM(BQ49:BT49)</f>
        <v>-191.26766479644073</v>
      </c>
      <c r="BV49" s="1065"/>
      <c r="BW49" s="1074">
        <f>BW47+BW48</f>
        <v>-128.04686067981768</v>
      </c>
      <c r="BX49" s="1075">
        <f>BX47+BX48</f>
        <v>-119.99928378171617</v>
      </c>
      <c r="BY49" s="1075">
        <f>BY47+BY48</f>
        <v>-123.64650557612698</v>
      </c>
      <c r="BZ49" s="1075">
        <f>BZ47+BZ48</f>
        <v>-26.396784868396125</v>
      </c>
      <c r="CA49" s="1076">
        <f>SUM(BW49:BZ49)</f>
        <v>-398.08943490605697</v>
      </c>
      <c r="CB49" s="1065"/>
      <c r="CC49" s="1074">
        <f>CC47+CC48</f>
        <v>-27.267760777795118</v>
      </c>
      <c r="CD49" s="1075">
        <f>CD47+CD48</f>
        <v>-8.9306972282040462</v>
      </c>
      <c r="CE49" s="1075">
        <f>CE47+CE48</f>
        <v>-14.824947446805453</v>
      </c>
      <c r="CF49" s="1075">
        <f>CF47+CF48</f>
        <v>-119.23673329176195</v>
      </c>
      <c r="CG49" s="1076">
        <f>SUM(CC49:CF49)</f>
        <v>-170.26013874456658</v>
      </c>
      <c r="CH49" s="1065"/>
      <c r="CI49" s="1074">
        <f>CI47+CI48</f>
        <v>-120.63515808950714</v>
      </c>
      <c r="CJ49" s="1075">
        <f>CJ47+CJ48</f>
        <v>-83.360203876308162</v>
      </c>
      <c r="CK49" s="1075">
        <f>CK47+CK48</f>
        <v>-94.501426016974506</v>
      </c>
      <c r="CL49" s="1075">
        <f>CL47+CL48</f>
        <v>-164.62696513927429</v>
      </c>
      <c r="CM49" s="1076">
        <f>SUM(CI49:CL49)</f>
        <v>-463.12375312206404</v>
      </c>
      <c r="CN49" s="1026"/>
      <c r="CO49" s="1026"/>
      <c r="CP49" s="1026"/>
    </row>
    <row r="50" spans="1:107" ht="4.5" customHeight="1">
      <c r="A50" s="1701"/>
      <c r="B50" s="1748" t="s">
        <v>79</v>
      </c>
      <c r="C50" s="1068"/>
      <c r="D50" s="1069"/>
      <c r="E50" s="1069"/>
      <c r="F50" s="1077"/>
      <c r="G50" s="1070"/>
      <c r="H50" s="1069"/>
      <c r="I50" s="1068"/>
      <c r="J50" s="1069"/>
      <c r="K50" s="1069"/>
      <c r="L50" s="1077"/>
      <c r="M50" s="1070"/>
      <c r="N50" s="1069"/>
      <c r="O50" s="1068"/>
      <c r="P50" s="1069"/>
      <c r="Q50" s="1069"/>
      <c r="R50" s="1077"/>
      <c r="S50" s="1070"/>
      <c r="T50" s="1069"/>
      <c r="U50" s="1068"/>
      <c r="V50" s="1069"/>
      <c r="W50" s="1069"/>
      <c r="X50" s="1077"/>
      <c r="Y50" s="1070"/>
      <c r="Z50" s="1069"/>
      <c r="AA50" s="1068"/>
      <c r="AB50" s="1069"/>
      <c r="AC50" s="1069"/>
      <c r="AD50" s="1069"/>
      <c r="AE50" s="1070"/>
      <c r="AF50" s="1069"/>
      <c r="AG50" s="1068"/>
      <c r="AH50" s="1069"/>
      <c r="AI50" s="1069"/>
      <c r="AJ50" s="1069"/>
      <c r="AK50" s="1070"/>
      <c r="AL50" s="1069"/>
      <c r="AM50" s="1068"/>
      <c r="AN50" s="1069"/>
      <c r="AO50" s="1069"/>
      <c r="AP50" s="1069"/>
      <c r="AQ50" s="1070"/>
      <c r="AR50" s="1069"/>
      <c r="AS50" s="1068"/>
      <c r="AT50" s="1069"/>
      <c r="AU50" s="1069"/>
      <c r="AV50" s="1569"/>
      <c r="AW50" s="1570"/>
      <c r="AX50" s="1069"/>
      <c r="AY50" s="1683"/>
      <c r="AZ50" s="1069"/>
      <c r="BA50" s="1069"/>
      <c r="BB50" s="1069"/>
      <c r="BC50" s="1070"/>
      <c r="BD50" s="1069"/>
      <c r="BE50" s="1683"/>
      <c r="BF50" s="1069"/>
      <c r="BG50" s="1069"/>
      <c r="BH50" s="1069"/>
      <c r="BI50" s="1070"/>
      <c r="BJ50" s="1069"/>
      <c r="BK50" s="1683"/>
      <c r="BL50" s="1069"/>
      <c r="BM50" s="1069"/>
      <c r="BN50" s="1069"/>
      <c r="BO50" s="1070"/>
      <c r="BP50" s="1069"/>
      <c r="BQ50" s="1068"/>
      <c r="BR50" s="1069"/>
      <c r="BS50" s="1069"/>
      <c r="BT50" s="1069"/>
      <c r="BU50" s="1070"/>
      <c r="BV50" s="1069"/>
      <c r="BW50" s="1068"/>
      <c r="BX50" s="1069"/>
      <c r="BY50" s="1069"/>
      <c r="BZ50" s="1069"/>
      <c r="CA50" s="1070"/>
      <c r="CB50" s="1069"/>
      <c r="CC50" s="1068"/>
      <c r="CD50" s="1069"/>
      <c r="CE50" s="1069"/>
      <c r="CF50" s="1069"/>
      <c r="CG50" s="1070"/>
      <c r="CH50" s="1069"/>
      <c r="CI50" s="1068"/>
      <c r="CJ50" s="1069"/>
      <c r="CK50" s="1069"/>
      <c r="CL50" s="1069"/>
      <c r="CM50" s="1070"/>
      <c r="CN50" s="1026"/>
      <c r="CO50" s="1026"/>
      <c r="CP50" s="1026"/>
    </row>
    <row r="51" spans="1:107">
      <c r="A51" s="1702" t="s">
        <v>366</v>
      </c>
      <c r="B51" s="1078" t="s">
        <v>79</v>
      </c>
      <c r="C51" s="1052">
        <v>-0.54</v>
      </c>
      <c r="D51" s="1044">
        <f>1.104-C51</f>
        <v>1.6440000000000001</v>
      </c>
      <c r="E51" s="1044">
        <f>5.886-SUM(C51:D51)</f>
        <v>4.782</v>
      </c>
      <c r="F51" s="1047">
        <f>7.614-SUM(C51:E51)</f>
        <v>1.7279999999999998</v>
      </c>
      <c r="G51" s="1053">
        <f>SUM(C51:F51)</f>
        <v>7.6139999999999999</v>
      </c>
      <c r="H51" s="383"/>
      <c r="I51" s="1052">
        <v>7.7149999999999999</v>
      </c>
      <c r="J51" s="1044">
        <f>7.519-I51</f>
        <v>-0.19599999999999973</v>
      </c>
      <c r="K51" s="1044">
        <f>1.929-J51-I51</f>
        <v>-5.59</v>
      </c>
      <c r="L51" s="1047">
        <f>-5.319-SUM(I51:K51)</f>
        <v>-7.2480000000000002</v>
      </c>
      <c r="M51" s="1053">
        <f>SUM(I51:L51)</f>
        <v>-5.319</v>
      </c>
      <c r="N51" s="383"/>
      <c r="O51" s="1052">
        <v>-10.34</v>
      </c>
      <c r="P51" s="1044">
        <f>-0.419-O51</f>
        <v>9.9209999999999994</v>
      </c>
      <c r="Q51" s="1044">
        <f>4.038-P51-O51</f>
        <v>4.4570000000000007</v>
      </c>
      <c r="R51" s="1047">
        <f>3.33-SUM(O51:Q51)</f>
        <v>-0.70800000000000018</v>
      </c>
      <c r="S51" s="1053">
        <f>SUM(O51:R51)</f>
        <v>3.33</v>
      </c>
      <c r="T51" s="383"/>
      <c r="U51" s="1052">
        <v>-4.72</v>
      </c>
      <c r="V51" s="1044">
        <f>-12.306-U51</f>
        <v>-7.5859999999999994</v>
      </c>
      <c r="W51" s="1044">
        <f>3.919-V51-U51</f>
        <v>16.224999999999998</v>
      </c>
      <c r="X51" s="1047">
        <f>-0.656-SUM(U51:W51)</f>
        <v>-4.5749999999999984</v>
      </c>
      <c r="Y51" s="1053">
        <f>SUM(U51:X51)</f>
        <v>-0.65599999999999969</v>
      </c>
      <c r="Z51" s="383"/>
      <c r="AA51" s="1052">
        <v>21.204999999999998</v>
      </c>
      <c r="AB51" s="1044">
        <f>29.419-AA51</f>
        <v>8.2140000000000022</v>
      </c>
      <c r="AC51" s="1044">
        <f>10.376-SUM(AA51:AB51)</f>
        <v>-19.042999999999999</v>
      </c>
      <c r="AD51" s="1044">
        <f>10.039-SUM(AA51:AC51)</f>
        <v>-0.33700000000000152</v>
      </c>
      <c r="AE51" s="1053">
        <f>SUM(AA51:AD51)</f>
        <v>10.039</v>
      </c>
      <c r="AF51" s="383"/>
      <c r="AG51" s="1052">
        <v>2.2989999999999999</v>
      </c>
      <c r="AH51" s="1044">
        <v>-6.0780000000000003</v>
      </c>
      <c r="AI51" s="1044">
        <v>4.3470000000000004</v>
      </c>
      <c r="AJ51" s="1044">
        <f>1.404-SUM(AG51:AI51)</f>
        <v>0.83599999999999985</v>
      </c>
      <c r="AK51" s="1053">
        <f>SUM(AG51:AJ51)</f>
        <v>1.4039999999999999</v>
      </c>
      <c r="AL51" s="383"/>
      <c r="AM51" s="1052">
        <v>-3.6040000000000001</v>
      </c>
      <c r="AN51" s="1044">
        <f>-4.611-AM51</f>
        <v>-1.0069999999999997</v>
      </c>
      <c r="AO51" s="1044">
        <f>-2.161-SUM(AM51:AN51)</f>
        <v>2.4499999999999997</v>
      </c>
      <c r="AP51" s="1044">
        <f>-1.422-SUM(AM51:AO51)</f>
        <v>0.7390000000000001</v>
      </c>
      <c r="AQ51" s="1053">
        <f>SUM(AM51:AP51)</f>
        <v>-1.4219999999999999</v>
      </c>
      <c r="AR51" s="383"/>
      <c r="AS51" s="1052">
        <v>0.72799999999999998</v>
      </c>
      <c r="AT51" s="1044">
        <f>1.178-AS51</f>
        <v>0.44999999999999996</v>
      </c>
      <c r="AU51" s="1044">
        <f>-7.081-SUM(AS51:AT51)</f>
        <v>-8.2590000000000003</v>
      </c>
      <c r="AV51" s="1575">
        <f>-15.052-SUM(AS51:AU51)</f>
        <v>-7.9709999999999992</v>
      </c>
      <c r="AW51" s="1053">
        <f>SUM(AS51:AV51)</f>
        <v>-15.052</v>
      </c>
      <c r="AX51" s="383"/>
      <c r="AY51" s="1678">
        <v>-9.8309999999999995</v>
      </c>
      <c r="AZ51" s="1044">
        <f>-6.597-AY51</f>
        <v>3.2339999999999991</v>
      </c>
      <c r="BA51" s="1044">
        <f>-13.451-SUM(AY51:AZ51)</f>
        <v>-6.8540000000000001</v>
      </c>
      <c r="BB51" s="1575">
        <f>-15.992-SUM(AY51:BA51)</f>
        <v>-2.5410000000000004</v>
      </c>
      <c r="BC51" s="1053">
        <f>SUM(AY51:BB51)</f>
        <v>-15.992000000000001</v>
      </c>
      <c r="BD51" s="383"/>
      <c r="BE51" s="1678">
        <v>5.7460000000000004</v>
      </c>
      <c r="BF51" s="1369">
        <f>2.072-BE51</f>
        <v>-3.6740000000000004</v>
      </c>
      <c r="BG51" s="1369">
        <f>2.672-SUM(BE51:BF51)</f>
        <v>0.60000000000000009</v>
      </c>
      <c r="BH51" s="1369">
        <f>-13.428-SUM(BE51:BG51)</f>
        <v>-16.100000000000001</v>
      </c>
      <c r="BI51" s="1053">
        <f>SUM(BE51:BH51)</f>
        <v>-13.428000000000001</v>
      </c>
      <c r="BJ51" s="383"/>
      <c r="BK51" s="1678">
        <v>6.1950000000000003</v>
      </c>
      <c r="BL51" s="1369">
        <f>14.778-BK51</f>
        <v>8.5830000000000002</v>
      </c>
      <c r="BM51" s="1369">
        <f>-0.533-SUM(BK51:BL51)</f>
        <v>-15.311</v>
      </c>
      <c r="BN51" s="1369">
        <f>21.552-SUM(BK51:BM51)</f>
        <v>22.085000000000001</v>
      </c>
      <c r="BO51" s="1053">
        <f>SUM(BK51:BN51)</f>
        <v>21.552</v>
      </c>
      <c r="BP51" s="383"/>
      <c r="BQ51" s="1055">
        <v>0</v>
      </c>
      <c r="BR51" s="383">
        <v>0</v>
      </c>
      <c r="BS51" s="383">
        <v>0</v>
      </c>
      <c r="BT51" s="383">
        <v>0</v>
      </c>
      <c r="BU51" s="1053">
        <f>SUM(BQ51:BT51)</f>
        <v>0</v>
      </c>
      <c r="BV51" s="383"/>
      <c r="BW51" s="1055">
        <v>0</v>
      </c>
      <c r="BX51" s="383">
        <v>0</v>
      </c>
      <c r="BY51" s="383">
        <v>0</v>
      </c>
      <c r="BZ51" s="383">
        <v>0</v>
      </c>
      <c r="CA51" s="1053">
        <f>SUM(BW51:BZ51)</f>
        <v>0</v>
      </c>
      <c r="CB51" s="383"/>
      <c r="CC51" s="1055">
        <v>0</v>
      </c>
      <c r="CD51" s="383">
        <v>0</v>
      </c>
      <c r="CE51" s="383">
        <v>0</v>
      </c>
      <c r="CF51" s="383">
        <v>0</v>
      </c>
      <c r="CG51" s="1053">
        <f>SUM(CC51:CF51)</f>
        <v>0</v>
      </c>
      <c r="CH51" s="383"/>
      <c r="CI51" s="1055">
        <v>0</v>
      </c>
      <c r="CJ51" s="383">
        <v>0</v>
      </c>
      <c r="CK51" s="383">
        <v>0</v>
      </c>
      <c r="CL51" s="383">
        <v>0</v>
      </c>
      <c r="CM51" s="1053">
        <f>SUM(CI51:CL51)</f>
        <v>0</v>
      </c>
      <c r="CN51" s="1026"/>
      <c r="CO51" s="1026"/>
      <c r="CP51" s="1026"/>
    </row>
    <row r="52" spans="1:107" ht="4.5" customHeight="1">
      <c r="A52" s="1702"/>
      <c r="B52" s="1078" t="s">
        <v>79</v>
      </c>
      <c r="C52" s="1055"/>
      <c r="D52" s="383"/>
      <c r="E52" s="383"/>
      <c r="F52" s="1047"/>
      <c r="G52" s="1053"/>
      <c r="H52" s="383"/>
      <c r="I52" s="1055"/>
      <c r="J52" s="383"/>
      <c r="K52" s="383"/>
      <c r="L52" s="1047"/>
      <c r="M52" s="1053"/>
      <c r="N52" s="383"/>
      <c r="O52" s="1055"/>
      <c r="P52" s="383"/>
      <c r="Q52" s="383"/>
      <c r="R52" s="1047"/>
      <c r="S52" s="1053"/>
      <c r="T52" s="383"/>
      <c r="U52" s="1055"/>
      <c r="V52" s="383"/>
      <c r="W52" s="383"/>
      <c r="X52" s="1047"/>
      <c r="Y52" s="1053"/>
      <c r="Z52" s="383"/>
      <c r="AA52" s="1055"/>
      <c r="AB52" s="383"/>
      <c r="AC52" s="383"/>
      <c r="AD52" s="383"/>
      <c r="AE52" s="1053"/>
      <c r="AF52" s="383"/>
      <c r="AG52" s="1055"/>
      <c r="AH52" s="383"/>
      <c r="AI52" s="383"/>
      <c r="AJ52" s="383"/>
      <c r="AK52" s="1053"/>
      <c r="AL52" s="383"/>
      <c r="AM52" s="1055"/>
      <c r="AN52" s="383"/>
      <c r="AO52" s="383"/>
      <c r="AP52" s="383"/>
      <c r="AQ52" s="1053"/>
      <c r="AR52" s="383"/>
      <c r="AS52" s="1055"/>
      <c r="AT52" s="383"/>
      <c r="AU52" s="383"/>
      <c r="AV52" s="383"/>
      <c r="AW52" s="1053"/>
      <c r="AX52" s="383"/>
      <c r="AY52" s="1055"/>
      <c r="AZ52" s="383"/>
      <c r="BA52" s="383"/>
      <c r="BB52" s="383"/>
      <c r="BC52" s="1053"/>
      <c r="BD52" s="383"/>
      <c r="BE52" s="1055"/>
      <c r="BF52" s="383"/>
      <c r="BG52" s="383"/>
      <c r="BH52" s="383"/>
      <c r="BI52" s="1053"/>
      <c r="BJ52" s="383"/>
      <c r="BK52" s="1055"/>
      <c r="BL52" s="383"/>
      <c r="BM52" s="383"/>
      <c r="BN52" s="383"/>
      <c r="BO52" s="1053"/>
      <c r="BP52" s="383"/>
      <c r="BQ52" s="1055"/>
      <c r="BR52" s="383"/>
      <c r="BS52" s="383"/>
      <c r="BT52" s="383"/>
      <c r="BU52" s="1053"/>
      <c r="BV52" s="383"/>
      <c r="BW52" s="1055"/>
      <c r="BX52" s="383"/>
      <c r="BY52" s="383"/>
      <c r="BZ52" s="383"/>
      <c r="CA52" s="1053"/>
      <c r="CB52" s="383"/>
      <c r="CC52" s="1055"/>
      <c r="CD52" s="383"/>
      <c r="CE52" s="383"/>
      <c r="CF52" s="383"/>
      <c r="CG52" s="1053"/>
      <c r="CH52" s="383"/>
      <c r="CI52" s="1055"/>
      <c r="CJ52" s="383"/>
      <c r="CK52" s="383"/>
      <c r="CL52" s="383"/>
      <c r="CM52" s="1053"/>
      <c r="CN52" s="1026"/>
      <c r="CO52" s="1026"/>
      <c r="CP52" s="1026"/>
    </row>
    <row r="53" spans="1:107" ht="13.5" thickBot="1">
      <c r="A53" s="1754" t="s">
        <v>367</v>
      </c>
      <c r="B53" s="1747" t="s">
        <v>79</v>
      </c>
      <c r="C53" s="1079">
        <f>C49+C35+C26+C51</f>
        <v>-71.497000000000014</v>
      </c>
      <c r="D53" s="1080">
        <f>D49+D35+D26+D51</f>
        <v>30.47799999999998</v>
      </c>
      <c r="E53" s="1080">
        <f>E49+E35+E26+E51</f>
        <v>10.860999999999965</v>
      </c>
      <c r="F53" s="1080">
        <f>F49+F35+F26+F51</f>
        <v>42.446999999999996</v>
      </c>
      <c r="G53" s="1081">
        <f>G49+G35+G26+G51</f>
        <v>12.289000000000012</v>
      </c>
      <c r="H53" s="1080"/>
      <c r="I53" s="1079">
        <f>I49+I35+I26+I51</f>
        <v>-18.086000000000002</v>
      </c>
      <c r="J53" s="1080">
        <f>J49+J35+J26+J51</f>
        <v>8.188999999999977</v>
      </c>
      <c r="K53" s="1080">
        <f>K49+K35+K26+K51</f>
        <v>-4.6429999999999936</v>
      </c>
      <c r="L53" s="1080">
        <f>L49+L35+L26+L51</f>
        <v>-9.6979999999999897</v>
      </c>
      <c r="M53" s="1081">
        <f>M49+M35+M26+M51</f>
        <v>-24.238000000000039</v>
      </c>
      <c r="N53" s="1080"/>
      <c r="O53" s="1079">
        <f>O49+O35+O26+O51</f>
        <v>-17.060999999999979</v>
      </c>
      <c r="P53" s="1080">
        <f>P49+P35+P26+P51</f>
        <v>-10.710000000000008</v>
      </c>
      <c r="Q53" s="1080">
        <f>Q49+Q35+Q26+Q51</f>
        <v>-0.75300000000004275</v>
      </c>
      <c r="R53" s="1080">
        <f>R49+R35+R26+R51</f>
        <v>29.121000000000052</v>
      </c>
      <c r="S53" s="1081">
        <f>S49+S35+S26+S51</f>
        <v>0.59700000000005282</v>
      </c>
      <c r="T53" s="1080"/>
      <c r="U53" s="1079">
        <f>U49+U35+U26+U51</f>
        <v>2.0370000000000053</v>
      </c>
      <c r="V53" s="1080">
        <f>V49+V35+V26+V51</f>
        <v>33.92</v>
      </c>
      <c r="W53" s="1080">
        <f>W49+W35+W26+W51</f>
        <v>35.323999999999998</v>
      </c>
      <c r="X53" s="1080">
        <f>X49+X35+X26+X51</f>
        <v>169.09799999999993</v>
      </c>
      <c r="Y53" s="1081">
        <f>Y49+Y35+Y26+Y51</f>
        <v>240.37899999999993</v>
      </c>
      <c r="Z53" s="1080"/>
      <c r="AA53" s="1079">
        <f>AA49+AA35+AA26+AA51</f>
        <v>-4.2379999999999924</v>
      </c>
      <c r="AB53" s="1080">
        <f>AB49+AB35+AB26+AB51</f>
        <v>-20.63999999999999</v>
      </c>
      <c r="AC53" s="1080">
        <f>AC49+AC35+AC26+AC51</f>
        <v>-147.10600000000002</v>
      </c>
      <c r="AD53" s="1080">
        <f>AD49+AD35+AD26+AD51</f>
        <v>-105.75999999999996</v>
      </c>
      <c r="AE53" s="1081">
        <f>AE49+AE35+AE26+AE51</f>
        <v>-277.74400000000003</v>
      </c>
      <c r="AF53" s="1080"/>
      <c r="AG53" s="1082">
        <f>AG49+AG35+AG26+AG51</f>
        <v>2.4149999999999978</v>
      </c>
      <c r="AH53" s="1083">
        <f>AH49+AH35+AH26+AH51</f>
        <v>26.646000000000011</v>
      </c>
      <c r="AI53" s="1083">
        <f>AI49+AI35+AI26+AI51</f>
        <v>-0.57499999999999307</v>
      </c>
      <c r="AJ53" s="1083">
        <f>AJ49+AJ35+AJ26+AJ51</f>
        <v>0.61600000000000099</v>
      </c>
      <c r="AK53" s="1081">
        <f>AK49+AK35+AK26+AK51</f>
        <v>29.101999999999979</v>
      </c>
      <c r="AL53" s="1080"/>
      <c r="AM53" s="1079">
        <f>AM49+AM35+AM26+AM51</f>
        <v>-45.573</v>
      </c>
      <c r="AN53" s="1080">
        <f>AN49+AN35+AN26+AN51</f>
        <v>-13.400999999999987</v>
      </c>
      <c r="AO53" s="1080">
        <f>AO49+AO35+AO26+AO51</f>
        <v>19.832999999999995</v>
      </c>
      <c r="AP53" s="1080">
        <f>AP49+AP35+AP26+AP51</f>
        <v>40.938999999999972</v>
      </c>
      <c r="AQ53" s="1081">
        <f>AQ49+AQ35+AQ26+AQ51</f>
        <v>1.7979999999999989</v>
      </c>
      <c r="AR53" s="1080"/>
      <c r="AS53" s="1079">
        <f>AS49+AS35+AS26+AS51</f>
        <v>50.871000000000002</v>
      </c>
      <c r="AT53" s="1080">
        <f>AT49+AT35+AT26+AT51</f>
        <v>-18.855</v>
      </c>
      <c r="AU53" s="1080">
        <f>AU49+AU35+AU26+AU51</f>
        <v>-1.5750000000000028</v>
      </c>
      <c r="AV53" s="1576">
        <f>AV49+AV35+AV26+AV51</f>
        <v>-28.861999999999949</v>
      </c>
      <c r="AW53" s="1577">
        <f>AW49+AW35+AW26+AW51</f>
        <v>1.5789999999999722</v>
      </c>
      <c r="AX53" s="1080"/>
      <c r="AY53" s="1079">
        <f>AY49+AY35+AY26+AY51</f>
        <v>-5.897000000000002</v>
      </c>
      <c r="AZ53" s="1080">
        <f>AZ49+AZ35+AZ26+AZ51</f>
        <v>23.246000000000013</v>
      </c>
      <c r="BA53" s="1080">
        <f>BA49+BA35+BA26+BA51</f>
        <v>2.8959999999999928</v>
      </c>
      <c r="BB53" s="1080">
        <f>BB49+BB35+BB26+BB51</f>
        <v>42.866000000000014</v>
      </c>
      <c r="BC53" s="1081">
        <f>BC49+BC35+BC26+BC51</f>
        <v>63.110999999999947</v>
      </c>
      <c r="BD53" s="1080"/>
      <c r="BE53" s="1079">
        <f>BE49+BE35+BE26+BE51</f>
        <v>-27.201000000000022</v>
      </c>
      <c r="BF53" s="1080">
        <f>BF49+BF35+BF26+BF51</f>
        <v>37.351999999999997</v>
      </c>
      <c r="BG53" s="1080">
        <f>BG49+BG35+BG26+BG51</f>
        <v>63.580000000000119</v>
      </c>
      <c r="BH53" s="1080">
        <f>BH49+BH35+BH26+BH51</f>
        <v>47.602000000000025</v>
      </c>
      <c r="BI53" s="1081">
        <f>BI49+BI35+BI26+BI51</f>
        <v>121.33300000000017</v>
      </c>
      <c r="BJ53" s="1080"/>
      <c r="BK53" s="1079">
        <f>BK49+BK35+BK26+BK51</f>
        <v>-70.935999999999979</v>
      </c>
      <c r="BL53" s="1080">
        <f>BL49+BL35+BL26+BL51</f>
        <v>327.97900000000004</v>
      </c>
      <c r="BM53" s="1080">
        <f>BM49+BM35+BM26+BM51</f>
        <v>93.17999999999995</v>
      </c>
      <c r="BN53" s="1080">
        <f>BN49+BN35+BN26+BN51</f>
        <v>-507.35399999999998</v>
      </c>
      <c r="BO53" s="1081">
        <f>BO49+BO35+BO26+BO51</f>
        <v>-157.13100000000011</v>
      </c>
      <c r="BP53" s="1080"/>
      <c r="BQ53" s="1079">
        <f>BQ49+BQ35+BQ26+BQ51</f>
        <v>53.070480906630578</v>
      </c>
      <c r="BR53" s="1080">
        <f>BR49+BR35+BR26+BR51</f>
        <v>175.48891967745345</v>
      </c>
      <c r="BS53" s="1080">
        <f>BS49+BS35+BS26+BS51</f>
        <v>54.814471545808203</v>
      </c>
      <c r="BT53" s="1080">
        <f>BT49+BT35+BT26+BT51</f>
        <v>-32.850023429656346</v>
      </c>
      <c r="BU53" s="1081">
        <f>BU49+BU35+BU26+BU51</f>
        <v>250.52384870023599</v>
      </c>
      <c r="BV53" s="1080"/>
      <c r="BW53" s="1079">
        <f>BW49+BW35+BW26+BW51</f>
        <v>-28.233596704265977</v>
      </c>
      <c r="BX53" s="1080">
        <f>BX49+BX35+BX26+BX51</f>
        <v>-46.959969240376921</v>
      </c>
      <c r="BY53" s="1080">
        <f>BY49+BY35+BY26+BY51</f>
        <v>9.451782144975823</v>
      </c>
      <c r="BZ53" s="1080">
        <f>BZ49+BZ35+BZ26+BZ51</f>
        <v>115.44356946552435</v>
      </c>
      <c r="CA53" s="1081">
        <f>CA49+CA35+CA26+CA51</f>
        <v>49.701785665857301</v>
      </c>
      <c r="CB53" s="1080"/>
      <c r="CC53" s="1079">
        <f>CC49+CC35+CC26+CC51</f>
        <v>96.612493879797825</v>
      </c>
      <c r="CD53" s="1080">
        <f>CD49+CD35+CD26+CD51</f>
        <v>80.978051162399836</v>
      </c>
      <c r="CE53" s="1080">
        <f>CE49+CE35+CE26+CE51</f>
        <v>147.36085773248408</v>
      </c>
      <c r="CF53" s="1080">
        <f>CF49+CF35+CF26+CF51</f>
        <v>47.496980260585815</v>
      </c>
      <c r="CG53" s="1081">
        <f>CG49+CG35+CG26+CG51</f>
        <v>372.44838303526763</v>
      </c>
      <c r="CH53" s="1080"/>
      <c r="CI53" s="1079">
        <f>CI49+CI35+CI26+CI51</f>
        <v>44.390252155768906</v>
      </c>
      <c r="CJ53" s="1080">
        <f>CJ49+CJ35+CJ26+CJ51</f>
        <v>6.1293127287403166</v>
      </c>
      <c r="CK53" s="1080">
        <f>CK49+CK35+CK26+CK51</f>
        <v>74.457992405481036</v>
      </c>
      <c r="CL53" s="1080">
        <f>CL49+CL35+CL26+CL51</f>
        <v>0.48951757006122421</v>
      </c>
      <c r="CM53" s="1081">
        <f>CM49+CM35+CM26+CM51</f>
        <v>125.46707486005153</v>
      </c>
      <c r="CN53" s="1026"/>
      <c r="CO53" s="1026"/>
      <c r="CP53" s="1026"/>
    </row>
    <row r="54" spans="1:107" ht="6.75" customHeight="1">
      <c r="A54" s="1084"/>
      <c r="B54" s="1085" t="s">
        <v>79</v>
      </c>
      <c r="C54" s="1086"/>
      <c r="D54" s="1087"/>
      <c r="E54" s="1087"/>
      <c r="F54" s="1088"/>
      <c r="G54" s="1089"/>
      <c r="H54" s="1087"/>
      <c r="I54" s="1086"/>
      <c r="J54" s="1087"/>
      <c r="K54" s="1087"/>
      <c r="L54" s="1088"/>
      <c r="M54" s="1089"/>
      <c r="N54" s="1087"/>
      <c r="O54" s="1086"/>
      <c r="P54" s="1087"/>
      <c r="Q54" s="1087"/>
      <c r="R54" s="1088"/>
      <c r="S54" s="1089"/>
      <c r="T54" s="1087"/>
      <c r="U54" s="1086"/>
      <c r="V54" s="1087"/>
      <c r="W54" s="1087"/>
      <c r="X54" s="1088"/>
      <c r="Y54" s="1089"/>
      <c r="Z54" s="1087"/>
      <c r="AA54" s="1086"/>
      <c r="AB54" s="1087"/>
      <c r="AC54" s="1087"/>
      <c r="AD54" s="1087"/>
      <c r="AE54" s="1089"/>
      <c r="AF54" s="1087"/>
      <c r="AG54" s="1086"/>
      <c r="AH54" s="1087"/>
      <c r="AI54" s="1087"/>
      <c r="AJ54" s="1087"/>
      <c r="AK54" s="1089"/>
      <c r="AL54" s="1087"/>
      <c r="AM54" s="1086"/>
      <c r="AN54" s="1087"/>
      <c r="AO54" s="1087"/>
      <c r="AP54" s="1087"/>
      <c r="AQ54" s="1089"/>
      <c r="AR54" s="1087"/>
      <c r="AS54" s="1086"/>
      <c r="AT54" s="1087"/>
      <c r="AU54" s="1087"/>
      <c r="AV54" s="1087"/>
      <c r="AW54" s="1089"/>
      <c r="AX54" s="1087"/>
      <c r="AY54" s="1086"/>
      <c r="AZ54" s="1087"/>
      <c r="BA54" s="1087"/>
      <c r="BB54" s="1087"/>
      <c r="BC54" s="1089"/>
      <c r="BD54" s="1087"/>
      <c r="BE54" s="1086"/>
      <c r="BF54" s="1087"/>
      <c r="BG54" s="1087"/>
      <c r="BH54" s="1087"/>
      <c r="BI54" s="1089"/>
      <c r="BJ54" s="1087"/>
      <c r="BK54" s="1086"/>
      <c r="BL54" s="1087"/>
      <c r="BM54" s="1087"/>
      <c r="BN54" s="1087"/>
      <c r="BO54" s="1089"/>
      <c r="BP54" s="1087"/>
      <c r="BQ54" s="1086"/>
      <c r="BR54" s="1087"/>
      <c r="BS54" s="1087"/>
      <c r="BT54" s="1087"/>
      <c r="BU54" s="1089"/>
      <c r="BV54" s="1087"/>
      <c r="BW54" s="1086"/>
      <c r="BX54" s="1087"/>
      <c r="BY54" s="1087"/>
      <c r="BZ54" s="1087"/>
      <c r="CA54" s="1089"/>
      <c r="CB54" s="1087"/>
      <c r="CC54" s="1086"/>
      <c r="CD54" s="1087"/>
      <c r="CE54" s="1087"/>
      <c r="CF54" s="1087"/>
      <c r="CG54" s="1089"/>
      <c r="CH54" s="1087"/>
      <c r="CI54" s="1086"/>
      <c r="CJ54" s="1087"/>
      <c r="CK54" s="1087"/>
      <c r="CL54" s="1087"/>
      <c r="CM54" s="1089"/>
      <c r="CN54" s="1026"/>
      <c r="CO54" s="1026"/>
      <c r="CP54" s="1026"/>
    </row>
    <row r="55" spans="1:107">
      <c r="A55" s="1752" t="s">
        <v>418</v>
      </c>
      <c r="B55" s="1090" t="s">
        <v>79</v>
      </c>
      <c r="C55" s="1091">
        <v>191.059</v>
      </c>
      <c r="D55" s="1092">
        <f>+C56</f>
        <v>119.56199999999998</v>
      </c>
      <c r="E55" s="1092">
        <f>+D56</f>
        <v>150.03999999999996</v>
      </c>
      <c r="F55" s="1092">
        <f>+E56</f>
        <v>160.90099999999993</v>
      </c>
      <c r="G55" s="1093">
        <f>C55</f>
        <v>191.059</v>
      </c>
      <c r="H55" s="1092"/>
      <c r="I55" s="1094">
        <f>G56</f>
        <v>203.34800000000001</v>
      </c>
      <c r="J55" s="1092">
        <f>I56</f>
        <v>185.262</v>
      </c>
      <c r="K55" s="1092">
        <f>J56</f>
        <v>193.45099999999996</v>
      </c>
      <c r="L55" s="1092">
        <f>K56</f>
        <v>188.80799999999996</v>
      </c>
      <c r="M55" s="1093">
        <f>I55</f>
        <v>203.34800000000001</v>
      </c>
      <c r="N55" s="1092"/>
      <c r="O55" s="1094">
        <f>M56</f>
        <v>179.10999999999999</v>
      </c>
      <c r="P55" s="1092">
        <f>O56</f>
        <v>162.04900000000001</v>
      </c>
      <c r="Q55" s="1092">
        <f>P56</f>
        <v>151.339</v>
      </c>
      <c r="R55" s="1092">
        <f>Q56</f>
        <v>150.58599999999996</v>
      </c>
      <c r="S55" s="1093">
        <f>O55</f>
        <v>179.10999999999999</v>
      </c>
      <c r="T55" s="1092"/>
      <c r="U55" s="1094">
        <f>S56</f>
        <v>179.70700000000005</v>
      </c>
      <c r="V55" s="1092">
        <f>U56</f>
        <v>181.74400000000006</v>
      </c>
      <c r="W55" s="1092">
        <f>V56</f>
        <v>215.66400000000004</v>
      </c>
      <c r="X55" s="1092">
        <f>W56</f>
        <v>250.98800000000006</v>
      </c>
      <c r="Y55" s="1093">
        <f>U55</f>
        <v>179.70700000000005</v>
      </c>
      <c r="Z55" s="1092"/>
      <c r="AA55" s="1094">
        <f>Y56</f>
        <v>420.08600000000001</v>
      </c>
      <c r="AB55" s="1092">
        <f>AA56</f>
        <v>415.84800000000001</v>
      </c>
      <c r="AC55" s="1092">
        <f>AB56</f>
        <v>395.20800000000003</v>
      </c>
      <c r="AD55" s="1092">
        <f>AC56</f>
        <v>248.102</v>
      </c>
      <c r="AE55" s="1093">
        <f>AA55</f>
        <v>420.08600000000001</v>
      </c>
      <c r="AF55" s="1092"/>
      <c r="AG55" s="1094">
        <f>AE56</f>
        <v>142.34199999999998</v>
      </c>
      <c r="AH55" s="1092">
        <f>AG56</f>
        <v>144.75699999999998</v>
      </c>
      <c r="AI55" s="1092">
        <f>AH56</f>
        <v>171.40299999999999</v>
      </c>
      <c r="AJ55" s="1092">
        <f>AI56</f>
        <v>170.828</v>
      </c>
      <c r="AK55" s="1093">
        <f>AG55</f>
        <v>142.34199999999998</v>
      </c>
      <c r="AL55" s="1092"/>
      <c r="AM55" s="1094">
        <f>AK56</f>
        <v>171.44399999999996</v>
      </c>
      <c r="AN55" s="1092">
        <f>AM56</f>
        <v>125.87099999999995</v>
      </c>
      <c r="AO55" s="1092">
        <f>AN56</f>
        <v>112.46999999999997</v>
      </c>
      <c r="AP55" s="1092">
        <f>AO56</f>
        <v>132.30299999999997</v>
      </c>
      <c r="AQ55" s="1093">
        <f>AM55</f>
        <v>171.44399999999996</v>
      </c>
      <c r="AR55" s="1092"/>
      <c r="AS55" s="1094">
        <f>AQ56</f>
        <v>173.24199999999996</v>
      </c>
      <c r="AT55" s="1092">
        <f>AS56</f>
        <v>224.11299999999997</v>
      </c>
      <c r="AU55" s="1092">
        <f>AT56</f>
        <v>205.25799999999998</v>
      </c>
      <c r="AV55" s="1092">
        <f>AU56</f>
        <v>203.68299999999999</v>
      </c>
      <c r="AW55" s="1093">
        <f>AS55</f>
        <v>173.24199999999996</v>
      </c>
      <c r="AX55" s="1092"/>
      <c r="AY55" s="1094">
        <f>AW56</f>
        <v>174.82099999999994</v>
      </c>
      <c r="AZ55" s="1092">
        <f>AY56</f>
        <v>168.92399999999995</v>
      </c>
      <c r="BA55" s="1092">
        <f>AZ56</f>
        <v>192.16999999999996</v>
      </c>
      <c r="BB55" s="1092">
        <f>BA56</f>
        <v>195.06599999999995</v>
      </c>
      <c r="BC55" s="1093">
        <f>AY55</f>
        <v>174.82099999999994</v>
      </c>
      <c r="BD55" s="1092"/>
      <c r="BE55" s="1094">
        <f>BC56</f>
        <v>237.9319999999999</v>
      </c>
      <c r="BF55" s="1092">
        <f>BE56</f>
        <v>210.73099999999988</v>
      </c>
      <c r="BG55" s="1092">
        <f>BF56</f>
        <v>248.08299999999988</v>
      </c>
      <c r="BH55" s="1092">
        <f>BG56</f>
        <v>311.66300000000001</v>
      </c>
      <c r="BI55" s="1093">
        <f>BE55</f>
        <v>237.9319999999999</v>
      </c>
      <c r="BJ55" s="1092"/>
      <c r="BK55" s="1094">
        <f>BI56</f>
        <v>359.2650000000001</v>
      </c>
      <c r="BL55" s="1092">
        <f>BK56</f>
        <v>288.32900000000012</v>
      </c>
      <c r="BM55" s="1092">
        <f>BL56</f>
        <v>616.30800000000022</v>
      </c>
      <c r="BN55" s="1092">
        <f>BM56</f>
        <v>709.48800000000017</v>
      </c>
      <c r="BO55" s="1093">
        <f>BK55</f>
        <v>359.2650000000001</v>
      </c>
      <c r="BP55" s="1092"/>
      <c r="BQ55" s="1094">
        <f>BO56</f>
        <v>202.13399999999999</v>
      </c>
      <c r="BR55" s="1092">
        <f>BQ56</f>
        <v>255.20448090663058</v>
      </c>
      <c r="BS55" s="1092">
        <f>BR56</f>
        <v>430.69340058408403</v>
      </c>
      <c r="BT55" s="1092">
        <f>BS56</f>
        <v>485.50787212989223</v>
      </c>
      <c r="BU55" s="1093">
        <f>BQ55</f>
        <v>202.13399999999999</v>
      </c>
      <c r="BV55" s="1092"/>
      <c r="BW55" s="1094">
        <f>BU56</f>
        <v>452.65784870023595</v>
      </c>
      <c r="BX55" s="1092">
        <f>BW56</f>
        <v>424.42425199596994</v>
      </c>
      <c r="BY55" s="1092">
        <f>BX56</f>
        <v>377.46428275559299</v>
      </c>
      <c r="BZ55" s="1092">
        <f>BY56</f>
        <v>386.91606490056881</v>
      </c>
      <c r="CA55" s="1093">
        <f>BW55</f>
        <v>452.65784870023595</v>
      </c>
      <c r="CB55" s="1092"/>
      <c r="CC55" s="1094">
        <f>CA56</f>
        <v>502.35963436609325</v>
      </c>
      <c r="CD55" s="1092">
        <f>CC56</f>
        <v>598.9721282458911</v>
      </c>
      <c r="CE55" s="1092">
        <f>CD56</f>
        <v>679.95017940829098</v>
      </c>
      <c r="CF55" s="1092">
        <f>CE56</f>
        <v>827.31103714077506</v>
      </c>
      <c r="CG55" s="1093">
        <f>CC55</f>
        <v>502.35963436609325</v>
      </c>
      <c r="CH55" s="1092"/>
      <c r="CI55" s="1094">
        <f>CG56</f>
        <v>874.80801740136087</v>
      </c>
      <c r="CJ55" s="1092">
        <f>CI56</f>
        <v>919.19826955712983</v>
      </c>
      <c r="CK55" s="1092">
        <f>CJ56</f>
        <v>925.32758228587011</v>
      </c>
      <c r="CL55" s="1092">
        <f>CK56</f>
        <v>999.78557469135114</v>
      </c>
      <c r="CM55" s="1093">
        <f>CI55</f>
        <v>874.80801740136087</v>
      </c>
      <c r="CN55" s="1095"/>
      <c r="CO55" s="1095"/>
      <c r="CP55" s="1095"/>
    </row>
    <row r="56" spans="1:107">
      <c r="A56" s="1753" t="s">
        <v>419</v>
      </c>
      <c r="B56" s="1096"/>
      <c r="C56" s="1097">
        <f>C53+C55</f>
        <v>119.56199999999998</v>
      </c>
      <c r="D56" s="1098">
        <f>D53+D55</f>
        <v>150.03999999999996</v>
      </c>
      <c r="E56" s="1098">
        <f>E53+E55</f>
        <v>160.90099999999993</v>
      </c>
      <c r="F56" s="1098">
        <f>F53+F55</f>
        <v>203.34799999999993</v>
      </c>
      <c r="G56" s="1099">
        <f>G53+G55</f>
        <v>203.34800000000001</v>
      </c>
      <c r="H56" s="1100"/>
      <c r="I56" s="1097">
        <f>I53+I55</f>
        <v>185.262</v>
      </c>
      <c r="J56" s="1098">
        <f>J53+J55</f>
        <v>193.45099999999996</v>
      </c>
      <c r="K56" s="1098">
        <f>K53+K55</f>
        <v>188.80799999999996</v>
      </c>
      <c r="L56" s="1098">
        <f>L53+L55</f>
        <v>179.10999999999999</v>
      </c>
      <c r="M56" s="1099">
        <f>M53+M55</f>
        <v>179.10999999999999</v>
      </c>
      <c r="N56" s="1100"/>
      <c r="O56" s="1097">
        <f>O53+O55</f>
        <v>162.04900000000001</v>
      </c>
      <c r="P56" s="1098">
        <f>P53+P55</f>
        <v>151.339</v>
      </c>
      <c r="Q56" s="1098">
        <f>Q53+Q55</f>
        <v>150.58599999999996</v>
      </c>
      <c r="R56" s="1098">
        <f>R53+R55</f>
        <v>179.70699999999999</v>
      </c>
      <c r="S56" s="1099">
        <f>S53+S55</f>
        <v>179.70700000000005</v>
      </c>
      <c r="T56" s="1100"/>
      <c r="U56" s="1097">
        <f>U53+U55</f>
        <v>181.74400000000006</v>
      </c>
      <c r="V56" s="1098">
        <f>V53+V55</f>
        <v>215.66400000000004</v>
      </c>
      <c r="W56" s="1098">
        <f>W53+W55</f>
        <v>250.98800000000006</v>
      </c>
      <c r="X56" s="1098">
        <f>X53+X55</f>
        <v>420.08600000000001</v>
      </c>
      <c r="Y56" s="1099">
        <f>Y53+Y55</f>
        <v>420.08600000000001</v>
      </c>
      <c r="Z56" s="1100"/>
      <c r="AA56" s="1097">
        <f>AA53+AA55</f>
        <v>415.84800000000001</v>
      </c>
      <c r="AB56" s="1098">
        <f>AB53+AB55</f>
        <v>395.20800000000003</v>
      </c>
      <c r="AC56" s="1098">
        <f>AC53+AC55</f>
        <v>248.102</v>
      </c>
      <c r="AD56" s="1098">
        <f>AD53+AD55</f>
        <v>142.34200000000004</v>
      </c>
      <c r="AE56" s="1099">
        <f>AE53+AE55</f>
        <v>142.34199999999998</v>
      </c>
      <c r="AF56" s="1100"/>
      <c r="AG56" s="1097">
        <f>AG53+AG55</f>
        <v>144.75699999999998</v>
      </c>
      <c r="AH56" s="1098">
        <f>AH53+AH55</f>
        <v>171.40299999999999</v>
      </c>
      <c r="AI56" s="1098">
        <f>AI53+AI55</f>
        <v>170.828</v>
      </c>
      <c r="AJ56" s="1098">
        <f>AJ53+AJ55</f>
        <v>171.44400000000002</v>
      </c>
      <c r="AK56" s="1099">
        <f>AK53+AK55</f>
        <v>171.44399999999996</v>
      </c>
      <c r="AL56" s="1100"/>
      <c r="AM56" s="1097">
        <f>AM53+AM55</f>
        <v>125.87099999999995</v>
      </c>
      <c r="AN56" s="1098">
        <f>AN53+AN55</f>
        <v>112.46999999999997</v>
      </c>
      <c r="AO56" s="1098">
        <f>AO53+AO55</f>
        <v>132.30299999999997</v>
      </c>
      <c r="AP56" s="1098">
        <f>AP53+AP55</f>
        <v>173.24199999999993</v>
      </c>
      <c r="AQ56" s="1099">
        <f>AQ53+AQ55</f>
        <v>173.24199999999996</v>
      </c>
      <c r="AR56" s="1100"/>
      <c r="AS56" s="1097">
        <f>AS53+AS55</f>
        <v>224.11299999999997</v>
      </c>
      <c r="AT56" s="1098">
        <f>AT53+AT55</f>
        <v>205.25799999999998</v>
      </c>
      <c r="AU56" s="1098">
        <f>AU53+AU55</f>
        <v>203.68299999999999</v>
      </c>
      <c r="AV56" s="1578">
        <f>AV53+AV55</f>
        <v>174.82100000000005</v>
      </c>
      <c r="AW56" s="1579">
        <f>AW53+AW55</f>
        <v>174.82099999999994</v>
      </c>
      <c r="AX56" s="1100"/>
      <c r="AY56" s="1097">
        <f>AY53+AY55</f>
        <v>168.92399999999995</v>
      </c>
      <c r="AZ56" s="1098">
        <f>AZ53+AZ55</f>
        <v>192.16999999999996</v>
      </c>
      <c r="BA56" s="1098">
        <f>BA53+BA55</f>
        <v>195.06599999999995</v>
      </c>
      <c r="BB56" s="1098">
        <f>BB53+BB55</f>
        <v>237.93199999999996</v>
      </c>
      <c r="BC56" s="1099">
        <f>BC53+BC55</f>
        <v>237.9319999999999</v>
      </c>
      <c r="BD56" s="1100"/>
      <c r="BE56" s="1097">
        <f>BE53+BE55</f>
        <v>210.73099999999988</v>
      </c>
      <c r="BF56" s="1098">
        <f>BF53+BF55</f>
        <v>248.08299999999988</v>
      </c>
      <c r="BG56" s="1098">
        <f>BG53+BG55</f>
        <v>311.66300000000001</v>
      </c>
      <c r="BH56" s="1098">
        <f>BH53+BH55</f>
        <v>359.26500000000004</v>
      </c>
      <c r="BI56" s="1099">
        <f>BI53+BI55</f>
        <v>359.2650000000001</v>
      </c>
      <c r="BJ56" s="1100"/>
      <c r="BK56" s="1097">
        <f>BK53+BK55</f>
        <v>288.32900000000012</v>
      </c>
      <c r="BL56" s="1098">
        <f>BL53+BL55</f>
        <v>616.30800000000022</v>
      </c>
      <c r="BM56" s="1098">
        <f>BM53+BM55</f>
        <v>709.48800000000017</v>
      </c>
      <c r="BN56" s="1098">
        <f>BN53+BN55</f>
        <v>202.13400000000019</v>
      </c>
      <c r="BO56" s="1099">
        <f>BO53+BO55</f>
        <v>202.13399999999999</v>
      </c>
      <c r="BP56" s="1100"/>
      <c r="BQ56" s="1097">
        <f>BQ53+BQ55</f>
        <v>255.20448090663058</v>
      </c>
      <c r="BR56" s="1098">
        <f>BR53+BR55</f>
        <v>430.69340058408403</v>
      </c>
      <c r="BS56" s="1098">
        <f>BS53+BS55</f>
        <v>485.50787212989223</v>
      </c>
      <c r="BT56" s="1098">
        <f>BT53+BT55</f>
        <v>452.65784870023589</v>
      </c>
      <c r="BU56" s="1099">
        <f>BU53+BU55</f>
        <v>452.65784870023595</v>
      </c>
      <c r="BV56" s="1100"/>
      <c r="BW56" s="1097">
        <f>BW53+BW55</f>
        <v>424.42425199596994</v>
      </c>
      <c r="BX56" s="1098">
        <f>BX53+BX55</f>
        <v>377.46428275559299</v>
      </c>
      <c r="BY56" s="1098">
        <f>BY53+BY55</f>
        <v>386.91606490056881</v>
      </c>
      <c r="BZ56" s="1098">
        <f>BZ53+BZ55</f>
        <v>502.35963436609313</v>
      </c>
      <c r="CA56" s="1099">
        <f>CA53+CA55</f>
        <v>502.35963436609325</v>
      </c>
      <c r="CB56" s="1100"/>
      <c r="CC56" s="1097">
        <f>CC53+CC55</f>
        <v>598.9721282458911</v>
      </c>
      <c r="CD56" s="1098">
        <f>CD53+CD55</f>
        <v>679.95017940829098</v>
      </c>
      <c r="CE56" s="1098">
        <f>CE53+CE55</f>
        <v>827.31103714077506</v>
      </c>
      <c r="CF56" s="1098">
        <f>CF53+CF55</f>
        <v>874.80801740136087</v>
      </c>
      <c r="CG56" s="1099">
        <f>CG53+CG55</f>
        <v>874.80801740136087</v>
      </c>
      <c r="CH56" s="1100"/>
      <c r="CI56" s="1097">
        <f>CI53+CI55</f>
        <v>919.19826955712983</v>
      </c>
      <c r="CJ56" s="1098">
        <f>CJ53+CJ55</f>
        <v>925.32758228587011</v>
      </c>
      <c r="CK56" s="1098">
        <f>CK53+CK55</f>
        <v>999.78557469135114</v>
      </c>
      <c r="CL56" s="1098">
        <f>CL53+CL55</f>
        <v>1000.2750922614124</v>
      </c>
      <c r="CM56" s="1099">
        <f>CM53+CM55</f>
        <v>1000.2750922614124</v>
      </c>
      <c r="CN56" s="1101"/>
      <c r="CO56" s="1101"/>
      <c r="CP56" s="1101"/>
    </row>
    <row r="57" spans="1:107" hidden="1" outlineLevel="1">
      <c r="A57" s="1102" t="s">
        <v>174</v>
      </c>
      <c r="B57" s="1103"/>
      <c r="C57" s="1103">
        <f>BS!C10-CFS!C56</f>
        <v>0</v>
      </c>
      <c r="D57" s="1103">
        <f>BS!D10-CFS!D56</f>
        <v>0</v>
      </c>
      <c r="E57" s="1103">
        <f>BS!E10-CFS!E56</f>
        <v>0</v>
      </c>
      <c r="F57" s="1103">
        <f>BS!F10-CFS!F56</f>
        <v>0</v>
      </c>
      <c r="G57" s="1103">
        <f>BS!G10-CFS!G56</f>
        <v>0</v>
      </c>
      <c r="H57" s="1103"/>
      <c r="I57" s="1103">
        <f>BS!I10-CFS!I56</f>
        <v>0</v>
      </c>
      <c r="J57" s="1103">
        <f>BS!J10-CFS!J56</f>
        <v>0</v>
      </c>
      <c r="K57" s="1103">
        <f>BS!K10-CFS!K56</f>
        <v>0</v>
      </c>
      <c r="L57" s="1103">
        <f>BS!L10-CFS!L56</f>
        <v>0</v>
      </c>
      <c r="M57" s="1103">
        <f>BS!M10-CFS!M56</f>
        <v>0</v>
      </c>
      <c r="N57" s="1103"/>
      <c r="O57" s="1103">
        <f>BS!O10-CFS!O56</f>
        <v>0</v>
      </c>
      <c r="P57" s="1103">
        <f>BS!P10-CFS!P56</f>
        <v>0</v>
      </c>
      <c r="Q57" s="1103">
        <f>BS!Q10-CFS!Q56</f>
        <v>0</v>
      </c>
      <c r="R57" s="1103">
        <f>BS!R10-CFS!R56</f>
        <v>0</v>
      </c>
      <c r="S57" s="1103">
        <f>BS!S10-CFS!S56</f>
        <v>0</v>
      </c>
      <c r="T57" s="1103"/>
      <c r="U57" s="1103">
        <f>BS!U10-CFS!U56</f>
        <v>0</v>
      </c>
      <c r="V57" s="1103">
        <f>BS!V10-CFS!V56</f>
        <v>0</v>
      </c>
      <c r="W57" s="1103">
        <f>BS!W10-CFS!W56</f>
        <v>0</v>
      </c>
      <c r="X57" s="1103">
        <f>BS!X10-CFS!X56</f>
        <v>0</v>
      </c>
      <c r="Y57" s="1103">
        <f>BS!Y10-CFS!Y56</f>
        <v>0</v>
      </c>
      <c r="Z57" s="1103"/>
      <c r="AA57" s="1103">
        <f>BS!AA10-CFS!AA56</f>
        <v>0</v>
      </c>
      <c r="AB57" s="1103">
        <f>BS!AB10-CFS!AB56</f>
        <v>0</v>
      </c>
      <c r="AC57" s="1103">
        <f>BS!AC10-CFS!AC56</f>
        <v>0</v>
      </c>
      <c r="AD57" s="1103">
        <f>BS!AD10-CFS!AD56</f>
        <v>0</v>
      </c>
      <c r="AE57" s="1103">
        <f>BS!AE10-CFS!AE56</f>
        <v>0</v>
      </c>
      <c r="AF57" s="1103"/>
      <c r="AG57" s="1103">
        <f>BS!AG10-CFS!AG56</f>
        <v>0</v>
      </c>
      <c r="AH57" s="1103">
        <f>BS!AH10-CFS!AH56</f>
        <v>0</v>
      </c>
      <c r="AI57" s="1103">
        <f>BS!AI10-CFS!AI56</f>
        <v>0</v>
      </c>
      <c r="AJ57" s="1103">
        <f>BS!AJ10-CFS!AJ56</f>
        <v>0</v>
      </c>
      <c r="AK57" s="1103">
        <f>BS!AK10-CFS!AK56</f>
        <v>0</v>
      </c>
      <c r="AL57" s="1103"/>
      <c r="AM57" s="1103">
        <f>BS!AM10-CFS!AM56</f>
        <v>0</v>
      </c>
      <c r="AN57" s="1103">
        <f>BS!AN10-CFS!AN56</f>
        <v>0</v>
      </c>
      <c r="AO57" s="1103">
        <f>BS!AO10-CFS!AO56</f>
        <v>0</v>
      </c>
      <c r="AP57" s="1103">
        <f>BS!AP10-CFS!AP56</f>
        <v>0</v>
      </c>
      <c r="AQ57" s="1103">
        <f>BS!AQ10-CFS!AQ56</f>
        <v>0</v>
      </c>
      <c r="AR57" s="1103"/>
      <c r="AS57" s="1103">
        <f>BS!AS10-CFS!AS56</f>
        <v>0</v>
      </c>
      <c r="AT57" s="1103">
        <f>BS!AT10-CFS!AT56</f>
        <v>0</v>
      </c>
      <c r="AU57" s="1103">
        <f>BS!AU10-CFS!AU56</f>
        <v>0</v>
      </c>
      <c r="AV57" s="1103">
        <f>BS!AV10-CFS!AV56</f>
        <v>0</v>
      </c>
      <c r="AW57" s="1103">
        <f>BS!AW10-CFS!AW56</f>
        <v>0</v>
      </c>
      <c r="AX57" s="1103"/>
      <c r="AY57" s="1103">
        <f>BS!AY10-CFS!AY56</f>
        <v>0</v>
      </c>
      <c r="AZ57" s="1103">
        <f>BS!AZ10-CFS!AZ56</f>
        <v>0</v>
      </c>
      <c r="BA57" s="1103">
        <f>BS!BA10-CFS!BA56</f>
        <v>0</v>
      </c>
      <c r="BB57" s="1103">
        <f>BS!BB10-CFS!BB56</f>
        <v>0</v>
      </c>
      <c r="BC57" s="1103">
        <f>BS!BC10-CFS!BC56</f>
        <v>0</v>
      </c>
      <c r="BD57" s="1103"/>
      <c r="BE57" s="1103">
        <f>BS!BE10-CFS!BE56</f>
        <v>0</v>
      </c>
      <c r="BF57" s="1103">
        <f>BS!BF10-CFS!BF56</f>
        <v>0</v>
      </c>
      <c r="BG57" s="1103">
        <f>BS!BG10-CFS!BG56</f>
        <v>0</v>
      </c>
      <c r="BH57" s="1103">
        <f>BS!BH10-CFS!BH56</f>
        <v>0</v>
      </c>
      <c r="BI57" s="1103">
        <f>BS!BI10-CFS!BI56</f>
        <v>0</v>
      </c>
      <c r="BJ57" s="1103"/>
      <c r="BK57" s="1103">
        <f>BS!BK10-CFS!BK56</f>
        <v>0</v>
      </c>
      <c r="BL57" s="1103">
        <f>BS!BL10-CFS!BL56</f>
        <v>0</v>
      </c>
      <c r="BM57" s="1103">
        <f>BS!BM10-CFS!BM56</f>
        <v>0</v>
      </c>
      <c r="BN57" s="1103">
        <f>BS!BN10-CFS!BN56</f>
        <v>0</v>
      </c>
      <c r="BO57" s="1103">
        <f>BS!BO10-CFS!BO56</f>
        <v>0</v>
      </c>
      <c r="BP57" s="1103"/>
      <c r="BQ57" s="1103">
        <f>BS!BQ10-CFS!BQ56</f>
        <v>0</v>
      </c>
      <c r="BR57" s="1103">
        <f>BS!BR10-CFS!BR56</f>
        <v>0</v>
      </c>
      <c r="BS57" s="1103">
        <f>BS!BS10-CFS!BS56</f>
        <v>0</v>
      </c>
      <c r="BT57" s="1103">
        <f>BS!BT10-CFS!BT56</f>
        <v>0</v>
      </c>
      <c r="BU57" s="1103">
        <f>BS!BU10-CFS!BU56</f>
        <v>0</v>
      </c>
      <c r="BV57" s="1103"/>
      <c r="BW57" s="1103">
        <f>BS!BW10-CFS!BW56</f>
        <v>0</v>
      </c>
      <c r="BX57" s="1103">
        <f>BS!BX10-CFS!BX56</f>
        <v>0</v>
      </c>
      <c r="BY57" s="1103">
        <f>BS!BY10-CFS!BY56</f>
        <v>0</v>
      </c>
      <c r="BZ57" s="1103">
        <f>BS!BZ10-CFS!BZ56</f>
        <v>0</v>
      </c>
      <c r="CA57" s="1103">
        <f>BS!CA10-CFS!CA56</f>
        <v>0</v>
      </c>
      <c r="CB57" s="1103"/>
      <c r="CC57" s="1103">
        <f>BS!CC10-CFS!CC56</f>
        <v>0</v>
      </c>
      <c r="CD57" s="1103">
        <f>BS!CD10-CFS!CD56</f>
        <v>0</v>
      </c>
      <c r="CE57" s="1103">
        <f>BS!CE10-CFS!CE56</f>
        <v>0</v>
      </c>
      <c r="CF57" s="1103">
        <f>BS!CF10-CFS!CF56</f>
        <v>0</v>
      </c>
      <c r="CG57" s="1103">
        <f>BS!CG10-CFS!CG56</f>
        <v>0</v>
      </c>
      <c r="CH57" s="1103"/>
      <c r="CI57" s="1103">
        <f>BS!CI10-CFS!CI56</f>
        <v>0</v>
      </c>
      <c r="CJ57" s="1103">
        <f>BS!CJ10-CFS!CJ56</f>
        <v>0</v>
      </c>
      <c r="CK57" s="1103">
        <f>BS!CK10-CFS!CK56</f>
        <v>0</v>
      </c>
      <c r="CL57" s="1103">
        <f>BS!CL10-CFS!CL56</f>
        <v>0</v>
      </c>
      <c r="CM57" s="1103">
        <f>BS!CM10-CFS!CM56</f>
        <v>0</v>
      </c>
      <c r="CN57" s="1104"/>
      <c r="CO57" s="1104"/>
      <c r="CP57" s="1104"/>
    </row>
    <row r="58" spans="1:107" collapsed="1">
      <c r="A58" s="1084"/>
      <c r="B58" s="1084"/>
      <c r="C58" s="1084"/>
      <c r="D58" s="1084"/>
      <c r="E58" s="1084"/>
      <c r="F58" s="1084"/>
      <c r="G58" s="1084"/>
      <c r="H58" s="1084"/>
      <c r="I58" s="1084"/>
      <c r="J58" s="1084"/>
      <c r="K58" s="1084"/>
      <c r="L58" s="1105"/>
      <c r="M58" s="1084"/>
      <c r="N58" s="1084"/>
      <c r="O58" s="1084"/>
      <c r="P58" s="1084"/>
      <c r="Q58" s="1084"/>
      <c r="R58" s="1084"/>
      <c r="S58" s="1105"/>
      <c r="T58" s="1084"/>
      <c r="U58" s="1105"/>
      <c r="V58" s="1105"/>
      <c r="W58" s="1105"/>
      <c r="X58" s="1105"/>
      <c r="Y58" s="1026"/>
      <c r="Z58" s="1084"/>
      <c r="AA58" s="1105"/>
      <c r="AB58" s="1105"/>
      <c r="AC58" s="1105"/>
      <c r="AD58" s="1105"/>
      <c r="AE58" s="1383"/>
      <c r="AF58" s="1084"/>
      <c r="AG58" s="1105"/>
      <c r="AH58" s="1105"/>
      <c r="AI58" s="1105"/>
      <c r="AJ58" s="1105"/>
      <c r="AK58" s="1383"/>
      <c r="AL58" s="1084"/>
      <c r="AM58" s="1105"/>
      <c r="AN58" s="1105"/>
      <c r="AO58" s="1105"/>
      <c r="AP58" s="1105"/>
      <c r="AQ58" s="1383"/>
      <c r="AR58" s="1084"/>
      <c r="AS58" s="1105"/>
      <c r="AT58" s="1105"/>
      <c r="AU58" s="1105"/>
      <c r="AV58" s="1105"/>
      <c r="AW58" s="1383"/>
      <c r="AX58" s="1084"/>
      <c r="AY58" s="1105"/>
      <c r="AZ58" s="1105"/>
      <c r="BA58" s="1105"/>
      <c r="BB58" s="1105"/>
      <c r="BC58" s="1383"/>
      <c r="BD58" s="1084"/>
      <c r="BE58" s="1105"/>
      <c r="BF58" s="1105"/>
      <c r="BG58" s="1105"/>
      <c r="BH58" s="1105"/>
      <c r="BI58" s="1383"/>
      <c r="BJ58" s="1084"/>
      <c r="BK58" s="1105"/>
      <c r="BL58" s="1105"/>
      <c r="BM58" s="1105"/>
      <c r="BN58" s="1105"/>
      <c r="BO58" s="1383"/>
      <c r="BP58" s="1084"/>
      <c r="BQ58" s="1105"/>
      <c r="BR58" s="1105"/>
      <c r="BS58" s="1105"/>
      <c r="BT58" s="1105"/>
      <c r="BU58" s="1383"/>
      <c r="BV58" s="1084"/>
      <c r="BW58" s="1105"/>
      <c r="BX58" s="1105"/>
      <c r="BY58" s="1105"/>
      <c r="BZ58" s="1105"/>
      <c r="CA58" s="1383"/>
      <c r="CB58" s="1084"/>
      <c r="CC58" s="1105"/>
      <c r="CD58" s="1105"/>
      <c r="CE58" s="1105"/>
      <c r="CF58" s="1105"/>
      <c r="CG58" s="1383"/>
      <c r="CH58" s="1084"/>
      <c r="CI58" s="1105"/>
      <c r="CJ58" s="1105"/>
      <c r="CK58" s="1105"/>
      <c r="CL58" s="1105"/>
      <c r="CM58" s="1383"/>
      <c r="CN58" s="1026"/>
      <c r="CO58" s="1026"/>
      <c r="CP58" s="1026"/>
    </row>
    <row r="59" spans="1:107">
      <c r="A59" s="1106" t="s">
        <v>252</v>
      </c>
      <c r="B59" s="1107"/>
      <c r="C59" s="1107"/>
      <c r="D59" s="1107"/>
      <c r="E59" s="1107"/>
      <c r="F59" s="1107"/>
      <c r="G59" s="1108"/>
      <c r="H59" s="1107"/>
      <c r="I59" s="1109"/>
      <c r="J59" s="1109"/>
      <c r="K59" s="1109"/>
      <c r="L59" s="1110"/>
      <c r="M59" s="1111"/>
      <c r="N59" s="1107"/>
      <c r="O59" s="1109"/>
      <c r="P59" s="1109"/>
      <c r="Q59" s="1109"/>
      <c r="R59" s="1109"/>
      <c r="S59" s="1112"/>
      <c r="T59" s="1107"/>
      <c r="U59" s="1110"/>
      <c r="V59" s="1110"/>
      <c r="W59" s="1110"/>
      <c r="X59" s="1110"/>
      <c r="Y59" s="1113"/>
      <c r="Z59" s="1107"/>
      <c r="AA59" s="1110"/>
      <c r="AB59" s="1110"/>
      <c r="AC59" s="1110"/>
      <c r="AD59" s="1110"/>
      <c r="AE59" s="1113"/>
      <c r="AF59" s="1107"/>
      <c r="AG59" s="1110"/>
      <c r="AH59" s="1110"/>
      <c r="AI59" s="1110"/>
      <c r="AJ59" s="1110"/>
      <c r="AK59" s="1113"/>
      <c r="AL59" s="1107"/>
      <c r="AM59" s="1110"/>
      <c r="AN59" s="1110"/>
      <c r="AO59" s="1110"/>
      <c r="AP59" s="1110"/>
      <c r="AQ59" s="1113"/>
      <c r="AR59" s="1107"/>
      <c r="AS59" s="1110"/>
      <c r="AT59" s="1110"/>
      <c r="AU59" s="1110"/>
      <c r="AV59" s="1110"/>
      <c r="AW59" s="1113"/>
      <c r="AX59" s="1107"/>
      <c r="AY59" s="1110"/>
      <c r="AZ59" s="1110"/>
      <c r="BA59" s="1110"/>
      <c r="BB59" s="1110"/>
      <c r="BC59" s="1113"/>
      <c r="BD59" s="1107"/>
      <c r="BE59" s="1110"/>
      <c r="BF59" s="1110"/>
      <c r="BG59" s="1110"/>
      <c r="BH59" s="1110"/>
      <c r="BI59" s="1113"/>
      <c r="BJ59" s="1107"/>
      <c r="BK59" s="1110"/>
      <c r="BL59" s="1110"/>
      <c r="BM59" s="1110"/>
      <c r="BN59" s="1110"/>
      <c r="BO59" s="1113"/>
      <c r="BP59" s="1107"/>
      <c r="BQ59" s="1110"/>
      <c r="BR59" s="1110"/>
      <c r="BS59" s="1110"/>
      <c r="BT59" s="1110"/>
      <c r="BU59" s="1113"/>
      <c r="BV59" s="1107"/>
      <c r="BW59" s="1110"/>
      <c r="BX59" s="1110"/>
      <c r="BY59" s="1110"/>
      <c r="BZ59" s="1110"/>
      <c r="CA59" s="1113"/>
      <c r="CB59" s="1107"/>
      <c r="CC59" s="1110"/>
      <c r="CD59" s="1110"/>
      <c r="CE59" s="1110"/>
      <c r="CF59" s="1110"/>
      <c r="CG59" s="1113"/>
      <c r="CH59" s="1107"/>
      <c r="CI59" s="1110"/>
      <c r="CJ59" s="1110"/>
      <c r="CK59" s="1110"/>
      <c r="CL59" s="1110"/>
      <c r="CM59" s="1113"/>
      <c r="CN59" s="1026"/>
      <c r="CO59" s="1026"/>
      <c r="CP59" s="1026"/>
    </row>
    <row r="60" spans="1:107" s="1119" customFormat="1">
      <c r="A60" s="1114" t="s">
        <v>368</v>
      </c>
      <c r="B60" s="1115"/>
      <c r="C60" s="1115">
        <f>C26+C29</f>
        <v>5.8589999999999982</v>
      </c>
      <c r="D60" s="1115">
        <f>D26+D29</f>
        <v>53.611000000000004</v>
      </c>
      <c r="E60" s="1115">
        <f>E26+E29</f>
        <v>12.901</v>
      </c>
      <c r="F60" s="1115">
        <f>F26+F29</f>
        <v>88.24199999999999</v>
      </c>
      <c r="G60" s="1116">
        <f>G26+G29</f>
        <v>160.613</v>
      </c>
      <c r="H60" s="1115"/>
      <c r="I60" s="1117">
        <f>I26+I29</f>
        <v>8.902000000000001</v>
      </c>
      <c r="J60" s="1117">
        <f>J26+J29</f>
        <v>68.063999999999993</v>
      </c>
      <c r="K60" s="1117">
        <f>K26+K29</f>
        <v>18.680999999999997</v>
      </c>
      <c r="L60" s="1117">
        <f>L26+L29</f>
        <v>78.872000000000014</v>
      </c>
      <c r="M60" s="1118">
        <f>M26+M29</f>
        <v>174.51900000000001</v>
      </c>
      <c r="N60" s="1115"/>
      <c r="O60" s="1117">
        <f>O26+O29</f>
        <v>9.8220000000000063</v>
      </c>
      <c r="P60" s="1117">
        <f>P26+P29</f>
        <v>28.754999999999999</v>
      </c>
      <c r="Q60" s="1117">
        <f>Q26+Q29</f>
        <v>32.225999999999992</v>
      </c>
      <c r="R60" s="1117">
        <f>R26+R29</f>
        <v>46.233000000000011</v>
      </c>
      <c r="S60" s="1118">
        <f>S26+S29</f>
        <v>117.03600000000003</v>
      </c>
      <c r="T60" s="1115"/>
      <c r="U60" s="1117">
        <f>U26+U29</f>
        <v>41.891000000000005</v>
      </c>
      <c r="V60" s="1117">
        <f>V26+V29</f>
        <v>64.335999999999999</v>
      </c>
      <c r="W60" s="1117">
        <f>W26+W29</f>
        <v>6.2220000000000031</v>
      </c>
      <c r="X60" s="1117">
        <f>X26+X29</f>
        <v>18.157999999999948</v>
      </c>
      <c r="Y60" s="1118">
        <f>Y26+Y29</f>
        <v>130.60699999999997</v>
      </c>
      <c r="Z60" s="1115"/>
      <c r="AA60" s="1117">
        <f>AA26+AA29</f>
        <v>34.970000000000006</v>
      </c>
      <c r="AB60" s="1117">
        <f>AB26+AB29</f>
        <v>43.610999999999997</v>
      </c>
      <c r="AC60" s="1117">
        <f>AC26+AC29</f>
        <v>38.789000000000001</v>
      </c>
      <c r="AD60" s="1117">
        <f>AD26+AD29</f>
        <v>76.91200000000002</v>
      </c>
      <c r="AE60" s="1118">
        <f>AE26+AE29</f>
        <v>194.28200000000004</v>
      </c>
      <c r="AF60" s="1115"/>
      <c r="AG60" s="1117">
        <f>AG26+AG29</f>
        <v>10.310999999999998</v>
      </c>
      <c r="AH60" s="1117">
        <f>AH26+AH29</f>
        <v>70.169000000000011</v>
      </c>
      <c r="AI60" s="1117">
        <f>AI26+AI29</f>
        <v>7.8160000000000025</v>
      </c>
      <c r="AJ60" s="1117">
        <f>AJ26+AJ29</f>
        <v>21.466000000000008</v>
      </c>
      <c r="AK60" s="1118">
        <f>AK26+AK29</f>
        <v>109.76199999999999</v>
      </c>
      <c r="AL60" s="1115"/>
      <c r="AM60" s="1117">
        <f>AM26+AM29</f>
        <v>-0.89800000000000857</v>
      </c>
      <c r="AN60" s="1117">
        <f>AN26+AN29</f>
        <v>16.839000000000006</v>
      </c>
      <c r="AO60" s="1117">
        <f>AO26+AO29</f>
        <v>39.38300000000001</v>
      </c>
      <c r="AP60" s="1117">
        <f>AP26+AP29</f>
        <v>64.275999999999982</v>
      </c>
      <c r="AQ60" s="1118">
        <f>AQ26+AQ29</f>
        <v>119.60000000000001</v>
      </c>
      <c r="AR60" s="1115"/>
      <c r="AS60" s="1117">
        <f>AS26+AS29</f>
        <v>61.691000000000003</v>
      </c>
      <c r="AT60" s="1117">
        <f>AT26+AT29</f>
        <v>45.968000000000004</v>
      </c>
      <c r="AU60" s="1117">
        <f>AU26+AU29</f>
        <v>55.16</v>
      </c>
      <c r="AV60" s="1117">
        <f>AV26+AV29</f>
        <v>89.706000000000003</v>
      </c>
      <c r="AW60" s="1118">
        <f>AW26+AW29</f>
        <v>252.52499999999998</v>
      </c>
      <c r="AX60" s="1115"/>
      <c r="AY60" s="1117">
        <f>AY26+AY29</f>
        <v>33.183999999999997</v>
      </c>
      <c r="AZ60" s="1117">
        <f>AZ26+AZ29</f>
        <v>57.85100000000002</v>
      </c>
      <c r="BA60" s="1117">
        <f>BA26+BA29</f>
        <v>53.009999999999991</v>
      </c>
      <c r="BB60" s="1117">
        <f>BB26+BB29</f>
        <v>113.42100000000002</v>
      </c>
      <c r="BC60" s="1118">
        <f>BC26+BC29</f>
        <v>257.46599999999995</v>
      </c>
      <c r="BD60" s="1115"/>
      <c r="BE60" s="1117">
        <f>BE26+BE29</f>
        <v>24.231999999999999</v>
      </c>
      <c r="BF60" s="1117">
        <f>BF26+BF29</f>
        <v>87.725999999999999</v>
      </c>
      <c r="BG60" s="1117">
        <f>BG26+BG29</f>
        <v>64.623000000000019</v>
      </c>
      <c r="BH60" s="1117">
        <f>BH26+BH29</f>
        <v>142.33199999999999</v>
      </c>
      <c r="BI60" s="1118">
        <f>BI26+BI29</f>
        <v>318.91300000000007</v>
      </c>
      <c r="BJ60" s="1115"/>
      <c r="BK60" s="1117">
        <f>BK26+BK29</f>
        <v>47.75500000000001</v>
      </c>
      <c r="BL60" s="1117">
        <f>BL26+BL29</f>
        <v>42.625</v>
      </c>
      <c r="BM60" s="1117">
        <f>BM26+BM29</f>
        <v>47.615000000000002</v>
      </c>
      <c r="BN60" s="1117">
        <f>BN26+BN29</f>
        <v>111.36899999999997</v>
      </c>
      <c r="BO60" s="1118">
        <f>BO26+BO29</f>
        <v>249.36399999999998</v>
      </c>
      <c r="BP60" s="1115"/>
      <c r="BQ60" s="1117">
        <f>BQ26+BQ29</f>
        <v>135.09486730968061</v>
      </c>
      <c r="BR60" s="1117">
        <f>BR26+BR29</f>
        <v>63.058617994700398</v>
      </c>
      <c r="BS60" s="1117">
        <f>BS26+BS29</f>
        <v>114.30138330388843</v>
      </c>
      <c r="BT60" s="1117">
        <f>BT26+BT29</f>
        <v>129.33664488840719</v>
      </c>
      <c r="BU60" s="1118">
        <f>BU26+BU29</f>
        <v>441.79151349667671</v>
      </c>
      <c r="BV60" s="1115"/>
      <c r="BW60" s="1117">
        <f>BW26+BW29</f>
        <v>99.813263975551706</v>
      </c>
      <c r="BX60" s="1117">
        <f>BX26+BX29</f>
        <v>73.039314541339266</v>
      </c>
      <c r="BY60" s="1117">
        <f>BY26+BY29</f>
        <v>133.09828772110279</v>
      </c>
      <c r="BZ60" s="1117">
        <f>BZ26+BZ29</f>
        <v>141.84035433392049</v>
      </c>
      <c r="CA60" s="1118">
        <f>CA26+CA29</f>
        <v>447.79122057191427</v>
      </c>
      <c r="CB60" s="1115"/>
      <c r="CC60" s="1117">
        <f>CC26+CC29</f>
        <v>123.88025465759294</v>
      </c>
      <c r="CD60" s="1117">
        <f>CD26+CD29</f>
        <v>89.908748390603876</v>
      </c>
      <c r="CE60" s="1117">
        <f>CE26+CE29</f>
        <v>162.18580517928953</v>
      </c>
      <c r="CF60" s="1117">
        <f>CF26+CF29</f>
        <v>166.73371355234775</v>
      </c>
      <c r="CG60" s="1118">
        <f>CG26+CG29</f>
        <v>542.7085217798342</v>
      </c>
      <c r="CH60" s="1115"/>
      <c r="CI60" s="1117">
        <f>CI26+CI29</f>
        <v>165.02541024527605</v>
      </c>
      <c r="CJ60" s="1117">
        <f>CJ26+CJ29</f>
        <v>89.489516605048493</v>
      </c>
      <c r="CK60" s="1117">
        <f>CK26+CK29</f>
        <v>168.95941842245554</v>
      </c>
      <c r="CL60" s="1117">
        <f>CL26+CL29</f>
        <v>165.11648270933551</v>
      </c>
      <c r="CM60" s="1118">
        <f>CM26+CM29</f>
        <v>588.59082798211557</v>
      </c>
      <c r="CN60" s="1026"/>
      <c r="CO60" s="1130"/>
      <c r="CP60" s="1130"/>
      <c r="CQ60"/>
      <c r="CR60"/>
      <c r="CS60"/>
      <c r="CT60"/>
      <c r="CU60"/>
      <c r="CV60"/>
      <c r="CW60" s="1130"/>
      <c r="CX60" s="1130"/>
      <c r="CY60" s="1130"/>
      <c r="CZ60" s="1130"/>
      <c r="DB60" s="831"/>
      <c r="DC60" s="831"/>
    </row>
    <row r="61" spans="1:107" s="867" customFormat="1">
      <c r="A61" s="1120" t="s">
        <v>369</v>
      </c>
      <c r="B61" s="1121"/>
      <c r="C61" s="1121">
        <f>C60/IS!C49</f>
        <v>4.7532511783746928E-2</v>
      </c>
      <c r="D61" s="1121">
        <f>D60/IS!D49</f>
        <v>0.44420783998541713</v>
      </c>
      <c r="E61" s="1121">
        <f>E60/IS!E49</f>
        <v>0.10800063623349769</v>
      </c>
      <c r="F61" s="1121">
        <f>F60/IS!F49</f>
        <v>0.74143595345124558</v>
      </c>
      <c r="G61" s="1122">
        <f>G60/IS!G49</f>
        <v>1.3317275403175655</v>
      </c>
      <c r="H61" s="1121"/>
      <c r="I61" s="1123">
        <f>I60/IS!I49</f>
        <v>7.5148363568829729E-2</v>
      </c>
      <c r="J61" s="1123">
        <f>J60/IS!J49</f>
        <v>0.57070508036859702</v>
      </c>
      <c r="K61" s="1123">
        <f>K60/IS!K49</f>
        <v>0.15618389920490933</v>
      </c>
      <c r="L61" s="1124">
        <f>L60/IS!L49</f>
        <v>0.67172555933127243</v>
      </c>
      <c r="M61" s="1125">
        <f>M60/IS!M49</f>
        <v>1.4704137774145443</v>
      </c>
      <c r="N61" s="1121"/>
      <c r="O61" s="1126">
        <f>O60/IS!O49</f>
        <v>8.427139817420555E-2</v>
      </c>
      <c r="P61" s="1126">
        <f>P60/IS!P49</f>
        <v>0.24731654453503973</v>
      </c>
      <c r="Q61" s="1126">
        <f>Q60/IS!Q49</f>
        <v>0.27628363954355667</v>
      </c>
      <c r="R61" s="1126">
        <f>R60/IS!R49</f>
        <v>0.39549187339606506</v>
      </c>
      <c r="S61" s="1125">
        <f>S60/IS!S49</f>
        <v>1.0038253709580585</v>
      </c>
      <c r="T61" s="1121"/>
      <c r="U61" s="1123">
        <f>U60/IS!U49</f>
        <v>0.35521618573572689</v>
      </c>
      <c r="V61" s="1123">
        <f>V60/IS!V49</f>
        <v>0.54381931295645114</v>
      </c>
      <c r="W61" s="1123">
        <f>W60/IS!W49</f>
        <v>5.2636476689197791E-2</v>
      </c>
      <c r="X61" s="1123">
        <f>X60/IS!X49</f>
        <v>0.15455326972345834</v>
      </c>
      <c r="Y61" s="1125">
        <f>Y60/IS!Y49</f>
        <v>1.1070078486548793</v>
      </c>
      <c r="Z61" s="1121"/>
      <c r="AA61" s="1123">
        <f>AA60/IS!AA49</f>
        <v>0.30371721382664585</v>
      </c>
      <c r="AB61" s="1123">
        <f>AB60/IS!AB49</f>
        <v>0.38382193745984522</v>
      </c>
      <c r="AC61" s="1123">
        <f>AC60/IS!AC49</f>
        <v>0.34197928146352219</v>
      </c>
      <c r="AD61" s="1123">
        <f>AD60/IS!AD49</f>
        <v>0.68240659408909854</v>
      </c>
      <c r="AE61" s="1125">
        <f>AE60/IS!AE49</f>
        <v>1.7062636127309776</v>
      </c>
      <c r="AF61" s="1121"/>
      <c r="AG61" s="1123">
        <f>AG60/IS!AG49</f>
        <v>9.035305251535676E-2</v>
      </c>
      <c r="AH61" s="1123">
        <f>AH60/IS!AH49</f>
        <v>0.61241250501841549</v>
      </c>
      <c r="AI61" s="1123">
        <f>AI60/IS!AI49</f>
        <v>6.7966399415642031E-2</v>
      </c>
      <c r="AJ61" s="1123">
        <f>AJ60/IS!AJ49</f>
        <v>0.18757427472911578</v>
      </c>
      <c r="AK61" s="1125">
        <f>AK60/IS!AK49</f>
        <v>0.95561553195194138</v>
      </c>
      <c r="AL61" s="1121"/>
      <c r="AM61" s="1123">
        <f>AM60/IS!AM49</f>
        <v>-7.8280274765508608E-3</v>
      </c>
      <c r="AN61" s="1123">
        <f>AN60/IS!AN49</f>
        <v>0.14939051438102172</v>
      </c>
      <c r="AO61" s="1123">
        <f>AO60/IS!AO49</f>
        <v>0.34816779383812946</v>
      </c>
      <c r="AP61" s="1123">
        <f>AP60/IS!AP49</f>
        <v>0.5664930417845464</v>
      </c>
      <c r="AQ61" s="1125">
        <f>AQ60/IS!AQ49</f>
        <v>1.0537166418508763</v>
      </c>
      <c r="AR61" s="1121"/>
      <c r="AS61" s="1123">
        <f>AS60/IS!AS49</f>
        <v>0.54220976119953945</v>
      </c>
      <c r="AT61" s="1123">
        <f>AT60/IS!AT49</f>
        <v>0.40333067183757271</v>
      </c>
      <c r="AU61" s="1123">
        <f>AU60/IS!AU49</f>
        <v>0.48488471241835807</v>
      </c>
      <c r="AV61" s="1123">
        <f>AV60/IS!AV49</f>
        <v>0.7907235032790354</v>
      </c>
      <c r="AW61" s="1125">
        <f>AW60/IS!AW49</f>
        <v>2.2202147020810803</v>
      </c>
      <c r="AX61" s="1121"/>
      <c r="AY61" s="1123">
        <f>AY60/IS!AY49</f>
        <v>0.29252726134750834</v>
      </c>
      <c r="AZ61" s="1123">
        <f>AZ60/IS!AZ49</f>
        <v>0.50820939446381996</v>
      </c>
      <c r="BA61" s="1123">
        <f>BA60/IS!BA49</f>
        <v>0.46736964610040371</v>
      </c>
      <c r="BB61" s="1123">
        <f>BB60/IS!BB49</f>
        <v>1.010315063734267</v>
      </c>
      <c r="BC61" s="1125">
        <f>BC60/IS!BC49</f>
        <v>2.2721263733839292</v>
      </c>
      <c r="BD61" s="1121"/>
      <c r="BE61" s="1123">
        <f>BE60/IS!BE49</f>
        <v>0.21792346778182473</v>
      </c>
      <c r="BF61" s="1123">
        <f>BF60/IS!BF49</f>
        <v>0.79864171006154183</v>
      </c>
      <c r="BG61" s="1123">
        <f>BG60/IS!BG49</f>
        <v>0.5870655353476627</v>
      </c>
      <c r="BH61" s="1123">
        <f>BH60/IS!BH49</f>
        <v>1.2923177497117226</v>
      </c>
      <c r="BI61" s="1125">
        <f>BI60/IS!BI49</f>
        <v>2.8909829303889847</v>
      </c>
      <c r="BJ61" s="1121"/>
      <c r="BK61" s="1123">
        <f>BK60/IS!BK49</f>
        <v>0.43333272839461373</v>
      </c>
      <c r="BL61" s="1123">
        <f>BL60/IS!BL49</f>
        <v>0.38483414889583067</v>
      </c>
      <c r="BM61" s="1123">
        <f>BM60/IS!BM49</f>
        <v>0.42899101745155105</v>
      </c>
      <c r="BN61" s="1123">
        <f>BN60/IS!BN49</f>
        <v>0.99903119029037402</v>
      </c>
      <c r="BO61" s="1125">
        <f>BO60/IS!BO49</f>
        <v>2.249379842863457</v>
      </c>
      <c r="BP61" s="1121"/>
      <c r="BQ61" s="1123">
        <f>BQ60/IS!BQ49</f>
        <v>1.2162544673318214</v>
      </c>
      <c r="BR61" s="1123">
        <f>BR60/IS!BR49</f>
        <v>0.56760581793490095</v>
      </c>
      <c r="BS61" s="1123">
        <f>BS60/IS!BS49</f>
        <v>1.0290525675888595</v>
      </c>
      <c r="BT61" s="1123">
        <f>BT60/IS!BT49</f>
        <v>1.1649686557488388</v>
      </c>
      <c r="BU61" s="1125">
        <f>BU60/IS!BU49</f>
        <v>3.9777183994633161</v>
      </c>
      <c r="BV61" s="1121"/>
      <c r="BW61" s="1123">
        <f>BW60/IS!BW49</f>
        <v>0.9009515525878472</v>
      </c>
      <c r="BX61" s="1123">
        <f>BX60/IS!BX49</f>
        <v>0.66011101903248715</v>
      </c>
      <c r="BY61" s="1123">
        <f>BY60/IS!BY49</f>
        <v>1.2048399851351459</v>
      </c>
      <c r="BZ61" s="1123">
        <f>BZ60/IS!BZ49</f>
        <v>1.2863498797085764</v>
      </c>
      <c r="CA61" s="1125">
        <f>CA60/IS!CA49</f>
        <v>4.0508607805208481</v>
      </c>
      <c r="CB61" s="1121"/>
      <c r="CC61" s="1123">
        <f>CC60/IS!CC49</f>
        <v>1.1256067868199238</v>
      </c>
      <c r="CD61" s="1123">
        <f>CD60/IS!CD49</f>
        <v>0.81703394515732763</v>
      </c>
      <c r="CE61" s="1123">
        <f>CE60/IS!CE49</f>
        <v>1.4748306164514817</v>
      </c>
      <c r="CF61" s="1123">
        <f>CF60/IS!CF49</f>
        <v>1.5177975069321463</v>
      </c>
      <c r="CG61" s="1125">
        <f>CG60/IS!CG49</f>
        <v>4.9346021415923262</v>
      </c>
      <c r="CH61" s="1121"/>
      <c r="CI61" s="1123">
        <f>CI60/IS!CI49</f>
        <v>1.5040026302803862</v>
      </c>
      <c r="CJ61" s="1123">
        <f>CJ60/IS!CJ49</f>
        <v>0.81384874161470144</v>
      </c>
      <c r="CK61" s="1123">
        <f>CK60/IS!CK49</f>
        <v>1.5348406224072337</v>
      </c>
      <c r="CL61" s="1123">
        <f>CL60/IS!CL49</f>
        <v>1.499323078316974</v>
      </c>
      <c r="CM61" s="1125">
        <f>CM60/IS!CM49</f>
        <v>5.3521317581704251</v>
      </c>
      <c r="CN61" s="1026"/>
      <c r="CO61" s="1130"/>
      <c r="CP61" s="1130"/>
      <c r="CQ61"/>
      <c r="CR61"/>
      <c r="CS61"/>
      <c r="CT61"/>
      <c r="CU61"/>
      <c r="CV61"/>
      <c r="CW61" s="862"/>
      <c r="CX61" s="862"/>
      <c r="CY61" s="862"/>
      <c r="CZ61" s="862"/>
      <c r="DB61" s="831"/>
      <c r="DC61" s="831"/>
    </row>
    <row r="62" spans="1:107" s="831" customFormat="1">
      <c r="A62" s="780" t="s">
        <v>370</v>
      </c>
      <c r="B62" s="454"/>
      <c r="C62" s="454">
        <f>C61/C66</f>
        <v>2.0345543231762549E-3</v>
      </c>
      <c r="D62" s="454">
        <f>D61/D66</f>
        <v>1.7383346640280139E-2</v>
      </c>
      <c r="E62" s="454">
        <f>E61/E66</f>
        <v>3.9078534025185378E-3</v>
      </c>
      <c r="F62" s="454">
        <f>F61/F66</f>
        <v>2.7166918709778651E-2</v>
      </c>
      <c r="G62" s="781">
        <f>G61/G66</f>
        <v>5.1245431856589141E-2</v>
      </c>
      <c r="H62" s="454"/>
      <c r="I62" s="1128">
        <f>I61/I66</f>
        <v>3.0410318490888366E-3</v>
      </c>
      <c r="J62" s="1128">
        <f>J61/J66</f>
        <v>2.1009326171918995E-2</v>
      </c>
      <c r="K62" s="1128">
        <f>K61/K66</f>
        <v>5.6206232192158988E-3</v>
      </c>
      <c r="L62" s="1128">
        <f>L61/L66</f>
        <v>3.8053062336859532E-2</v>
      </c>
      <c r="M62" s="1129">
        <f>M61/M66</f>
        <v>6.0450105479016025E-2</v>
      </c>
      <c r="N62" s="454"/>
      <c r="O62" s="1128">
        <f>O61/O66</f>
        <v>6.3638060964947623E-3</v>
      </c>
      <c r="P62" s="1128">
        <f>P61/P66</f>
        <v>1.564666301566553E-2</v>
      </c>
      <c r="Q62" s="1128">
        <f>Q61/Q66</f>
        <v>1.5307240147774159E-2</v>
      </c>
      <c r="R62" s="1128">
        <f>R61/R66</f>
        <v>2.0130501870768765E-2</v>
      </c>
      <c r="S62" s="1129">
        <f>S61/S66</f>
        <v>5.9999540049077198E-2</v>
      </c>
      <c r="T62" s="454"/>
      <c r="U62" s="1128">
        <f>U61/U66</f>
        <v>1.6048852885124937E-2</v>
      </c>
      <c r="V62" s="1128">
        <f>V61/V66</f>
        <v>2.3632419365821715E-2</v>
      </c>
      <c r="W62" s="1128">
        <f>W61/W66</f>
        <v>2.4980056206683789E-3</v>
      </c>
      <c r="X62" s="1128">
        <f>X61/X66</f>
        <v>6.4001370823403361E-3</v>
      </c>
      <c r="Y62" s="1129">
        <f>Y61/Y66</f>
        <v>4.9005281016834476E-2</v>
      </c>
      <c r="Z62" s="454"/>
      <c r="AA62" s="1128">
        <f>AA61/AA66</f>
        <v>1.1569684839696042E-2</v>
      </c>
      <c r="AB62" s="1128">
        <f>AB61/AB66</f>
        <v>1.4195685788102479E-2</v>
      </c>
      <c r="AC62" s="1128">
        <f>AC61/AC66</f>
        <v>1.4936145307144898E-2</v>
      </c>
      <c r="AD62" s="1128">
        <f>AD61/AD66</f>
        <v>2.9804507466794666E-2</v>
      </c>
      <c r="AE62" s="1129">
        <f>AE61/AE66</f>
        <v>6.8883428319529427E-2</v>
      </c>
      <c r="AF62" s="454"/>
      <c r="AG62" s="1128">
        <f>AG61/AG66</f>
        <v>3.5561915678994031E-3</v>
      </c>
      <c r="AH62" s="1128">
        <f>AH61/AH66</f>
        <v>2.3181839855583072E-2</v>
      </c>
      <c r="AI62" s="1128">
        <f>AI61/AI66</f>
        <v>2.5091763223643259E-3</v>
      </c>
      <c r="AJ62" s="1128">
        <f>AJ61/AJ66</f>
        <v>6.1172078939289191E-3</v>
      </c>
      <c r="AK62" s="1129">
        <f>AK61/AK66</f>
        <v>3.489080123422255E-2</v>
      </c>
      <c r="AL62" s="454"/>
      <c r="AM62" s="1128">
        <f>AM61/AM66</f>
        <v>-2.2781947335004301E-4</v>
      </c>
      <c r="AN62" s="1128">
        <f>AN61/AN66</f>
        <v>4.5652678632054902E-3</v>
      </c>
      <c r="AO62" s="1128">
        <f>AO61/AO66</f>
        <v>9.7000422915310188E-3</v>
      </c>
      <c r="AP62" s="1128">
        <f>AP61/AP66</f>
        <v>1.4811367129783242E-2</v>
      </c>
      <c r="AQ62" s="1129">
        <f>AQ61/AQ66</f>
        <v>2.9832460604299758E-2</v>
      </c>
      <c r="AR62" s="454"/>
      <c r="AS62" s="1128">
        <f>AS61/AS66</f>
        <v>1.2353881617560524E-2</v>
      </c>
      <c r="AT62" s="1128">
        <f>AT61/AT66</f>
        <v>8.9823272442344573E-3</v>
      </c>
      <c r="AU62" s="1128">
        <f>AU61/AU66</f>
        <v>1.0649311597779827E-2</v>
      </c>
      <c r="AV62" s="1128">
        <f>AV61/AV66</f>
        <v>1.8373858946351612E-2</v>
      </c>
      <c r="AW62" s="1129">
        <f>AW61/AW66</f>
        <v>5.0072560549667237E-2</v>
      </c>
      <c r="AX62" s="454"/>
      <c r="AY62" s="1128">
        <f>AY61/AY66</f>
        <v>6.3150201429954984E-3</v>
      </c>
      <c r="AZ62" s="1128">
        <f>AZ61/AZ66</f>
        <v>9.7484102450496324E-3</v>
      </c>
      <c r="BA62" s="1128">
        <f>BA61/BA66</f>
        <v>9.4128415980102888E-3</v>
      </c>
      <c r="BB62" s="1128">
        <f>BB61/BB66</f>
        <v>1.9888605072746406E-2</v>
      </c>
      <c r="BC62" s="1129">
        <f>BC61/BC66</f>
        <v>4.5692457809668026E-2</v>
      </c>
      <c r="BD62" s="454"/>
      <c r="BE62" s="1128">
        <f>BE61/BE66</f>
        <v>4.1985069110042289E-3</v>
      </c>
      <c r="BF62" s="1128">
        <f>BF61/BF66</f>
        <v>1.5191154287710805E-2</v>
      </c>
      <c r="BG62" s="1128">
        <f>BG61/BG66</f>
        <v>1.0757349132649151E-2</v>
      </c>
      <c r="BH62" s="1128">
        <f>BH61/BH66</f>
        <v>2.472907155797115E-2</v>
      </c>
      <c r="BI62" s="1129">
        <f>BI61/BI66</f>
        <v>5.4724886340531881E-2</v>
      </c>
      <c r="BJ62" s="454"/>
      <c r="BK62" s="1128">
        <f>BK61/BK66</f>
        <v>7.94647319733628E-3</v>
      </c>
      <c r="BL62" s="1128">
        <f>BL61/BL66</f>
        <v>6.1946795029185287E-3</v>
      </c>
      <c r="BM62" s="1128">
        <f>BM61/BM66</f>
        <v>6.3955024153722036E-3</v>
      </c>
      <c r="BN62" s="1128">
        <f>BN61/BN66</f>
        <v>1.3923009524760593E-2</v>
      </c>
      <c r="BO62" s="1129">
        <f>BO61/BO66</f>
        <v>3.5217305410202772E-2</v>
      </c>
      <c r="BP62" s="454"/>
      <c r="BQ62" s="1128">
        <f>BQ61/BQ66</f>
        <v>1.5203180841647767E-2</v>
      </c>
      <c r="BR62" s="1128">
        <f>BR61/BR66</f>
        <v>6.9554431169386493E-3</v>
      </c>
      <c r="BS62" s="1128">
        <f>BS61/BS66</f>
        <v>1.2361850224820599E-2</v>
      </c>
      <c r="BT62" s="1128">
        <f>BT61/BT66</f>
        <v>1.3719178579312038E-2</v>
      </c>
      <c r="BU62" s="1129">
        <f>BU61/BU66</f>
        <v>4.8249048067532316E-2</v>
      </c>
      <c r="BV62" s="454"/>
      <c r="BW62" s="1128">
        <f>BW61/BW66</f>
        <v>1.0401195481272768E-2</v>
      </c>
      <c r="BX62" s="1128">
        <f>BX61/BX66</f>
        <v>7.4707938889477426E-3</v>
      </c>
      <c r="BY62" s="1128">
        <f>BY61/BY66</f>
        <v>1.3367404696809514E-2</v>
      </c>
      <c r="BZ62" s="1128">
        <f>BZ61/BZ66</f>
        <v>1.3990872103596732E-2</v>
      </c>
      <c r="CA62" s="1129">
        <f>CA61/CA66</f>
        <v>4.5380976880431315E-2</v>
      </c>
      <c r="CB62" s="454"/>
      <c r="CC62" s="1128">
        <f>CC61/CC66</f>
        <v>1.2001632694356411E-2</v>
      </c>
      <c r="CD62" s="1128">
        <f>CD61/CD66</f>
        <v>8.5400749179855365E-3</v>
      </c>
      <c r="CE62" s="1128">
        <f>CE61/CE66</f>
        <v>1.5112338636830756E-2</v>
      </c>
      <c r="CF62" s="1128">
        <f>CF61/CF66</f>
        <v>1.5246540756474894E-2</v>
      </c>
      <c r="CG62" s="1129">
        <f>CG61/CG66</f>
        <v>5.1056433370606946E-2</v>
      </c>
      <c r="CH62" s="454"/>
      <c r="CI62" s="1128">
        <f>CI61/CI66</f>
        <v>1.4810647019691772E-2</v>
      </c>
      <c r="CJ62" s="1128">
        <f>CJ61/CJ66</f>
        <v>7.8566441656277679E-3</v>
      </c>
      <c r="CK62" s="1128">
        <f>CK61/CK66</f>
        <v>1.4525283738102216E-2</v>
      </c>
      <c r="CL62" s="1128">
        <f>CL61/CL66</f>
        <v>1.3909916322265764E-2</v>
      </c>
      <c r="CM62" s="1129">
        <f>CM61/CM66</f>
        <v>5.1144264117665886E-2</v>
      </c>
      <c r="CN62" s="1130"/>
      <c r="CO62" s="1130"/>
      <c r="CP62" s="1130"/>
      <c r="CQ62"/>
      <c r="CR62"/>
      <c r="CS62"/>
      <c r="CT62"/>
      <c r="CU62"/>
      <c r="CV62"/>
      <c r="CW62" s="862"/>
      <c r="CX62" s="862"/>
      <c r="CY62" s="862"/>
    </row>
    <row r="63" spans="1:107" s="831" customFormat="1">
      <c r="A63" s="1120" t="s">
        <v>551</v>
      </c>
      <c r="B63" s="454"/>
      <c r="C63" s="454"/>
      <c r="D63" s="454"/>
      <c r="E63" s="454"/>
      <c r="F63" s="454"/>
      <c r="G63" s="781"/>
      <c r="H63" s="454"/>
      <c r="I63" s="1128">
        <f>I61/C61-1</f>
        <v>0.5809886906613182</v>
      </c>
      <c r="J63" s="1128">
        <f t="shared" ref="J63:M63" si="48">J61/D61-1</f>
        <v>0.28477039123697745</v>
      </c>
      <c r="K63" s="1128">
        <f t="shared" si="48"/>
        <v>0.44613869558360086</v>
      </c>
      <c r="L63" s="1128">
        <f t="shared" si="48"/>
        <v>-9.4020790056759895E-2</v>
      </c>
      <c r="M63" s="1129">
        <f t="shared" si="48"/>
        <v>0.10414009840474381</v>
      </c>
      <c r="N63" s="454"/>
      <c r="O63" s="1128">
        <f>O61/I61-1</f>
        <v>0.12140030962909609</v>
      </c>
      <c r="P63" s="1128">
        <f t="shared" ref="P63" si="49">P61/J61-1</f>
        <v>-0.566647375251492</v>
      </c>
      <c r="Q63" s="1128">
        <f t="shared" ref="Q63" si="50">Q61/K61-1</f>
        <v>0.76896364446042886</v>
      </c>
      <c r="R63" s="1128">
        <f t="shared" ref="R63" si="51">R61/L61-1</f>
        <v>-0.41122997643592452</v>
      </c>
      <c r="S63" s="1129">
        <f t="shared" ref="S63" si="52">S61/M61-1</f>
        <v>-0.31731776022725855</v>
      </c>
      <c r="T63" s="454"/>
      <c r="U63" s="1128">
        <f>U61/O61-1</f>
        <v>3.2151452738617818</v>
      </c>
      <c r="V63" s="1128">
        <f t="shared" ref="V63" si="53">V61/P61-1</f>
        <v>1.1988796341095691</v>
      </c>
      <c r="W63" s="1128">
        <f t="shared" ref="W63" si="54">W61/Q61-1</f>
        <v>-0.80948391741126047</v>
      </c>
      <c r="X63" s="1128">
        <f t="shared" ref="X63" si="55">X61/R61-1</f>
        <v>-0.60921252718464558</v>
      </c>
      <c r="Y63" s="1129">
        <f t="shared" ref="Y63" si="56">Y61/S61-1</f>
        <v>0.10278927060624365</v>
      </c>
      <c r="Z63" s="454"/>
      <c r="AA63" s="1128">
        <f>AA61/U61-1</f>
        <v>-0.14497923793201006</v>
      </c>
      <c r="AB63" s="1128">
        <f t="shared" ref="AB63" si="57">AB61/V61-1</f>
        <v>-0.29421054325339568</v>
      </c>
      <c r="AC63" s="1128">
        <f t="shared" ref="AC63" si="58">AC61/W61-1</f>
        <v>5.4970017556988982</v>
      </c>
      <c r="AD63" s="1128">
        <f t="shared" ref="AD63" si="59">AD61/X61-1</f>
        <v>3.4153488005147121</v>
      </c>
      <c r="AE63" s="1129">
        <f t="shared" ref="AE63" si="60">AE61/Y61-1</f>
        <v>0.54132928217650078</v>
      </c>
      <c r="AF63" s="454"/>
      <c r="AG63" s="1128">
        <f>AG61/AA61-1</f>
        <v>-0.70250928033691229</v>
      </c>
      <c r="AH63" s="1128">
        <f t="shared" ref="AH63" si="61">AH61/AB61-1</f>
        <v>0.59556410212348787</v>
      </c>
      <c r="AI63" s="1128">
        <f t="shared" ref="AI63" si="62">AI61/AC61-1</f>
        <v>-0.80125579793964274</v>
      </c>
      <c r="AJ63" s="1128">
        <f t="shared" ref="AJ63" si="63">AJ61/AD61-1</f>
        <v>-0.72512827930759249</v>
      </c>
      <c r="AK63" s="1129">
        <f t="shared" ref="AK63" si="64">AK61/AE61-1</f>
        <v>-0.43993675723857162</v>
      </c>
      <c r="AL63" s="454"/>
      <c r="AM63" s="1128">
        <f>AM61/AG61-1</f>
        <v>-1.0866382181744261</v>
      </c>
      <c r="AN63" s="1128">
        <f t="shared" ref="AN63" si="65">AN61/AH61-1</f>
        <v>-0.75606227312989061</v>
      </c>
      <c r="AO63" s="1128">
        <f t="shared" ref="AO63" si="66">AO61/AI61-1</f>
        <v>4.1226458490016888</v>
      </c>
      <c r="AP63" s="1128">
        <f t="shared" ref="AP63" si="67">AP61/AJ61-1</f>
        <v>2.020099864987583</v>
      </c>
      <c r="AQ63" s="1129">
        <f t="shared" ref="AQ63" si="68">AQ61/AK61-1</f>
        <v>0.10265750881900537</v>
      </c>
      <c r="AR63" s="454"/>
      <c r="AS63" s="1128">
        <f>AS61/AM61-1</f>
        <v>-70.265183703525366</v>
      </c>
      <c r="AT63" s="1128">
        <f t="shared" ref="AT63" si="69">AT61/AN61-1</f>
        <v>1.699841241652563</v>
      </c>
      <c r="AU63" s="1128">
        <f t="shared" ref="AU63" si="70">AU61/AO61-1</f>
        <v>0.39267537377047335</v>
      </c>
      <c r="AV63" s="1128">
        <f t="shared" ref="AV63" si="71">AV61/AP61-1</f>
        <v>0.39582209304482552</v>
      </c>
      <c r="AW63" s="1129">
        <f t="shared" ref="AW63" si="72">AW61/AQ61-1</f>
        <v>1.1070320178119468</v>
      </c>
      <c r="AX63" s="454"/>
      <c r="AY63" s="1128">
        <f>AY61/AS61-1</f>
        <v>-0.46049060293502364</v>
      </c>
      <c r="AZ63" s="1128">
        <f t="shared" ref="AZ63" si="73">AZ61/AT61-1</f>
        <v>0.26003160669239533</v>
      </c>
      <c r="BA63" s="1128">
        <f t="shared" ref="BA63" si="74">BA61/AU61-1</f>
        <v>-3.612212525859626E-2</v>
      </c>
      <c r="BB63" s="1128">
        <f t="shared" ref="BB63" si="75">BB61/AV61-1</f>
        <v>0.27770966658334029</v>
      </c>
      <c r="BC63" s="1129">
        <f t="shared" ref="BC63" si="76">BC61/AW61-1</f>
        <v>2.3381374447340786E-2</v>
      </c>
      <c r="BD63" s="454"/>
      <c r="BE63" s="1128">
        <f>BE61/AY61-1</f>
        <v>-0.25503193521870737</v>
      </c>
      <c r="BF63" s="1128">
        <f t="shared" ref="BF63" si="77">BF61/AZ61-1</f>
        <v>0.5714815955028516</v>
      </c>
      <c r="BG63" s="1128">
        <f t="shared" ref="BG63" si="78">BG61/BA61-1</f>
        <v>0.25610539804192811</v>
      </c>
      <c r="BH63" s="1128">
        <f t="shared" ref="BH63" si="79">BH61/BB61-1</f>
        <v>0.27912350919042406</v>
      </c>
      <c r="BI63" s="1129">
        <f t="shared" ref="BI63" si="80">BI61/BC61-1</f>
        <v>0.27236889825075106</v>
      </c>
      <c r="BJ63" s="454"/>
      <c r="BK63" s="1128">
        <f>BK61/BE61-1</f>
        <v>0.98846288931326654</v>
      </c>
      <c r="BL63" s="1128">
        <f t="shared" ref="BL63:BM63" si="81">BL61/BF61-1</f>
        <v>-0.51813918050163443</v>
      </c>
      <c r="BM63" s="1128">
        <f t="shared" si="81"/>
        <v>-0.26926213238271479</v>
      </c>
      <c r="BN63" s="1128">
        <f t="shared" ref="BN63" si="82">BN61/BH61-1</f>
        <v>-0.22694616667361578</v>
      </c>
      <c r="BO63" s="1129">
        <f t="shared" ref="BO63" si="83">BO61/BI61-1</f>
        <v>-0.22193250633935746</v>
      </c>
      <c r="BP63" s="454"/>
      <c r="BQ63" s="1128">
        <f>BQ61/BK61-1</f>
        <v>1.8067449967089524</v>
      </c>
      <c r="BR63" s="1128">
        <f t="shared" ref="BR63" si="84">BR61/BL61-1</f>
        <v>0.47493620190276831</v>
      </c>
      <c r="BS63" s="1128">
        <f t="shared" ref="BS63" si="85">BS61/BM61-1</f>
        <v>1.3987741601258064</v>
      </c>
      <c r="BT63" s="1128">
        <f t="shared" ref="BT63" si="86">BT61/BN61-1</f>
        <v>0.16609838318484749</v>
      </c>
      <c r="BU63" s="1129">
        <f t="shared" ref="BU63" si="87">BU61/BO61-1</f>
        <v>0.76836224974777356</v>
      </c>
      <c r="BV63" s="454"/>
      <c r="BW63" s="1128">
        <f>BW61/BQ61-1</f>
        <v>-0.25924090986952364</v>
      </c>
      <c r="BX63" s="1128">
        <f t="shared" ref="BX63" si="88">BX61/BR61-1</f>
        <v>0.16297437090082068</v>
      </c>
      <c r="BY63" s="1128">
        <f t="shared" ref="BY63" si="89">BY61/BS61-1</f>
        <v>0.17082452644588253</v>
      </c>
      <c r="BZ63" s="1128">
        <f t="shared" ref="BZ63" si="90">BZ61/BT61-1</f>
        <v>0.1041926951087917</v>
      </c>
      <c r="CA63" s="1129">
        <f t="shared" ref="CA63" si="91">CA61/BU61-1</f>
        <v>1.8388023915267837E-2</v>
      </c>
      <c r="CB63" s="454"/>
      <c r="CC63" s="1128">
        <f>CC61/BW61-1</f>
        <v>0.24935329051466559</v>
      </c>
      <c r="CD63" s="1128">
        <f t="shared" ref="CD63" si="92">CD61/BX61-1</f>
        <v>0.23772202190298164</v>
      </c>
      <c r="CE63" s="1128">
        <f t="shared" ref="CE63" si="93">CE61/BY61-1</f>
        <v>0.22408837243731683</v>
      </c>
      <c r="CF63" s="1128">
        <f t="shared" ref="CF63" si="94">CF61/BZ61-1</f>
        <v>0.1799258746586152</v>
      </c>
      <c r="CG63" s="1129">
        <f t="shared" ref="CG63" si="95">CG61/CA61-1</f>
        <v>0.21816137580463812</v>
      </c>
      <c r="CH63" s="454"/>
      <c r="CI63" s="1128">
        <f>CI61/CC61-1</f>
        <v>0.33617054187236239</v>
      </c>
      <c r="CJ63" s="1128">
        <f t="shared" ref="CJ63" si="96">CJ61/CD61-1</f>
        <v>-3.8984959700943955E-3</v>
      </c>
      <c r="CK63" s="1128">
        <f t="shared" ref="CK63" si="97">CK61/CE61-1</f>
        <v>4.0689422423396016E-2</v>
      </c>
      <c r="CL63" s="1128">
        <f t="shared" ref="CL63" si="98">CL61/CF61-1</f>
        <v>-1.2171866491277772E-2</v>
      </c>
      <c r="CM63" s="1129">
        <f t="shared" ref="CM63" si="99">CM61/CG61-1</f>
        <v>8.4612620145981587E-2</v>
      </c>
      <c r="CN63" s="1130"/>
      <c r="CO63" s="1130"/>
      <c r="CP63" s="1130"/>
      <c r="CQ63"/>
      <c r="CR63"/>
      <c r="CS63"/>
      <c r="CT63"/>
      <c r="CU63"/>
      <c r="CV63"/>
      <c r="CW63" s="862"/>
      <c r="CX63" s="862"/>
      <c r="CY63" s="862"/>
    </row>
    <row r="64" spans="1:107" s="831" customFormat="1">
      <c r="A64" s="780" t="s">
        <v>731</v>
      </c>
      <c r="B64" s="454"/>
      <c r="C64" s="454">
        <f>C60/IS!C38</f>
        <v>0.35695138296576123</v>
      </c>
      <c r="D64" s="454">
        <f>D60/IS!D38</f>
        <v>1.5449410679807509</v>
      </c>
      <c r="E64" s="454">
        <f>E60/IS!E38</f>
        <v>0.39117647058823501</v>
      </c>
      <c r="F64" s="454">
        <f>F60/IS!F38</f>
        <v>1.639241329345543</v>
      </c>
      <c r="G64" s="781">
        <f>G60/IS!G38</f>
        <v>1.1644867537665129</v>
      </c>
      <c r="H64" s="454"/>
      <c r="I64" s="1128">
        <f>I60/IS!I38</f>
        <v>0.43449824287387773</v>
      </c>
      <c r="J64" s="1128">
        <f>J60/IS!J38</f>
        <v>2.8675429726996891</v>
      </c>
      <c r="K64" s="1128">
        <f>K60/IS!K38</f>
        <v>0.35485525416001817</v>
      </c>
      <c r="L64" s="1128">
        <f>L60/IS!L38</f>
        <v>2.1624763523702457</v>
      </c>
      <c r="M64" s="1129">
        <f>M60/IS!M38</f>
        <v>1.3088172430085263</v>
      </c>
      <c r="N64" s="454"/>
      <c r="O64" s="1128">
        <f>O60/IS!O38</f>
        <v>0.87035888347363666</v>
      </c>
      <c r="P64" s="1128">
        <f>P60/IS!P38</f>
        <v>1.3292192483705478</v>
      </c>
      <c r="Q64" s="1128">
        <f>Q60/IS!Q38</f>
        <v>2.2399388336692847</v>
      </c>
      <c r="R64" s="1128">
        <f>R60/IS!R38</f>
        <v>1.1821877876649318</v>
      </c>
      <c r="S64" s="1129">
        <f>S60/IS!S38</f>
        <v>1.354379549373361</v>
      </c>
      <c r="T64" s="454"/>
      <c r="U64" s="1128">
        <f>U60/IS!U38</f>
        <v>1.7534217906324561</v>
      </c>
      <c r="V64" s="1128">
        <f>V60/IS!V38</f>
        <v>1.9973921142502331</v>
      </c>
      <c r="W64" s="1128">
        <f>W60/IS!W38</f>
        <v>0.38698843139694006</v>
      </c>
      <c r="X64" s="1128">
        <f>X60/IS!X38</f>
        <v>6.1477102674006606E-2</v>
      </c>
      <c r="Y64" s="1129">
        <f>Y60/IS!Y38</f>
        <v>0.35535355239279404</v>
      </c>
      <c r="Z64" s="454"/>
      <c r="AA64" s="1128">
        <f>AA60/IS!AA38</f>
        <v>0.55600604181572422</v>
      </c>
      <c r="AB64" s="1128">
        <f>AB60/IS!AB38</f>
        <v>0.63533062366155246</v>
      </c>
      <c r="AC64" s="1128">
        <f>AC60/IS!AC38</f>
        <v>0.52712472481178507</v>
      </c>
      <c r="AD64" s="1128">
        <f>AD60/IS!AD38</f>
        <v>-0.90204541189716436</v>
      </c>
      <c r="AE64" s="1129">
        <f>AE60/IS!AE38</f>
        <v>1.6209077256799647</v>
      </c>
      <c r="AF64" s="454"/>
      <c r="AG64" s="1128">
        <f>AG60/IS!AG38</f>
        <v>0.45479004940013962</v>
      </c>
      <c r="AH64" s="1128">
        <f>AH60/IS!AH38</f>
        <v>2.1197812820977568</v>
      </c>
      <c r="AI64" s="1128">
        <f>AI60/IS!AI38</f>
        <v>0.26334231805929914</v>
      </c>
      <c r="AJ64" s="1128">
        <f>AJ60/IS!AJ38</f>
        <v>-1.3762020771893915</v>
      </c>
      <c r="AK64" s="1129">
        <f>AK60/IS!AK38</f>
        <v>1.5712608795235996</v>
      </c>
      <c r="AL64" s="454"/>
      <c r="AM64" s="1128">
        <f>AM60/IS!AM38</f>
        <v>-2.8067762705507551E-2</v>
      </c>
      <c r="AN64" s="1128">
        <f>AN60/IS!AN38</f>
        <v>0.60654851955910827</v>
      </c>
      <c r="AO64" s="1128">
        <f>AO60/IS!AO38</f>
        <v>0.9733120601087859</v>
      </c>
      <c r="AP64" s="1128">
        <f>AP60/IS!AP38</f>
        <v>0.99623366760179</v>
      </c>
      <c r="AQ64" s="1129">
        <f>AQ60/IS!AQ38</f>
        <v>0.72600185689446439</v>
      </c>
      <c r="AR64" s="454"/>
      <c r="AS64" s="1128">
        <f>AS60/IS!AS38</f>
        <v>1.8204353346052695</v>
      </c>
      <c r="AT64" s="1128">
        <f>AT60/IS!AT38</f>
        <v>0.92592281125699583</v>
      </c>
      <c r="AU64" s="1128">
        <f>AU60/IS!AU38</f>
        <v>1.2961639079813645</v>
      </c>
      <c r="AV64" s="1128">
        <f>AV60/IS!AV38</f>
        <v>3.0003766658938917</v>
      </c>
      <c r="AW64" s="1129">
        <f>AW60/IS!AW38</f>
        <v>1.6188719621109666</v>
      </c>
      <c r="AX64" s="454"/>
      <c r="AY64" s="1128">
        <f>AY60/IS!AY38</f>
        <v>0.81756140826332169</v>
      </c>
      <c r="AZ64" s="1128">
        <f>AZ60/IS!AZ38</f>
        <v>1.3428113829441533</v>
      </c>
      <c r="BA64" s="1128">
        <f>BA60/IS!BA38</f>
        <v>1.0975482498857101</v>
      </c>
      <c r="BB64" s="1128">
        <f>BB60/IS!BB38</f>
        <v>1.7568020103759123</v>
      </c>
      <c r="BC64" s="1129">
        <f>BC60/IS!BC38</f>
        <v>1.3100554000185831</v>
      </c>
      <c r="BD64" s="454"/>
      <c r="BE64" s="1128">
        <f>BE60/IS!BE38</f>
        <v>0.56651236732594579</v>
      </c>
      <c r="BF64" s="1128">
        <f>BF60/IS!BF38</f>
        <v>1.4462157305593557</v>
      </c>
      <c r="BG64" s="1128">
        <f>BG60/IS!BG38</f>
        <v>1.1831813687795241</v>
      </c>
      <c r="BH64" s="1128">
        <f>BH60/IS!BH38</f>
        <v>2.1365717459507341</v>
      </c>
      <c r="BI64" s="1129">
        <f>BI60/IS!BI38</f>
        <v>1.4194856410347725</v>
      </c>
      <c r="BJ64" s="454"/>
      <c r="BK64" s="1128">
        <f>BK60/IS!BK38</f>
        <v>1.2375288294591746</v>
      </c>
      <c r="BL64" s="1128">
        <f>BL60/IS!BL38</f>
        <v>0.20887645294705678</v>
      </c>
      <c r="BM64" s="1128">
        <f>BM60/IS!BM38</f>
        <v>0.52269086504542317</v>
      </c>
      <c r="BN64" s="1128">
        <f>BN60/IS!BN38</f>
        <v>-2.7025407071270831</v>
      </c>
      <c r="BO64" s="1129">
        <f>BO60/IS!BO38</f>
        <v>0.85239853394999787</v>
      </c>
      <c r="BP64" s="454"/>
      <c r="BQ64" s="1128">
        <f>BQ60/IS!BQ38</f>
        <v>2.6812207140214261</v>
      </c>
      <c r="BR64" s="1128">
        <f>BR60/IS!BR38</f>
        <v>0.79593505825646182</v>
      </c>
      <c r="BS64" s="1128">
        <f>BS60/IS!BS38</f>
        <v>1.3346381141736534</v>
      </c>
      <c r="BT64" s="1128">
        <f>BT60/IS!BT38</f>
        <v>1.1408158034659437</v>
      </c>
      <c r="BU64" s="1129">
        <f>BU60/IS!BU38</f>
        <v>1.3443607691190187</v>
      </c>
      <c r="BV64" s="454"/>
      <c r="BW64" s="1128">
        <f>BW60/IS!BW38</f>
        <v>1.5438710441676697</v>
      </c>
      <c r="BX64" s="1128">
        <f>BX60/IS!BX38</f>
        <v>0.76358440346570688</v>
      </c>
      <c r="BY64" s="1128">
        <f>BY60/IS!BY38</f>
        <v>1.296285347231825</v>
      </c>
      <c r="BZ64" s="1128">
        <f>BZ60/IS!BZ38</f>
        <v>1.0700685714299607</v>
      </c>
      <c r="CA64" s="1129">
        <f>CA60/IS!CA38</f>
        <v>1.1321187248386129</v>
      </c>
      <c r="CB64" s="454"/>
      <c r="CC64" s="1128">
        <f>CC60/IS!CC38</f>
        <v>1.5867648626073261</v>
      </c>
      <c r="CD64" s="1128">
        <f>CD60/IS!CD38</f>
        <v>0.74303068872115763</v>
      </c>
      <c r="CE64" s="1128">
        <f>CE60/IS!CE38</f>
        <v>1.2540667523428115</v>
      </c>
      <c r="CF64" s="1128">
        <f>CF60/IS!CF38</f>
        <v>1.0151839658820634</v>
      </c>
      <c r="CG64" s="1129">
        <f>CG60/IS!CG38</f>
        <v>1.1016297573579026</v>
      </c>
      <c r="CH64" s="454"/>
      <c r="CI64" s="1128">
        <f>CI60/IS!CI38</f>
        <v>1.5777904641063423</v>
      </c>
      <c r="CJ64" s="1128">
        <f>CJ60/IS!CJ38</f>
        <v>0.69856214046531062</v>
      </c>
      <c r="CK64" s="1128">
        <f>CK60/IS!CK38</f>
        <v>1.2397154854693311</v>
      </c>
      <c r="CL64" s="1128">
        <f>CL60/IS!CL38</f>
        <v>0.96318205055724815</v>
      </c>
      <c r="CM64" s="1129">
        <f>CM60/IS!CM38</f>
        <v>1.0891459544576163</v>
      </c>
      <c r="CN64" s="1130"/>
      <c r="CO64" s="1130"/>
      <c r="CP64" s="1130"/>
      <c r="CQ64"/>
      <c r="CR64"/>
      <c r="CS64"/>
      <c r="CT64"/>
      <c r="CU64"/>
      <c r="CV64"/>
      <c r="CW64" s="862"/>
      <c r="CX64" s="862"/>
      <c r="CY64" s="862"/>
    </row>
    <row r="65" spans="1:103" s="831" customFormat="1">
      <c r="A65" s="780" t="s">
        <v>732</v>
      </c>
      <c r="B65" s="454"/>
      <c r="C65" s="454">
        <f>C60/IS!C32</f>
        <v>0.18699397687262076</v>
      </c>
      <c r="D65" s="454">
        <f>D60/IS!D32</f>
        <v>1.4595660642109978</v>
      </c>
      <c r="E65" s="454">
        <f>E60/IS!E32</f>
        <v>0.31851033646403881</v>
      </c>
      <c r="F65" s="454">
        <f>F60/IS!F32</f>
        <v>1.7431362110363844</v>
      </c>
      <c r="G65" s="781">
        <f>G60/IS!G32</f>
        <v>1.0089385600496317</v>
      </c>
      <c r="H65" s="454"/>
      <c r="I65" s="454">
        <f>I60/IS!I32</f>
        <v>0.29124129907622021</v>
      </c>
      <c r="J65" s="454">
        <f>J60/IS!J32</f>
        <v>1.7379651834995413</v>
      </c>
      <c r="K65" s="454">
        <f>K60/IS!K32</f>
        <v>0.44032999410724805</v>
      </c>
      <c r="L65" s="454">
        <f>L60/IS!L32</f>
        <v>1.3095811522062653</v>
      </c>
      <c r="M65" s="781">
        <f>M60/IS!M32</f>
        <v>1.012404814577506</v>
      </c>
      <c r="N65" s="454"/>
      <c r="O65" s="454">
        <f>O60/IS!O32</f>
        <v>0.32140304766791361</v>
      </c>
      <c r="P65" s="454">
        <f>P60/IS!P32</f>
        <v>0.8801803765231373</v>
      </c>
      <c r="Q65" s="454">
        <f>Q60/IS!Q32</f>
        <v>0.9828427963899603</v>
      </c>
      <c r="R65" s="454">
        <f>R60/IS!R32</f>
        <v>1.5798084670599088</v>
      </c>
      <c r="S65" s="781">
        <f>S60/IS!S32</f>
        <v>0.93417526921115346</v>
      </c>
      <c r="T65" s="454"/>
      <c r="U65" s="454">
        <f>U60/IS!U32</f>
        <v>1.4081107799416401</v>
      </c>
      <c r="V65" s="454">
        <f>V60/IS!V32</f>
        <v>5.2383712977377712</v>
      </c>
      <c r="W65" s="454">
        <f>W60/IS!W32</f>
        <v>0.1560547199780892</v>
      </c>
      <c r="X65" s="454">
        <f>X60/IS!X32</f>
        <v>0.33134637429549058</v>
      </c>
      <c r="Y65" s="781">
        <f>Y60/IS!Y32</f>
        <v>0.95540865451436274</v>
      </c>
      <c r="Z65" s="454"/>
      <c r="AA65" s="454">
        <f>AA60/IS!AA32</f>
        <v>0.44868768155363697</v>
      </c>
      <c r="AB65" s="454">
        <f>AB60/IS!AB32</f>
        <v>0.49314107491659936</v>
      </c>
      <c r="AC65" s="454">
        <f>AC60/IS!AC32</f>
        <v>0.4542861994858553</v>
      </c>
      <c r="AD65" s="454">
        <f>AD60/IS!AD32</f>
        <v>1.0988985867711574</v>
      </c>
      <c r="AE65" s="781">
        <f>AE60/IS!AE32</f>
        <v>0.60383258805055406</v>
      </c>
      <c r="AF65" s="454"/>
      <c r="AG65" s="454">
        <f>AG60/IS!AG32</f>
        <v>0.20801911572810894</v>
      </c>
      <c r="AH65" s="454">
        <f>AH60/IS!AH32</f>
        <v>1.159133813887073</v>
      </c>
      <c r="AI65" s="454">
        <f>AI60/IS!AI32</f>
        <v>0.15009236748818042</v>
      </c>
      <c r="AJ65" s="454">
        <f>AJ60/IS!AJ32</f>
        <v>0.28647551572532487</v>
      </c>
      <c r="AK65" s="781">
        <f>AK60/IS!AK32</f>
        <v>0.4629174299576016</v>
      </c>
      <c r="AL65" s="454"/>
      <c r="AM65" s="454">
        <f>AM60/IS!AM32</f>
        <v>-2.1661896868143418E-2</v>
      </c>
      <c r="AN65" s="454">
        <f>AN60/IS!AN32</f>
        <v>0.29235552543088517</v>
      </c>
      <c r="AO65" s="454">
        <f>AO60/IS!AO32</f>
        <v>0.70187560341042909</v>
      </c>
      <c r="AP65" s="454">
        <f>AP60/IS!AP32</f>
        <v>0.77698341014218053</v>
      </c>
      <c r="AQ65" s="781">
        <f>AQ60/IS!AQ32</f>
        <v>0.50275526772733925</v>
      </c>
      <c r="AR65" s="454"/>
      <c r="AS65" s="454">
        <f>AS60/IS!AS32</f>
        <v>1.155167682164119</v>
      </c>
      <c r="AT65" s="454">
        <f>AT60/IS!AT32</f>
        <v>0.67878664878285533</v>
      </c>
      <c r="AU65" s="454">
        <f>AU60/IS!AU32</f>
        <v>0.85376468637392167</v>
      </c>
      <c r="AV65" s="454">
        <f>AV60/IS!AV32</f>
        <v>0.93020230714304442</v>
      </c>
      <c r="AW65" s="781">
        <f>AW60/IS!AW32</f>
        <v>0.89493840492367283</v>
      </c>
      <c r="AX65" s="454"/>
      <c r="AY65" s="454">
        <f>AY60/IS!AY32</f>
        <v>0.67226536654304736</v>
      </c>
      <c r="AZ65" s="454">
        <f>AZ60/IS!AZ32</f>
        <v>0.94967000153487691</v>
      </c>
      <c r="BA65" s="454">
        <f>BA60/IS!BA32</f>
        <v>0.87286587504433433</v>
      </c>
      <c r="BB65" s="454">
        <f>BB60/IS!BB32</f>
        <v>1.2423411362885055</v>
      </c>
      <c r="BC65" s="781">
        <f>BC60/IS!BC32</f>
        <v>0.98154987711469521</v>
      </c>
      <c r="BD65" s="454"/>
      <c r="BE65" s="454">
        <f>BE60/IS!BE32</f>
        <v>0.43155525160996189</v>
      </c>
      <c r="BF65" s="454">
        <f>BF60/IS!BF32</f>
        <v>1.2715313570770108</v>
      </c>
      <c r="BG65" s="454">
        <f>BG60/IS!BG32</f>
        <v>0.91993047459205124</v>
      </c>
      <c r="BH65" s="454">
        <f>BH60/IS!BH32</f>
        <v>1.5541144254579868</v>
      </c>
      <c r="BI65" s="781">
        <f>BI60/IS!BI32</f>
        <v>1.1112938993288226</v>
      </c>
      <c r="BJ65" s="454"/>
      <c r="BK65" s="454">
        <f>BK60/IS!BK32</f>
        <v>0.79205040462489207</v>
      </c>
      <c r="BL65" s="454">
        <f>BL60/IS!BL32</f>
        <v>0.57756513444225799</v>
      </c>
      <c r="BM65" s="454">
        <f>BM60/IS!BM32</f>
        <v>0.58765892801582342</v>
      </c>
      <c r="BN65" s="454">
        <f>BN60/IS!BN32</f>
        <v>1.025368452802061</v>
      </c>
      <c r="BO65" s="781">
        <f>BO60/IS!BO32</f>
        <v>0.77027766835105127</v>
      </c>
      <c r="BP65" s="454"/>
      <c r="BQ65" s="454">
        <f>BQ60/IS!BQ32</f>
        <v>1.9690542123026691</v>
      </c>
      <c r="BR65" s="454">
        <f>BR60/IS!BR32</f>
        <v>0.64707199623835043</v>
      </c>
      <c r="BS65" s="454">
        <f>BS60/IS!BS32</f>
        <v>1.1004734533358222</v>
      </c>
      <c r="BT65" s="454">
        <f>BT60/IS!BT32</f>
        <v>0.98289023909513895</v>
      </c>
      <c r="BU65" s="781">
        <f>BU60/IS!BU32</f>
        <v>1.100311391397546</v>
      </c>
      <c r="BV65" s="454"/>
      <c r="BW65" s="454">
        <f>BW60/IS!BW32</f>
        <v>1.204973508976551</v>
      </c>
      <c r="BX65" s="454">
        <f>BX60/IS!BX32</f>
        <v>0.64172693927639546</v>
      </c>
      <c r="BY65" s="454">
        <f>BY60/IS!BY32</f>
        <v>1.1016661682637301</v>
      </c>
      <c r="BZ65" s="454">
        <f>BZ60/IS!BZ32</f>
        <v>0.94144249618467946</v>
      </c>
      <c r="CA65" s="781">
        <f>CA60/IS!CA32</f>
        <v>0.95655425545323036</v>
      </c>
      <c r="CB65" s="454"/>
      <c r="CC65" s="454">
        <f>CC60/IS!CC32</f>
        <v>1.2883812873668561</v>
      </c>
      <c r="CD65" s="454">
        <f>CD60/IS!CD32</f>
        <v>0.64644538725879397</v>
      </c>
      <c r="CE65" s="454">
        <f>CE60/IS!CE32</f>
        <v>1.1003364079100639</v>
      </c>
      <c r="CF65" s="454">
        <f>CF60/IS!CF32</f>
        <v>0.91465064836146504</v>
      </c>
      <c r="CG65" s="781">
        <f>CG60/IS!CG32</f>
        <v>0.96067800408230586</v>
      </c>
      <c r="CH65" s="454"/>
      <c r="CI65" s="454">
        <f>CI60/IS!CI32</f>
        <v>1.3457498133873176</v>
      </c>
      <c r="CJ65" s="454">
        <f>CJ60/IS!CJ32</f>
        <v>0.61221862246235892</v>
      </c>
      <c r="CK65" s="454">
        <f>CK60/IS!CK32</f>
        <v>1.0944849808743378</v>
      </c>
      <c r="CL65" s="454">
        <f>CL60/IS!CL32</f>
        <v>0.8712399898055655</v>
      </c>
      <c r="CM65" s="781">
        <f>CM60/IS!CM32</f>
        <v>0.9606635040372854</v>
      </c>
      <c r="CN65" s="1130"/>
      <c r="CO65" s="1130"/>
      <c r="CP65" s="1130"/>
      <c r="CQ65"/>
      <c r="CR65"/>
      <c r="CS65"/>
      <c r="CT65"/>
      <c r="CU65"/>
      <c r="CV65"/>
      <c r="CW65" s="862"/>
      <c r="CX65" s="862"/>
      <c r="CY65" s="862"/>
    </row>
    <row r="66" spans="1:103" s="867" customFormat="1">
      <c r="A66" s="1131" t="s">
        <v>371</v>
      </c>
      <c r="B66" s="1132"/>
      <c r="C66" s="1133">
        <v>23.362616196721305</v>
      </c>
      <c r="D66" s="1133">
        <v>25.553643333333341</v>
      </c>
      <c r="E66" s="1133">
        <v>27.636818761904763</v>
      </c>
      <c r="F66" s="1133">
        <v>27.291867781249994</v>
      </c>
      <c r="G66" s="1134">
        <v>25.987243976095634</v>
      </c>
      <c r="H66" s="1132"/>
      <c r="I66" s="1133">
        <v>24.711468770491802</v>
      </c>
      <c r="J66" s="1133">
        <v>27.164368609375</v>
      </c>
      <c r="K66" s="1133">
        <v>27.787647937500008</v>
      </c>
      <c r="L66" s="1133">
        <v>17.652339078125006</v>
      </c>
      <c r="M66" s="1134">
        <v>24.324420375494089</v>
      </c>
      <c r="N66" s="1132"/>
      <c r="O66" s="1133">
        <v>13.242295081967212</v>
      </c>
      <c r="P66" s="1133">
        <v>15.806344412698412</v>
      </c>
      <c r="Q66" s="1133">
        <v>18.049213109375</v>
      </c>
      <c r="R66" s="1133">
        <v>19.646399078125</v>
      </c>
      <c r="S66" s="1134">
        <v>16.730551103174623</v>
      </c>
      <c r="T66" s="1132"/>
      <c r="U66" s="1133">
        <v>22.133431484375002</v>
      </c>
      <c r="V66" s="1133">
        <v>23.011580174603175</v>
      </c>
      <c r="W66" s="1133">
        <v>21.071400421874998</v>
      </c>
      <c r="X66" s="1133">
        <v>24.148431156249998</v>
      </c>
      <c r="Y66" s="1134">
        <v>22.5895623019608</v>
      </c>
      <c r="Z66" s="1132"/>
      <c r="AA66" s="1133">
        <v>26.251122483870969</v>
      </c>
      <c r="AB66" s="1133">
        <v>27.037928507936513</v>
      </c>
      <c r="AC66" s="1133">
        <v>22.896086937499998</v>
      </c>
      <c r="AD66" s="1133">
        <v>22.896086937499998</v>
      </c>
      <c r="AE66" s="1135">
        <f>AVERAGE(AA66:AD66)</f>
        <v>24.770306216701872</v>
      </c>
      <c r="AF66" s="1132"/>
      <c r="AG66" s="1133">
        <v>25.407251209677423</v>
      </c>
      <c r="AH66" s="1133">
        <v>26.417769634920639</v>
      </c>
      <c r="AI66" s="1133">
        <v>27.087135650793648</v>
      </c>
      <c r="AJ66" s="1133">
        <v>30.663380741935491</v>
      </c>
      <c r="AK66" s="1135">
        <v>27.388752856000007</v>
      </c>
      <c r="AL66" s="1132"/>
      <c r="AM66" s="1133">
        <v>34.360660049999993</v>
      </c>
      <c r="AN66" s="1133">
        <v>32.723274703124993</v>
      </c>
      <c r="AO66" s="1133">
        <v>35.893430500000008</v>
      </c>
      <c r="AP66" s="1133">
        <v>38.247181156250008</v>
      </c>
      <c r="AQ66" s="1135">
        <v>35.321144166666691</v>
      </c>
      <c r="AR66" s="1132"/>
      <c r="AS66" s="1133">
        <v>43.889829770491815</v>
      </c>
      <c r="AT66" s="1133">
        <v>44.902691793650817</v>
      </c>
      <c r="AU66" s="1133">
        <v>45.532024109375016</v>
      </c>
      <c r="AV66" s="1133">
        <v>43.035244016393449</v>
      </c>
      <c r="AW66" s="1135">
        <f>AVERAGE(AS66:AV66)</f>
        <v>44.339947422477778</v>
      </c>
      <c r="AX66" s="1132"/>
      <c r="AY66" s="1133">
        <v>46.322458950819673</v>
      </c>
      <c r="AZ66" s="1133">
        <v>52.132540761904764</v>
      </c>
      <c r="BA66" s="1133">
        <v>49.652343687500014</v>
      </c>
      <c r="BB66" s="1133">
        <v>50.798689000000003</v>
      </c>
      <c r="BC66" s="1135">
        <f>AVERAGE(AY66:BB66)</f>
        <v>49.726508100056108</v>
      </c>
      <c r="BD66" s="1132"/>
      <c r="BE66" s="2209">
        <v>51.904992036728657</v>
      </c>
      <c r="BF66" s="2209">
        <v>52.572812765625017</v>
      </c>
      <c r="BG66" s="2209">
        <v>54.573438875000001</v>
      </c>
      <c r="BH66" s="2209">
        <v>52.259048492063499</v>
      </c>
      <c r="BI66" s="1135">
        <f>AVERAGE(BE66:BH66)</f>
        <v>52.827573042354295</v>
      </c>
      <c r="BJ66" s="1132"/>
      <c r="BK66" s="2209">
        <v>54.531452838709662</v>
      </c>
      <c r="BL66" s="2209">
        <v>62.123334825396846</v>
      </c>
      <c r="BM66" s="2209">
        <v>67.076984666666689</v>
      </c>
      <c r="BN66" s="2209">
        <v>71.753968746031759</v>
      </c>
      <c r="BO66" s="1135">
        <f>AVERAGE(BK66:BN66)</f>
        <v>63.871435269201243</v>
      </c>
      <c r="BP66" s="1132"/>
      <c r="BQ66" s="2363">
        <v>80</v>
      </c>
      <c r="BR66" s="1133">
        <v>81.605989495134494</v>
      </c>
      <c r="BS66" s="1133">
        <v>83.244219018500019</v>
      </c>
      <c r="BT66" s="1133">
        <v>84.915335784429843</v>
      </c>
      <c r="BU66" s="1135">
        <f>AVERAGE(BQ66:BT66)</f>
        <v>82.441386074516089</v>
      </c>
      <c r="BV66" s="1132"/>
      <c r="BW66" s="1133">
        <v>86.62</v>
      </c>
      <c r="BX66" s="1133">
        <v>88.358885125856872</v>
      </c>
      <c r="BY66" s="1133">
        <v>90.132678142280895</v>
      </c>
      <c r="BZ66" s="1133">
        <v>91.942079820591417</v>
      </c>
      <c r="CA66" s="1135">
        <f>AVERAGE(BW66:BZ66)</f>
        <v>89.263410772182297</v>
      </c>
      <c r="CB66" s="1132"/>
      <c r="CC66" s="1133">
        <v>93.787805000000006</v>
      </c>
      <c r="CD66" s="1133">
        <v>95.670582870021533</v>
      </c>
      <c r="CE66" s="1133">
        <v>97.591157258554645</v>
      </c>
      <c r="CF66" s="1133">
        <v>99.550286925745354</v>
      </c>
      <c r="CG66" s="1135">
        <f>AVERAGE(CC66:CF66)</f>
        <v>96.649958013580388</v>
      </c>
      <c r="CH66" s="1132"/>
      <c r="CI66" s="1133">
        <v>101.54874586375</v>
      </c>
      <c r="CJ66" s="1133">
        <v>103.58732360251581</v>
      </c>
      <c r="CK66" s="1133">
        <v>105.66682552170003</v>
      </c>
      <c r="CL66" s="1133">
        <v>107.78807316885079</v>
      </c>
      <c r="CM66" s="1135">
        <f>AVERAGE(CI66:CL66)</f>
        <v>104.64774203920416</v>
      </c>
      <c r="CN66" s="1127"/>
      <c r="CO66" s="1127"/>
      <c r="CP66" s="1127"/>
      <c r="CQ66"/>
      <c r="CR66"/>
      <c r="CS66"/>
      <c r="CT66"/>
      <c r="CU66"/>
      <c r="CV66"/>
    </row>
    <row r="67" spans="1:103">
      <c r="A67" s="1136"/>
      <c r="B67" s="1136"/>
      <c r="C67" s="1136"/>
      <c r="D67" s="1136"/>
      <c r="E67" s="1136"/>
      <c r="F67" s="1136"/>
      <c r="G67" s="1136"/>
      <c r="H67" s="1136"/>
      <c r="I67" s="1084"/>
      <c r="J67" s="1084"/>
      <c r="K67" s="1084"/>
      <c r="L67" s="1105"/>
      <c r="M67" s="1084"/>
      <c r="N67" s="1136"/>
      <c r="O67" s="1084"/>
      <c r="P67" s="1084"/>
      <c r="Q67" s="1084"/>
      <c r="R67" s="1084"/>
      <c r="S67" s="1105"/>
      <c r="T67" s="1136"/>
      <c r="U67" s="1105"/>
      <c r="V67" s="1105"/>
      <c r="W67" s="1105"/>
      <c r="X67" s="1105"/>
      <c r="Y67" s="1026"/>
      <c r="Z67" s="1136"/>
      <c r="AA67" s="1105"/>
      <c r="AB67" s="1105"/>
      <c r="AC67" s="1105"/>
      <c r="AD67" s="1105"/>
      <c r="AE67" s="1026"/>
      <c r="AF67" s="1136"/>
      <c r="AG67" s="1105"/>
      <c r="AH67" s="1105"/>
      <c r="AI67" s="1105"/>
      <c r="AJ67" s="1105"/>
      <c r="AK67" s="2269"/>
      <c r="AL67" s="1136"/>
      <c r="AM67" s="1105"/>
      <c r="AN67" s="1105"/>
      <c r="AO67" s="1105"/>
      <c r="AP67" s="1105"/>
      <c r="AQ67" s="2269"/>
      <c r="AR67" s="1136"/>
      <c r="AS67" s="1105"/>
      <c r="AT67" s="1105"/>
      <c r="AU67" s="1105"/>
      <c r="AV67" s="1105"/>
      <c r="AW67" s="2269"/>
      <c r="AX67" s="1136"/>
      <c r="AY67" s="1105"/>
      <c r="AZ67" s="1105"/>
      <c r="BA67" s="1105"/>
      <c r="BB67" s="1105"/>
      <c r="BC67" s="2269"/>
      <c r="BD67" s="1136"/>
      <c r="BE67" s="1105"/>
      <c r="BF67" s="1765"/>
      <c r="BG67" s="1105"/>
      <c r="BH67" s="1765"/>
      <c r="BI67" s="2269"/>
      <c r="BJ67" s="1136"/>
      <c r="BK67" s="1105"/>
      <c r="BL67" s="1105"/>
      <c r="BM67" s="1105"/>
      <c r="BN67" s="1105"/>
      <c r="BO67" s="2269"/>
      <c r="BP67" s="1136"/>
      <c r="BQ67" s="1105"/>
      <c r="BR67" s="1105"/>
      <c r="BS67" s="1105"/>
      <c r="BT67" s="1105"/>
      <c r="BU67" s="2269"/>
      <c r="BV67" s="1136"/>
      <c r="BW67" s="1105"/>
      <c r="BX67" s="1105"/>
      <c r="BY67" s="1105"/>
      <c r="BZ67" s="1105"/>
      <c r="CA67" s="2269"/>
      <c r="CB67" s="1136"/>
      <c r="CC67" s="1105"/>
      <c r="CD67" s="1105"/>
      <c r="CE67" s="1105"/>
      <c r="CF67" s="1105"/>
      <c r="CG67" s="2269"/>
      <c r="CH67" s="1136"/>
      <c r="CI67" s="1105"/>
      <c r="CJ67" s="1105"/>
      <c r="CK67" s="1105"/>
      <c r="CL67" s="1105"/>
      <c r="CM67" s="2269"/>
      <c r="CN67" s="1026"/>
      <c r="CO67" s="1026"/>
      <c r="CP67" s="1026"/>
    </row>
    <row r="68" spans="1:103" ht="12.75" hidden="1" customHeight="1" outlineLevel="1">
      <c r="A68" s="1137" t="s">
        <v>372</v>
      </c>
      <c r="B68" s="1138"/>
      <c r="C68" s="1138"/>
      <c r="D68" s="1138"/>
      <c r="E68" s="1138"/>
      <c r="F68" s="1138"/>
      <c r="G68" s="1138"/>
      <c r="H68" s="1138"/>
      <c r="I68" s="1139"/>
      <c r="J68" s="1139"/>
      <c r="K68" s="1139"/>
      <c r="L68" s="1140"/>
      <c r="M68" s="1139"/>
      <c r="N68" s="1138"/>
      <c r="O68" s="1139"/>
      <c r="P68" s="1139"/>
      <c r="Q68" s="1139"/>
      <c r="R68" s="1139"/>
      <c r="S68" s="1140"/>
      <c r="T68" s="1138"/>
      <c r="U68" s="1140"/>
      <c r="V68" s="1140"/>
      <c r="W68" s="1140"/>
      <c r="X68" s="1140"/>
      <c r="Y68" s="1141"/>
      <c r="Z68" s="1138"/>
      <c r="AA68" s="1140"/>
      <c r="AB68" s="1140"/>
      <c r="AC68" s="1140"/>
      <c r="AD68" s="1140"/>
      <c r="AE68" s="1141"/>
      <c r="AF68" s="1138"/>
      <c r="AG68" s="1140"/>
      <c r="AH68" s="1140"/>
      <c r="AI68" s="1140"/>
      <c r="AJ68" s="1140"/>
      <c r="AK68" s="1141"/>
      <c r="AL68" s="1138"/>
      <c r="AM68" s="1140"/>
      <c r="AN68" s="1140"/>
      <c r="AO68" s="1140"/>
      <c r="AP68" s="1140"/>
      <c r="AQ68" s="1141"/>
      <c r="AR68" s="1138"/>
      <c r="AS68" s="1140"/>
      <c r="AT68" s="1140"/>
      <c r="AU68" s="1140"/>
      <c r="AV68" s="1140"/>
      <c r="AW68" s="1141"/>
      <c r="AX68" s="1138"/>
      <c r="AY68" s="1140"/>
      <c r="AZ68" s="1140"/>
      <c r="BA68" s="1140"/>
      <c r="BB68" s="1140"/>
      <c r="BC68" s="1141"/>
      <c r="BD68" s="1138"/>
      <c r="BE68" s="1140"/>
      <c r="BF68" s="1140"/>
      <c r="BG68" s="1140"/>
      <c r="BH68" s="1140"/>
      <c r="BI68" s="1141"/>
      <c r="BJ68" s="1138"/>
      <c r="BK68" s="1140"/>
      <c r="BL68" s="1140"/>
      <c r="BM68" s="1140"/>
      <c r="BN68" s="1140"/>
      <c r="BO68" s="1141"/>
      <c r="BP68" s="1138"/>
      <c r="BQ68" s="1140"/>
      <c r="BR68" s="1140"/>
      <c r="BS68" s="1140"/>
      <c r="BT68" s="1140"/>
      <c r="BU68" s="1141"/>
      <c r="BV68" s="1138"/>
      <c r="BW68" s="1140"/>
      <c r="BX68" s="1140"/>
      <c r="BY68" s="1140"/>
      <c r="BZ68" s="1140"/>
      <c r="CA68" s="1141"/>
      <c r="CB68" s="1138"/>
      <c r="CC68" s="1140"/>
      <c r="CD68" s="1140"/>
      <c r="CE68" s="1140"/>
      <c r="CF68" s="1140"/>
      <c r="CG68" s="1141"/>
      <c r="CH68" s="1138"/>
      <c r="CI68" s="1140"/>
      <c r="CJ68" s="1140"/>
      <c r="CK68" s="1140"/>
      <c r="CL68" s="1140"/>
      <c r="CM68" s="1141"/>
      <c r="CN68" s="1026"/>
      <c r="CO68" s="1026"/>
      <c r="CP68" s="1026"/>
    </row>
    <row r="69" spans="1:103" ht="12.75" hidden="1" customHeight="1" outlineLevel="1">
      <c r="A69" s="1142"/>
      <c r="B69" s="1143"/>
      <c r="C69" s="1143"/>
      <c r="D69" s="1143"/>
      <c r="E69" s="1143"/>
      <c r="F69" s="1143"/>
      <c r="G69" s="1142"/>
      <c r="H69" s="1143"/>
      <c r="I69" s="1144"/>
      <c r="J69" s="1144"/>
      <c r="K69" s="1144"/>
      <c r="L69" s="1145"/>
      <c r="M69" s="1146"/>
      <c r="N69" s="1143"/>
      <c r="O69" s="1144"/>
      <c r="P69" s="1144"/>
      <c r="Q69" s="1144"/>
      <c r="R69" s="1144"/>
      <c r="S69" s="1147"/>
      <c r="T69" s="1143"/>
      <c r="U69" s="1145"/>
      <c r="V69" s="1145"/>
      <c r="W69" s="1145"/>
      <c r="X69" s="1145"/>
      <c r="Y69" s="1148"/>
      <c r="Z69" s="1143"/>
      <c r="AA69" s="1145"/>
      <c r="AB69" s="1145"/>
      <c r="AC69" s="1145"/>
      <c r="AD69" s="1145"/>
      <c r="AE69" s="1148"/>
      <c r="AF69" s="1143"/>
      <c r="AG69" s="1145"/>
      <c r="AH69" s="1145"/>
      <c r="AI69" s="1145"/>
      <c r="AJ69" s="1145"/>
      <c r="AK69" s="1148"/>
      <c r="AL69" s="1143"/>
      <c r="AM69" s="1145"/>
      <c r="AN69" s="1145"/>
      <c r="AO69" s="1145"/>
      <c r="AP69" s="1145"/>
      <c r="AQ69" s="1148"/>
      <c r="AR69" s="1143"/>
      <c r="AS69" s="1145"/>
      <c r="AT69" s="1145"/>
      <c r="AU69" s="1145"/>
      <c r="AV69" s="1145"/>
      <c r="AW69" s="1148"/>
      <c r="AX69" s="1143"/>
      <c r="AY69" s="1145"/>
      <c r="AZ69" s="1145"/>
      <c r="BA69" s="1145"/>
      <c r="BB69" s="1145"/>
      <c r="BC69" s="1148"/>
      <c r="BD69" s="1143"/>
      <c r="BE69" s="1145"/>
      <c r="BF69" s="1145"/>
      <c r="BG69" s="1145"/>
      <c r="BH69" s="1145"/>
      <c r="BI69" s="1148"/>
      <c r="BJ69" s="1143"/>
      <c r="BK69" s="1145"/>
      <c r="BL69" s="1145"/>
      <c r="BM69" s="1145"/>
      <c r="BN69" s="1145"/>
      <c r="BO69" s="1148"/>
      <c r="BP69" s="1143"/>
      <c r="BQ69" s="1145"/>
      <c r="BR69" s="1145"/>
      <c r="BS69" s="1145"/>
      <c r="BT69" s="1145"/>
      <c r="BU69" s="1148"/>
      <c r="BV69" s="1143"/>
      <c r="BW69" s="1145"/>
      <c r="BX69" s="1145"/>
      <c r="BY69" s="1145"/>
      <c r="BZ69" s="1145"/>
      <c r="CA69" s="1148"/>
      <c r="CB69" s="1143"/>
      <c r="CC69" s="1145"/>
      <c r="CD69" s="1145"/>
      <c r="CE69" s="1145"/>
      <c r="CF69" s="1145"/>
      <c r="CG69" s="1148"/>
      <c r="CH69" s="1143"/>
      <c r="CI69" s="1145"/>
      <c r="CJ69" s="1145"/>
      <c r="CK69" s="1145"/>
      <c r="CL69" s="1145"/>
      <c r="CM69" s="1148"/>
      <c r="CN69" s="1026"/>
      <c r="CO69" s="1026"/>
      <c r="CP69" s="1026"/>
    </row>
    <row r="70" spans="1:103" ht="12.75" hidden="1" customHeight="1" outlineLevel="1">
      <c r="A70" s="1149" t="s">
        <v>373</v>
      </c>
      <c r="B70" s="1150"/>
      <c r="C70" s="1151">
        <v>12.577999999999999</v>
      </c>
      <c r="D70" s="1152">
        <f>C74</f>
        <v>13.416999999999998</v>
      </c>
      <c r="E70" s="1152">
        <f>D74</f>
        <v>12.760999999999997</v>
      </c>
      <c r="F70" s="1152">
        <f>E74</f>
        <v>11.374999999999998</v>
      </c>
      <c r="G70" s="1153">
        <f>C70</f>
        <v>12.577999999999999</v>
      </c>
      <c r="H70" s="1152"/>
      <c r="I70" s="1087">
        <f>G74</f>
        <v>11.246</v>
      </c>
      <c r="J70" s="1087">
        <f>I74</f>
        <v>12.366</v>
      </c>
      <c r="K70" s="1087">
        <f>J74</f>
        <v>10.863000000000001</v>
      </c>
      <c r="L70" s="1154">
        <f>K74</f>
        <v>9.5760000000000005</v>
      </c>
      <c r="M70" s="1089">
        <f>G74</f>
        <v>11.246</v>
      </c>
      <c r="N70" s="1152"/>
      <c r="O70" s="1087">
        <f>M74</f>
        <v>9.4240000000000013</v>
      </c>
      <c r="P70" s="1087">
        <f>O74</f>
        <v>11.345000000000001</v>
      </c>
      <c r="Q70" s="1087">
        <f>P74</f>
        <v>11.189000000000002</v>
      </c>
      <c r="R70" s="1087">
        <f>Q74</f>
        <v>8.735000000000003</v>
      </c>
      <c r="S70" s="1155">
        <f>M74</f>
        <v>9.4240000000000013</v>
      </c>
      <c r="T70" s="1152"/>
      <c r="U70" s="1088">
        <f>+S74</f>
        <v>8.4150000000000009</v>
      </c>
      <c r="V70" s="1088">
        <f>+U74</f>
        <v>8.2830000000000013</v>
      </c>
      <c r="W70" s="1088">
        <f>+V74</f>
        <v>8.1890000000000018</v>
      </c>
      <c r="X70" s="1088">
        <f>+W74</f>
        <v>7.923</v>
      </c>
      <c r="Y70" s="1156">
        <f>S74</f>
        <v>8.4150000000000009</v>
      </c>
      <c r="Z70" s="1152"/>
      <c r="AA70" s="1088">
        <f>+Y74</f>
        <v>6.9830000000000014</v>
      </c>
      <c r="AB70" s="1088">
        <f>+AA74</f>
        <v>6.5610000000000017</v>
      </c>
      <c r="AC70" s="1088">
        <f>AB74</f>
        <v>5.1550000000000011</v>
      </c>
      <c r="AD70" s="1088">
        <f>AC74</f>
        <v>5.1060000000000008</v>
      </c>
      <c r="AE70" s="1156">
        <f>Y74</f>
        <v>6.9830000000000014</v>
      </c>
      <c r="AF70" s="1152"/>
      <c r="AG70" s="1088">
        <f>AE74</f>
        <v>4.4030000000000014</v>
      </c>
      <c r="AH70" s="1088">
        <f>+AG74</f>
        <v>5.1170500000000008</v>
      </c>
      <c r="AI70" s="1088">
        <f>+AH74</f>
        <v>2.5750000000000011</v>
      </c>
      <c r="AJ70" s="1088">
        <f>AI74</f>
        <v>3.2890500000000009</v>
      </c>
      <c r="AK70" s="1737">
        <f>AE74</f>
        <v>4.4030000000000014</v>
      </c>
      <c r="AL70" s="1152"/>
      <c r="AM70" s="1088">
        <f>AK74</f>
        <v>4.266</v>
      </c>
      <c r="AN70" s="1088">
        <f>AM74</f>
        <v>4.4880000000000004</v>
      </c>
      <c r="AO70" s="1088">
        <f>AN74</f>
        <v>4.1419999999999995</v>
      </c>
      <c r="AP70" s="1088">
        <f>AO74</f>
        <v>3.7309999999999999</v>
      </c>
      <c r="AQ70" s="1156">
        <f>AK74</f>
        <v>4.266</v>
      </c>
      <c r="AR70" s="1152"/>
      <c r="AS70" s="1088">
        <f>AQ74</f>
        <v>3.4939999999999998</v>
      </c>
      <c r="AT70" s="1088">
        <f>AS74</f>
        <v>3.6389999999999998</v>
      </c>
      <c r="AU70" s="1088">
        <f>AT74</f>
        <v>3.1429999999999998</v>
      </c>
      <c r="AV70" s="1580">
        <f>AU74</f>
        <v>3.0129999999999999</v>
      </c>
      <c r="AW70" s="1581">
        <f>AQ74</f>
        <v>3.4939999999999998</v>
      </c>
      <c r="AX70" s="1152"/>
      <c r="AY70" s="1088">
        <f>AW74</f>
        <v>2.8279999999999994</v>
      </c>
      <c r="AZ70" s="1088">
        <f>AY74</f>
        <v>2.6849999999999996</v>
      </c>
      <c r="BA70" s="1088">
        <f>AZ74</f>
        <v>2.5029999999999992</v>
      </c>
      <c r="BB70" s="1580">
        <f>BA74</f>
        <v>2.4809999999999994</v>
      </c>
      <c r="BC70" s="1156">
        <f>AW74</f>
        <v>2.8279999999999994</v>
      </c>
      <c r="BD70" s="1152"/>
      <c r="BE70" s="1088">
        <f>BC74</f>
        <v>2.371999999999999</v>
      </c>
      <c r="BF70" s="1088">
        <f>BE74</f>
        <v>2.887999999999999</v>
      </c>
      <c r="BG70" s="1088">
        <f>BF74</f>
        <v>2.5429999999999993</v>
      </c>
      <c r="BH70" s="1580">
        <f>BG74</f>
        <v>2.359999999999999</v>
      </c>
      <c r="BI70" s="1156">
        <f>BC74</f>
        <v>2.371999999999999</v>
      </c>
      <c r="BJ70" s="1152"/>
      <c r="BK70" s="1088">
        <f>BI74</f>
        <v>2.286999999999999</v>
      </c>
      <c r="BL70" s="1088">
        <f>BK74</f>
        <v>2.5929999999999991</v>
      </c>
      <c r="BM70" s="1088">
        <f>BL74</f>
        <v>2.2999999999999994</v>
      </c>
      <c r="BN70" s="1580">
        <f>BM74</f>
        <v>2.2819999999999991</v>
      </c>
      <c r="BO70" s="1737">
        <f>BI74</f>
        <v>2.286999999999999</v>
      </c>
      <c r="BP70" s="1152"/>
      <c r="BQ70" s="1088">
        <f>BO74</f>
        <v>2.153999999999999</v>
      </c>
      <c r="BR70" s="1088">
        <f>BQ74</f>
        <v>2.4829199999999991</v>
      </c>
      <c r="BS70" s="1088">
        <f>BR74</f>
        <v>1.9456775999999991</v>
      </c>
      <c r="BT70" s="1088">
        <f>BS74</f>
        <v>1.5338285279999995</v>
      </c>
      <c r="BU70" s="1156">
        <f>BO74</f>
        <v>2.153999999999999</v>
      </c>
      <c r="BV70" s="1152"/>
      <c r="BW70" s="1088">
        <f>BU74</f>
        <v>1.2035862518399996</v>
      </c>
      <c r="BX70" s="1088">
        <f>BW74</f>
        <v>2.3838372764351998</v>
      </c>
      <c r="BY70" s="1088">
        <f>BX74</f>
        <v>1.8755930756194559</v>
      </c>
      <c r="BZ70" s="1088">
        <f>BY74</f>
        <v>1.4921225989831757</v>
      </c>
      <c r="CA70" s="1156">
        <f>BU74</f>
        <v>1.2035862518399996</v>
      </c>
      <c r="CB70" s="1152"/>
      <c r="CC70" s="1088">
        <f>CA74</f>
        <v>1.176815627206877</v>
      </c>
      <c r="CD70" s="1088">
        <f>CC74</f>
        <v>3.5189881892213641</v>
      </c>
      <c r="CE70" s="1088">
        <f>CD74</f>
        <v>2.7739707875926642</v>
      </c>
      <c r="CF70" s="1088">
        <f>CE74</f>
        <v>2.2161852143222776</v>
      </c>
      <c r="CG70" s="1156">
        <f>CA74</f>
        <v>1.176815627206877</v>
      </c>
      <c r="CH70" s="1152"/>
      <c r="CI70" s="1088">
        <f>CG74</f>
        <v>1.7519524671713771</v>
      </c>
      <c r="CJ70" s="1088">
        <f>CI74</f>
        <v>6.0484525243936753</v>
      </c>
      <c r="CK70" s="1088">
        <f>CJ74</f>
        <v>4.7702809690270671</v>
      </c>
      <c r="CL70" s="1088">
        <f>CK74</f>
        <v>3.815297555841112</v>
      </c>
      <c r="CM70" s="1156">
        <f>CG74</f>
        <v>1.7519524671713771</v>
      </c>
      <c r="CN70" s="1026"/>
      <c r="CO70" s="1026"/>
      <c r="CP70" s="1026"/>
    </row>
    <row r="71" spans="1:103" ht="12.75" hidden="1" customHeight="1" outlineLevel="1">
      <c r="A71" s="1157" t="s">
        <v>374</v>
      </c>
      <c r="B71" s="1158"/>
      <c r="C71" s="1151">
        <v>1.508</v>
      </c>
      <c r="D71" s="1151">
        <f>1.599-C71</f>
        <v>9.099999999999997E-2</v>
      </c>
      <c r="E71" s="1151">
        <f>1.637-C71-D71</f>
        <v>3.8000000000000034E-2</v>
      </c>
      <c r="F71" s="1151">
        <f>1.756-C71-D71-E71</f>
        <v>0.11899999999999999</v>
      </c>
      <c r="G71" s="1159">
        <v>1.756</v>
      </c>
      <c r="H71" s="1152"/>
      <c r="I71" s="1160">
        <v>1.53</v>
      </c>
      <c r="J71" s="1160">
        <f>1.625-I71</f>
        <v>9.4999999999999973E-2</v>
      </c>
      <c r="K71" s="1160">
        <f>1.662-I71-J71</f>
        <v>3.6999999999999922E-2</v>
      </c>
      <c r="L71" s="1161">
        <f>1.676-I71-J71-K71</f>
        <v>1.4000000000000012E-2</v>
      </c>
      <c r="M71" s="1162">
        <v>1.6759999999999999</v>
      </c>
      <c r="N71" s="1152"/>
      <c r="O71" s="1160">
        <v>2.0840000000000001</v>
      </c>
      <c r="P71" s="1160">
        <f>2.231-O71</f>
        <v>0.1469999999999998</v>
      </c>
      <c r="Q71" s="1160">
        <f>2.25-O71-P71</f>
        <v>1.9000000000000128E-2</v>
      </c>
      <c r="R71" s="1160">
        <f>2.254-O71-P71-Q71</f>
        <v>4.0000000000000036E-3</v>
      </c>
      <c r="S71" s="1163">
        <v>2.254</v>
      </c>
      <c r="T71" s="1152"/>
      <c r="U71" s="1047">
        <v>0.69399999999999995</v>
      </c>
      <c r="V71" s="1047">
        <f>0.76-U71</f>
        <v>6.6000000000000059E-2</v>
      </c>
      <c r="W71" s="1047">
        <f>0.784-SUM(U71:V71)</f>
        <v>2.4000000000000021E-2</v>
      </c>
      <c r="X71" s="1047">
        <f>0.784-SUM(U71:W71)</f>
        <v>0</v>
      </c>
      <c r="Y71" s="1164">
        <v>0.78400000000000003</v>
      </c>
      <c r="Z71" s="1152"/>
      <c r="AA71" s="1047">
        <v>0.51900000000000002</v>
      </c>
      <c r="AB71" s="1047">
        <f>0.574-AA71</f>
        <v>5.4999999999999938E-2</v>
      </c>
      <c r="AC71" s="1047">
        <f>0.582-SUM(AA71:AB71)</f>
        <v>8.0000000000000071E-3</v>
      </c>
      <c r="AD71" s="1047">
        <f>0.847-SUM(AA71:AC71)</f>
        <v>0.26500000000000001</v>
      </c>
      <c r="AE71" s="1053">
        <f>SUM(AA71:AD71)</f>
        <v>0.84699999999999998</v>
      </c>
      <c r="AF71" s="1152"/>
      <c r="AG71" s="1088">
        <f>AA71*(1+AG80)</f>
        <v>0.93420000000000003</v>
      </c>
      <c r="AH71" s="1047">
        <f>0.574-AG71</f>
        <v>-0.36020000000000008</v>
      </c>
      <c r="AI71" s="1047">
        <f>0.574-AH71</f>
        <v>0.93420000000000003</v>
      </c>
      <c r="AJ71" s="1088">
        <f>AD71*(1+AJ80)</f>
        <v>0.47700000000000004</v>
      </c>
      <c r="AK71" s="1739">
        <f>SUM(AG71:AJ71)</f>
        <v>1.9852000000000001</v>
      </c>
      <c r="AL71" s="1152"/>
      <c r="AM71" s="1047">
        <v>0.47899999999999998</v>
      </c>
      <c r="AN71" s="1047">
        <f>0.518-AM71</f>
        <v>3.9000000000000035E-2</v>
      </c>
      <c r="AO71" s="1047">
        <f>0.518-SUM(AM71:AN71)</f>
        <v>0</v>
      </c>
      <c r="AP71" s="1047">
        <f>0.518-SUM(AM71:AO71)</f>
        <v>0</v>
      </c>
      <c r="AQ71" s="1053">
        <f>SUM(AM71:AP71)</f>
        <v>0.51800000000000002</v>
      </c>
      <c r="AR71" s="1152"/>
      <c r="AS71" s="1047">
        <v>0.45900000000000002</v>
      </c>
      <c r="AT71" s="1370">
        <f>0.511-AS71</f>
        <v>5.1999999999999991E-2</v>
      </c>
      <c r="AU71" s="1370">
        <f>0.52-SUM(AS71:AT71)</f>
        <v>9.000000000000008E-3</v>
      </c>
      <c r="AV71" s="1370">
        <f>0.52-SUM(AS71:AU71)</f>
        <v>0</v>
      </c>
      <c r="AW71" s="1053">
        <f>SUM(AS71:AV71)</f>
        <v>0.52</v>
      </c>
      <c r="AX71" s="1152"/>
      <c r="AY71" s="1685">
        <v>0.48399999999999999</v>
      </c>
      <c r="AZ71" s="1370">
        <f>0.484-AY71</f>
        <v>0</v>
      </c>
      <c r="BA71" s="1370">
        <f>0.49-SUM(AY71:AZ71)</f>
        <v>6.0000000000000053E-3</v>
      </c>
      <c r="BB71" s="1370">
        <f>0.502-SUM(AY71:BA71)</f>
        <v>1.2000000000000011E-2</v>
      </c>
      <c r="BC71" s="1053">
        <f>SUM(AY71:BB71)</f>
        <v>0.502</v>
      </c>
      <c r="BD71" s="1152"/>
      <c r="BE71" s="1685">
        <v>0.57899999999999996</v>
      </c>
      <c r="BF71" s="1370">
        <f>0.584-BE71</f>
        <v>5.0000000000000044E-3</v>
      </c>
      <c r="BG71" s="1370">
        <f>0.594-SUM(BE71:BF71)</f>
        <v>1.0000000000000009E-2</v>
      </c>
      <c r="BH71" s="1370">
        <f>0.607-SUM(BE71:BG71)</f>
        <v>1.3000000000000012E-2</v>
      </c>
      <c r="BI71" s="1053">
        <f>SUM(BE71:BH71)</f>
        <v>0.60699999999999998</v>
      </c>
      <c r="BJ71" s="1152"/>
      <c r="BK71" s="1685">
        <v>0.44600000000000001</v>
      </c>
      <c r="BL71" s="1370">
        <f>0.451-BK71</f>
        <v>5.0000000000000044E-3</v>
      </c>
      <c r="BM71" s="1370">
        <f>0.46-SUM(BK71:BL71)</f>
        <v>9.000000000000008E-3</v>
      </c>
      <c r="BN71" s="1370">
        <f>0.464-SUM(BK71:BM71)</f>
        <v>4.0000000000000036E-3</v>
      </c>
      <c r="BO71" s="1053">
        <f>SUM(BK71:BN71)</f>
        <v>0.46400000000000002</v>
      </c>
      <c r="BP71" s="1152"/>
      <c r="BQ71" s="1088">
        <f>BK71*(1+BQ80)</f>
        <v>0.80280000000000007</v>
      </c>
      <c r="BR71" s="1088">
        <f>BL71*(1+BR80)</f>
        <v>9.000000000000008E-3</v>
      </c>
      <c r="BS71" s="1088">
        <f>BM71*(1+BS80)</f>
        <v>1.6200000000000016E-2</v>
      </c>
      <c r="BT71" s="1088">
        <f>BN71*(1+BT80)</f>
        <v>7.2000000000000067E-3</v>
      </c>
      <c r="BU71" s="1053">
        <f>SUM(BQ71:BT71)</f>
        <v>0.83520000000000005</v>
      </c>
      <c r="BV71" s="1152"/>
      <c r="BW71" s="1088">
        <f>BQ71*(1+BW80)</f>
        <v>1.4450400000000001</v>
      </c>
      <c r="BX71" s="1088">
        <f>BR71*(1+BX80)</f>
        <v>1.6200000000000016E-2</v>
      </c>
      <c r="BY71" s="1088">
        <f>BS71*(1+BY80)</f>
        <v>2.916000000000003E-2</v>
      </c>
      <c r="BZ71" s="1088">
        <f>BT71*(1+BZ80)</f>
        <v>1.2960000000000013E-2</v>
      </c>
      <c r="CA71" s="1053">
        <f>SUM(BW71:BZ71)</f>
        <v>1.5033600000000003</v>
      </c>
      <c r="CB71" s="1152"/>
      <c r="CC71" s="1088">
        <f>BW71*(1+CC80)</f>
        <v>2.6010720000000003</v>
      </c>
      <c r="CD71" s="1088">
        <f>BX71*(1+CD80)</f>
        <v>2.916000000000003E-2</v>
      </c>
      <c r="CE71" s="1088">
        <f>BY71*(1+CE80)</f>
        <v>5.2488000000000055E-2</v>
      </c>
      <c r="CF71" s="1088">
        <f>BZ71*(1+CF80)</f>
        <v>2.3328000000000026E-2</v>
      </c>
      <c r="CG71" s="1053">
        <f>SUM(CC71:CF71)</f>
        <v>2.7060480000000005</v>
      </c>
      <c r="CH71" s="1152"/>
      <c r="CI71" s="1088">
        <f>CC71*(1+CI80)</f>
        <v>4.681929600000001</v>
      </c>
      <c r="CJ71" s="1088">
        <f>CD71*(1+CJ80)</f>
        <v>5.2488000000000055E-2</v>
      </c>
      <c r="CK71" s="1088">
        <f>CE71*(1+CK80)</f>
        <v>9.4478400000000101E-2</v>
      </c>
      <c r="CL71" s="1088">
        <f>CF71*(1+CL80)</f>
        <v>4.1990400000000046E-2</v>
      </c>
      <c r="CM71" s="1053">
        <f>SUM(CI71:CL71)</f>
        <v>4.8708864000000016</v>
      </c>
      <c r="CN71" s="1026"/>
      <c r="CO71" s="1026"/>
      <c r="CP71" s="1026"/>
    </row>
    <row r="72" spans="1:103" ht="12.75" hidden="1" customHeight="1" outlineLevel="1">
      <c r="A72" s="1157" t="s">
        <v>375</v>
      </c>
      <c r="B72" s="1158"/>
      <c r="C72" s="1151">
        <v>-0.379</v>
      </c>
      <c r="D72" s="1151">
        <f>-0.782-C72</f>
        <v>-0.40300000000000002</v>
      </c>
      <c r="E72" s="1151">
        <f>-2.035-C72-D72</f>
        <v>-1.2530000000000001</v>
      </c>
      <c r="F72" s="1151">
        <f>-2.177-C72-D72-E72</f>
        <v>-0.1419999999999999</v>
      </c>
      <c r="G72" s="1159">
        <v>-2.177</v>
      </c>
      <c r="H72" s="1152"/>
      <c r="I72" s="1160">
        <v>-3.6999999999999998E-2</v>
      </c>
      <c r="J72" s="1160">
        <f>-0.965-I72</f>
        <v>-0.92799999999999994</v>
      </c>
      <c r="K72" s="1160">
        <f>-2.216-I72-J72</f>
        <v>-1.2510000000000003</v>
      </c>
      <c r="L72" s="1161">
        <f>-2.251-I72-J72-K72</f>
        <v>-3.4999999999999698E-2</v>
      </c>
      <c r="M72" s="1162">
        <v>-2.2509999999999999</v>
      </c>
      <c r="N72" s="1152"/>
      <c r="O72" s="1160">
        <v>-2.5999999999999999E-2</v>
      </c>
      <c r="P72" s="1160">
        <f>-0.19-O72</f>
        <v>-0.16400000000000001</v>
      </c>
      <c r="Q72" s="1160">
        <f>-0.212-O72-P72</f>
        <v>-2.1999999999999992E-2</v>
      </c>
      <c r="R72" s="1160">
        <f>-0.459-O72-P72-Q72</f>
        <v>-0.24700000000000003</v>
      </c>
      <c r="S72" s="1163">
        <v>-0.45900000000000002</v>
      </c>
      <c r="T72" s="1152"/>
      <c r="U72" s="1047">
        <v>-0.69799999999999995</v>
      </c>
      <c r="V72" s="1047">
        <f>-0.733-U72</f>
        <v>-3.5000000000000031E-2</v>
      </c>
      <c r="W72" s="1047">
        <f>-0.85-SUM(U72:V72)</f>
        <v>-0.11699999999999999</v>
      </c>
      <c r="X72" s="1047">
        <f>-1.543-SUM(U72:W72)</f>
        <v>-0.69299999999999995</v>
      </c>
      <c r="Y72" s="1164">
        <v>-1.5429999999999999</v>
      </c>
      <c r="Z72" s="1152"/>
      <c r="AA72" s="1047">
        <v>-0.86499999999999999</v>
      </c>
      <c r="AB72" s="1047">
        <f>-1.126-AA72</f>
        <v>-0.2609999999999999</v>
      </c>
      <c r="AC72" s="1047">
        <f>-1.133-SUM(AA72:AB72)</f>
        <v>-7.0000000000001172E-3</v>
      </c>
      <c r="AD72" s="1047">
        <f>-1.138-SUM(AB72:AC72)</f>
        <v>-0.86999999999999988</v>
      </c>
      <c r="AE72" s="1053">
        <f>SUM(AA72:AD72)</f>
        <v>-2.0030000000000001</v>
      </c>
      <c r="AF72" s="1152"/>
      <c r="AG72" s="1088">
        <f>-AG78*AG70</f>
        <v>-0.13209000000000004</v>
      </c>
      <c r="AH72" s="1047">
        <f>-1.126-AG72</f>
        <v>-0.99390999999999985</v>
      </c>
      <c r="AI72" s="1047">
        <f>-1.126-AH72</f>
        <v>-0.13209000000000004</v>
      </c>
      <c r="AJ72" s="1088">
        <f>-AJ78*AJ70</f>
        <v>-9.8671500000000023E-2</v>
      </c>
      <c r="AK72" s="1739">
        <f>SUM(AG72:AJ72)</f>
        <v>-1.3567615</v>
      </c>
      <c r="AL72" s="1152"/>
      <c r="AM72" s="1047">
        <v>-0.25</v>
      </c>
      <c r="AN72" s="1047">
        <f>-0.336-AM72</f>
        <v>-8.6000000000000021E-2</v>
      </c>
      <c r="AO72" s="1047">
        <f>-0.721-SUM(AM72:AN72)</f>
        <v>-0.38499999999999995</v>
      </c>
      <c r="AP72" s="1047">
        <f>-0.947-SUM(AM72:AO72)</f>
        <v>-0.22599999999999998</v>
      </c>
      <c r="AQ72" s="1053">
        <f>SUM(AM72:AP72)</f>
        <v>-0.94699999999999995</v>
      </c>
      <c r="AR72" s="1152"/>
      <c r="AS72" s="1047">
        <v>-0.31</v>
      </c>
      <c r="AT72" s="1370">
        <f>-0.814-AS72</f>
        <v>-0.504</v>
      </c>
      <c r="AU72" s="1370">
        <f>-0.889-SUM(AS72:AT72)</f>
        <v>-7.4999999999999956E-2</v>
      </c>
      <c r="AV72" s="1370">
        <f>-1.024-SUM(AS72:AU72)</f>
        <v>-0.13500000000000001</v>
      </c>
      <c r="AW72" s="1053">
        <f>SUM(AS72:AV72)</f>
        <v>-1.024</v>
      </c>
      <c r="AX72" s="1152"/>
      <c r="AY72" s="1685">
        <v>-0.57299999999999995</v>
      </c>
      <c r="AZ72" s="1370">
        <f>-0.728-AY72</f>
        <v>-0.15500000000000003</v>
      </c>
      <c r="BA72" s="1370">
        <f>-0.751-SUM(AY72:AZ72)</f>
        <v>-2.300000000000002E-2</v>
      </c>
      <c r="BB72" s="1370">
        <f>-0.849-SUM(AY72:BA72)</f>
        <v>-9.7999999999999976E-2</v>
      </c>
      <c r="BC72" s="1053">
        <f>SUM(AY72:BB72)</f>
        <v>-0.84899999999999998</v>
      </c>
      <c r="BD72" s="1152"/>
      <c r="BE72" s="1685">
        <v>-6.0999999999999999E-2</v>
      </c>
      <c r="BF72" s="1370">
        <f>-0.389-BE72</f>
        <v>-0.32800000000000001</v>
      </c>
      <c r="BG72" s="1370">
        <f>-0.512-SUM(BE72:BF72)</f>
        <v>-0.123</v>
      </c>
      <c r="BH72" s="1370">
        <f>-0.576-SUM(BE72:BG72)</f>
        <v>-6.3999999999999946E-2</v>
      </c>
      <c r="BI72" s="1053">
        <f>SUM(BE72:BH72)</f>
        <v>-0.57599999999999996</v>
      </c>
      <c r="BJ72" s="1152"/>
      <c r="BK72" s="1685">
        <v>-0.14000000000000001</v>
      </c>
      <c r="BL72" s="1370">
        <f>-0.432-BK72</f>
        <v>-0.29199999999999998</v>
      </c>
      <c r="BM72" s="1370">
        <f>-0.454-SUM(BK72:BL72)</f>
        <v>-2.200000000000002E-2</v>
      </c>
      <c r="BN72" s="1370">
        <f>-0.578-SUM(BK72:BM72)</f>
        <v>-0.12399999999999994</v>
      </c>
      <c r="BO72" s="1053">
        <f>SUM(BK72:BN72)</f>
        <v>-0.57799999999999996</v>
      </c>
      <c r="BP72" s="1152"/>
      <c r="BQ72" s="1088">
        <f>-BQ78*BQ70</f>
        <v>-0.43079999999999985</v>
      </c>
      <c r="BR72" s="1088">
        <f>-BR78*BR70</f>
        <v>-0.49658399999999986</v>
      </c>
      <c r="BS72" s="1088">
        <f>-BS78*BS70</f>
        <v>-0.38913551999999985</v>
      </c>
      <c r="BT72" s="1088">
        <f>-BT78*BT70</f>
        <v>-0.30676570559999994</v>
      </c>
      <c r="BU72" s="1053">
        <f>SUM(BQ72:BT72)</f>
        <v>-1.6232852255999994</v>
      </c>
      <c r="BV72" s="1152"/>
      <c r="BW72" s="1088">
        <f>-BW78*BW70</f>
        <v>-0.24071725036799993</v>
      </c>
      <c r="BX72" s="1088">
        <f>-BX78*BX70</f>
        <v>-0.47676745528704001</v>
      </c>
      <c r="BY72" s="1088">
        <f>-BY78*BY70</f>
        <v>-0.37511861512389122</v>
      </c>
      <c r="BZ72" s="1088">
        <f>-BZ78*BZ70</f>
        <v>-0.29842451979663515</v>
      </c>
      <c r="CA72" s="1053">
        <f>SUM(BW72:BZ72)</f>
        <v>-1.3910278405755663</v>
      </c>
      <c r="CB72" s="1152"/>
      <c r="CC72" s="1088">
        <f>-CC78*CC70</f>
        <v>-0.23536312544137541</v>
      </c>
      <c r="CD72" s="1088">
        <f>-CD78*CD70</f>
        <v>-0.70379763784427285</v>
      </c>
      <c r="CE72" s="1088">
        <f>-CE78*CE70</f>
        <v>-0.55479415751853289</v>
      </c>
      <c r="CF72" s="1088">
        <f>-CF78*CF70</f>
        <v>-0.44323704286445553</v>
      </c>
      <c r="CG72" s="1053">
        <f>SUM(CC72:CF72)</f>
        <v>-1.9371919636686368</v>
      </c>
      <c r="CH72" s="1152"/>
      <c r="CI72" s="1088">
        <f>-CI78*CI70</f>
        <v>-0.35039049343427542</v>
      </c>
      <c r="CJ72" s="1088">
        <f>-CJ78*CJ70</f>
        <v>-1.2096905048787352</v>
      </c>
      <c r="CK72" s="1088">
        <f>-CK78*CK70</f>
        <v>-0.95405619380541351</v>
      </c>
      <c r="CL72" s="1088">
        <f>-CL78*CL70</f>
        <v>-0.76305951116822246</v>
      </c>
      <c r="CM72" s="1053">
        <f>SUM(CI72:CL72)</f>
        <v>-3.2771967032866467</v>
      </c>
      <c r="CN72" s="1026"/>
      <c r="CO72" s="1026"/>
      <c r="CP72" s="1026"/>
    </row>
    <row r="73" spans="1:103" ht="12.75" hidden="1" customHeight="1" outlineLevel="1">
      <c r="A73" s="1165" t="s">
        <v>376</v>
      </c>
      <c r="B73" s="1166"/>
      <c r="C73" s="1167">
        <f>-0.222-0.068</f>
        <v>-0.29000000000000004</v>
      </c>
      <c r="D73" s="1167">
        <f>-0.405-0.229-C73</f>
        <v>-0.34399999999999997</v>
      </c>
      <c r="E73" s="1167">
        <f>-0.525-0.28-C73-D73</f>
        <v>-0.17100000000000004</v>
      </c>
      <c r="F73" s="1167">
        <f>-0.911-C73-D73-E73</f>
        <v>-0.10599999999999998</v>
      </c>
      <c r="G73" s="1168">
        <v>-0.91100000000000003</v>
      </c>
      <c r="H73" s="1169"/>
      <c r="I73" s="1170">
        <f>-0.307-0.066</f>
        <v>-0.373</v>
      </c>
      <c r="J73" s="1170">
        <f>-0.706-0.337-I73</f>
        <v>-0.66999999999999993</v>
      </c>
      <c r="K73" s="1170">
        <f>-0.726-0.39-I73-J73</f>
        <v>-7.3000000000000176E-2</v>
      </c>
      <c r="L73" s="1171">
        <f>-0.794-0.453-I73-J73-K73</f>
        <v>-0.13100000000000001</v>
      </c>
      <c r="M73" s="1172">
        <f>-0.794-0.453</f>
        <v>-1.2470000000000001</v>
      </c>
      <c r="N73" s="1169"/>
      <c r="O73" s="1170">
        <f>-0.111-0.026</f>
        <v>-0.13700000000000001</v>
      </c>
      <c r="P73" s="1170">
        <f>-0.165-0.111-O73</f>
        <v>-0.13900000000000001</v>
      </c>
      <c r="Q73" s="1170">
        <f>-2.552-0.175-O73-P73</f>
        <v>-2.4509999999999996</v>
      </c>
      <c r="R73" s="1170">
        <f>-2.601-0.203-O73-P73-Q73</f>
        <v>-7.6999999999999957E-2</v>
      </c>
      <c r="S73" s="1173">
        <f>-2.601-0.203</f>
        <v>-2.8039999999999998</v>
      </c>
      <c r="T73" s="1169"/>
      <c r="U73" s="1174">
        <f>-0.028-0.1</f>
        <v>-0.128</v>
      </c>
      <c r="V73" s="1174">
        <f>-0.075-0.178-U73</f>
        <v>-0.125</v>
      </c>
      <c r="W73" s="1174">
        <f>-0.198-0.228-SUM(U73:V73)</f>
        <v>-0.17300000000000004</v>
      </c>
      <c r="X73" s="1174">
        <f>-0.267-0.406-SUM(U73:W73)</f>
        <v>-0.247</v>
      </c>
      <c r="Y73" s="1175">
        <f>-0.267-0.406</f>
        <v>-0.67300000000000004</v>
      </c>
      <c r="Z73" s="1169"/>
      <c r="AA73" s="1174">
        <f>-0.028-0.048</f>
        <v>-7.5999999999999998E-2</v>
      </c>
      <c r="AB73" s="1174">
        <f>-1.179-0.097-AA73</f>
        <v>-1.2</v>
      </c>
      <c r="AC73" s="1174">
        <f>-1.219-0.107-SUM(AA73:AB73)</f>
        <v>-5.0000000000000044E-2</v>
      </c>
      <c r="AD73" s="1174">
        <f>-1.239-0.109-SUM(AB73:AC73)</f>
        <v>-9.8000000000000087E-2</v>
      </c>
      <c r="AE73" s="1176">
        <f>SUM(AA73:AD73)</f>
        <v>-1.4240000000000002</v>
      </c>
      <c r="AF73" s="1169"/>
      <c r="AG73" s="1177">
        <f>-AG79*AG70</f>
        <v>-8.8060000000000027E-2</v>
      </c>
      <c r="AH73" s="1174">
        <f>-1.179-0.097-AG73</f>
        <v>-1.18794</v>
      </c>
      <c r="AI73" s="1174">
        <f>-1.179-0.097-AH73</f>
        <v>-8.8060000000000027E-2</v>
      </c>
      <c r="AJ73" s="1177">
        <f>AK73-SUM(AG73:AI73)</f>
        <v>0.59862149999999903</v>
      </c>
      <c r="AK73" s="1740">
        <f>AK74-SUM(AK70:AK72)</f>
        <v>-0.76543850000000102</v>
      </c>
      <c r="AL73" s="1169"/>
      <c r="AM73" s="1174">
        <v>-7.0000000000000001E-3</v>
      </c>
      <c r="AN73" s="1174">
        <f>-0.007+-0.299-AM73</f>
        <v>-0.29899999999999999</v>
      </c>
      <c r="AO73" s="1174">
        <f>-0.007-0.325-SUM(AM73:AN73)</f>
        <v>-2.6000000000000023E-2</v>
      </c>
      <c r="AP73" s="1174">
        <f>-0.008-0.335-SUM(AM73:AO73)</f>
        <v>-1.100000000000001E-2</v>
      </c>
      <c r="AQ73" s="1176">
        <f>SUM(AM73:AP73)</f>
        <v>-0.34300000000000003</v>
      </c>
      <c r="AR73" s="1169"/>
      <c r="AS73" s="1174">
        <v>-4.0000000000000001E-3</v>
      </c>
      <c r="AT73" s="1371">
        <f>-0.004-0.044-AS73</f>
        <v>-4.3999999999999997E-2</v>
      </c>
      <c r="AU73" s="1371">
        <f>-0.004-0.108-SUM(AS73:AT73)</f>
        <v>-6.4000000000000001E-2</v>
      </c>
      <c r="AV73" s="1371">
        <f>-0.004-0.158-SUM(AS73:AU73)</f>
        <v>-0.05</v>
      </c>
      <c r="AW73" s="1176">
        <f>SUM(AS73:AV73)</f>
        <v>-0.16200000000000001</v>
      </c>
      <c r="AX73" s="1169"/>
      <c r="AY73" s="1686">
        <f>-0.003-0.051</f>
        <v>-5.3999999999999999E-2</v>
      </c>
      <c r="AZ73" s="1371">
        <f>-0.003-0.078-AY73</f>
        <v>-2.7000000000000003E-2</v>
      </c>
      <c r="BA73" s="1371">
        <f>-0.003-0.083-SUM(AY73:AZ73)</f>
        <v>-5.0000000000000044E-3</v>
      </c>
      <c r="BB73" s="1371">
        <f>-0.004-0.105-SUM(AY73:BA73)</f>
        <v>-2.2999999999999993E-2</v>
      </c>
      <c r="BC73" s="1176">
        <f>SUM(AY73:BB73)</f>
        <v>-0.109</v>
      </c>
      <c r="BD73" s="1169"/>
      <c r="BE73" s="1686">
        <f>-0.001-0.001</f>
        <v>-2E-3</v>
      </c>
      <c r="BF73" s="1371">
        <f>-0.001-0.023-BE73</f>
        <v>-2.1999999999999999E-2</v>
      </c>
      <c r="BG73" s="1371">
        <f>-0.001-0.093-SUM(BE73:BF73)</f>
        <v>-7.0000000000000007E-2</v>
      </c>
      <c r="BH73" s="1371">
        <f>-0.001-0.115-SUM(BE73:BG73)</f>
        <v>-2.2000000000000006E-2</v>
      </c>
      <c r="BI73" s="1176">
        <f>SUM(BE73:BH73)</f>
        <v>-0.11600000000000001</v>
      </c>
      <c r="BJ73" s="1169"/>
      <c r="BK73" s="1686">
        <v>0</v>
      </c>
      <c r="BL73" s="1371">
        <f>-0.006-BK73</f>
        <v>-6.0000000000000001E-3</v>
      </c>
      <c r="BM73" s="1371">
        <f>-0.011-SUM(BK73:BL73)</f>
        <v>-4.9999999999999992E-3</v>
      </c>
      <c r="BN73" s="1371">
        <f>-0.019-SUM(BK73:BM73)</f>
        <v>-8.0000000000000002E-3</v>
      </c>
      <c r="BO73" s="1176">
        <f>SUM(BK73:BN73)</f>
        <v>-1.9E-2</v>
      </c>
      <c r="BP73" s="1169"/>
      <c r="BQ73" s="1177">
        <f>-BQ79*BQ70</f>
        <v>-4.3079999999999979E-2</v>
      </c>
      <c r="BR73" s="1177">
        <f>-BR79*BR70</f>
        <v>-4.9658399999999984E-2</v>
      </c>
      <c r="BS73" s="1177">
        <f>-BS79*BS70</f>
        <v>-3.8913551999999983E-2</v>
      </c>
      <c r="BT73" s="1177">
        <f>-BT79*BT70</f>
        <v>-3.0676570559999991E-2</v>
      </c>
      <c r="BU73" s="1176">
        <f>SUM(BQ73:BT73)</f>
        <v>-0.16232852255999997</v>
      </c>
      <c r="BV73" s="1169"/>
      <c r="BW73" s="1177">
        <f>-BW79*BW70</f>
        <v>-2.4071725036799992E-2</v>
      </c>
      <c r="BX73" s="1177">
        <f>-BX79*BX70</f>
        <v>-4.7676745528703997E-2</v>
      </c>
      <c r="BY73" s="1177">
        <f>-BY79*BY70</f>
        <v>-3.7511861512389118E-2</v>
      </c>
      <c r="BZ73" s="1177">
        <f>-BZ79*BZ70</f>
        <v>-2.9842451979663513E-2</v>
      </c>
      <c r="CA73" s="1176">
        <f>SUM(BW73:BZ73)</f>
        <v>-0.13910278405755661</v>
      </c>
      <c r="CB73" s="1169"/>
      <c r="CC73" s="1177">
        <f>-CC79*CC70</f>
        <v>-2.3536312544137541E-2</v>
      </c>
      <c r="CD73" s="1177">
        <f>-CD79*CD70</f>
        <v>-7.0379763784427285E-2</v>
      </c>
      <c r="CE73" s="1177">
        <f>-CE79*CE70</f>
        <v>-5.5479415751853285E-2</v>
      </c>
      <c r="CF73" s="1177">
        <f>-CF79*CF70</f>
        <v>-4.4323704286445553E-2</v>
      </c>
      <c r="CG73" s="1176">
        <f>SUM(CC73:CF73)</f>
        <v>-0.19371919636686366</v>
      </c>
      <c r="CH73" s="1169"/>
      <c r="CI73" s="1177">
        <f>-CI79*CI70</f>
        <v>-3.5039049343427546E-2</v>
      </c>
      <c r="CJ73" s="1177">
        <f>-CJ79*CJ70</f>
        <v>-0.12096905048787351</v>
      </c>
      <c r="CK73" s="1177">
        <f>-CK79*CK70</f>
        <v>-9.5405619380541345E-2</v>
      </c>
      <c r="CL73" s="1177">
        <f>-CL79*CL70</f>
        <v>-7.6305951116822243E-2</v>
      </c>
      <c r="CM73" s="1176">
        <f>SUM(CI73:CL73)</f>
        <v>-0.32771967032866467</v>
      </c>
      <c r="CN73" s="1026"/>
      <c r="CO73" s="1026"/>
      <c r="CP73" s="1026"/>
    </row>
    <row r="74" spans="1:103" ht="12.75" hidden="1" customHeight="1" outlineLevel="1">
      <c r="A74" s="1178" t="s">
        <v>377</v>
      </c>
      <c r="B74" s="1179"/>
      <c r="C74" s="1180">
        <f>SUM(C70:C73)</f>
        <v>13.416999999999998</v>
      </c>
      <c r="D74" s="1180">
        <f>SUM(D70:D73)</f>
        <v>12.760999999999997</v>
      </c>
      <c r="E74" s="1180">
        <f>SUM(E70:E73)</f>
        <v>11.374999999999998</v>
      </c>
      <c r="F74" s="1180">
        <f>SUM(F70:F73)</f>
        <v>11.245999999999999</v>
      </c>
      <c r="G74" s="1181">
        <f t="shared" ref="G74:AJ74" si="100">SUM(G70:G73)</f>
        <v>11.246</v>
      </c>
      <c r="H74" s="1180"/>
      <c r="I74" s="1182">
        <f t="shared" si="100"/>
        <v>12.366</v>
      </c>
      <c r="J74" s="1182">
        <f t="shared" si="100"/>
        <v>10.863000000000001</v>
      </c>
      <c r="K74" s="1182">
        <f t="shared" si="100"/>
        <v>9.5760000000000005</v>
      </c>
      <c r="L74" s="1183">
        <f t="shared" si="100"/>
        <v>9.4239999999999995</v>
      </c>
      <c r="M74" s="1184">
        <f t="shared" si="100"/>
        <v>9.4240000000000013</v>
      </c>
      <c r="N74" s="1180"/>
      <c r="O74" s="1182">
        <f t="shared" si="100"/>
        <v>11.345000000000001</v>
      </c>
      <c r="P74" s="1182">
        <f t="shared" si="100"/>
        <v>11.189000000000002</v>
      </c>
      <c r="Q74" s="1182">
        <f t="shared" si="100"/>
        <v>8.735000000000003</v>
      </c>
      <c r="R74" s="1182">
        <f t="shared" si="100"/>
        <v>8.4150000000000027</v>
      </c>
      <c r="S74" s="1185">
        <f t="shared" si="100"/>
        <v>8.4150000000000009</v>
      </c>
      <c r="T74" s="1180"/>
      <c r="U74" s="1183">
        <f t="shared" si="100"/>
        <v>8.2830000000000013</v>
      </c>
      <c r="V74" s="1183">
        <f t="shared" si="100"/>
        <v>8.1890000000000018</v>
      </c>
      <c r="W74" s="1183">
        <f t="shared" si="100"/>
        <v>7.923</v>
      </c>
      <c r="X74" s="1183">
        <f t="shared" si="100"/>
        <v>6.9830000000000005</v>
      </c>
      <c r="Y74" s="1185">
        <f t="shared" si="100"/>
        <v>6.9830000000000014</v>
      </c>
      <c r="Z74" s="1180"/>
      <c r="AA74" s="1183">
        <f t="shared" si="100"/>
        <v>6.5610000000000017</v>
      </c>
      <c r="AB74" s="1183">
        <f t="shared" si="100"/>
        <v>5.1550000000000011</v>
      </c>
      <c r="AC74" s="1183">
        <f t="shared" si="100"/>
        <v>5.1060000000000008</v>
      </c>
      <c r="AD74" s="1183">
        <f t="shared" si="100"/>
        <v>4.4030000000000005</v>
      </c>
      <c r="AE74" s="1185">
        <f t="shared" si="100"/>
        <v>4.4030000000000014</v>
      </c>
      <c r="AF74" s="1180"/>
      <c r="AG74" s="1183">
        <f t="shared" si="100"/>
        <v>5.1170500000000008</v>
      </c>
      <c r="AH74" s="1183">
        <f t="shared" si="100"/>
        <v>2.5750000000000011</v>
      </c>
      <c r="AI74" s="1183">
        <f t="shared" si="100"/>
        <v>3.2890500000000009</v>
      </c>
      <c r="AJ74" s="1183">
        <f t="shared" si="100"/>
        <v>4.266</v>
      </c>
      <c r="AK74" s="1738">
        <v>4.266</v>
      </c>
      <c r="AL74" s="1180"/>
      <c r="AM74" s="1183">
        <f>SUM(AM70:AM73)</f>
        <v>4.4880000000000004</v>
      </c>
      <c r="AN74" s="1183">
        <f>SUM(AN70:AN73)</f>
        <v>4.1419999999999995</v>
      </c>
      <c r="AO74" s="1183">
        <f>SUM(AO70:AO73)</f>
        <v>3.7309999999999999</v>
      </c>
      <c r="AP74" s="1183">
        <f>SUM(AP70:AP73)</f>
        <v>3.4939999999999998</v>
      </c>
      <c r="AQ74" s="1185">
        <f>SUM(AQ70:AQ73)</f>
        <v>3.4939999999999998</v>
      </c>
      <c r="AR74" s="1180"/>
      <c r="AS74" s="1183">
        <f>SUM(AS70:AS73)</f>
        <v>3.6389999999999998</v>
      </c>
      <c r="AT74" s="1183">
        <f>SUM(AT70:AT73)</f>
        <v>3.1429999999999998</v>
      </c>
      <c r="AU74" s="1183">
        <f>SUM(AU70:AU73)</f>
        <v>3.0129999999999999</v>
      </c>
      <c r="AV74" s="1582">
        <f>SUM(AV70:AV73)</f>
        <v>2.8280000000000003</v>
      </c>
      <c r="AW74" s="1185">
        <f>SUM(AW70:AW73)</f>
        <v>2.8279999999999994</v>
      </c>
      <c r="AX74" s="1180"/>
      <c r="AY74" s="1183">
        <f>SUM(AY70:AY73)</f>
        <v>2.6849999999999996</v>
      </c>
      <c r="AZ74" s="1183">
        <f>SUM(AZ70:AZ73)</f>
        <v>2.5029999999999992</v>
      </c>
      <c r="BA74" s="1183">
        <f>SUM(BA70:BA73)</f>
        <v>2.4809999999999994</v>
      </c>
      <c r="BB74" s="1183">
        <f>SUM(BB70:BB73)</f>
        <v>2.3719999999999994</v>
      </c>
      <c r="BC74" s="1933">
        <f>SUM(BC70:BC73)</f>
        <v>2.371999999999999</v>
      </c>
      <c r="BD74" s="1180"/>
      <c r="BE74" s="1183">
        <f>SUM(BE70:BE73)</f>
        <v>2.887999999999999</v>
      </c>
      <c r="BF74" s="1183">
        <f>SUM(BF70:BF73)</f>
        <v>2.5429999999999993</v>
      </c>
      <c r="BG74" s="1183">
        <f>SUM(BG70:BG73)</f>
        <v>2.359999999999999</v>
      </c>
      <c r="BH74" s="1183">
        <f>SUM(BH70:BH73)</f>
        <v>2.286999999999999</v>
      </c>
      <c r="BI74" s="1933">
        <f>SUM(BI70:BI73)</f>
        <v>2.286999999999999</v>
      </c>
      <c r="BJ74" s="1180"/>
      <c r="BK74" s="1183">
        <f>SUM(BK70:BK73)</f>
        <v>2.5929999999999991</v>
      </c>
      <c r="BL74" s="1183">
        <f>SUM(BL70:BL73)</f>
        <v>2.2999999999999994</v>
      </c>
      <c r="BM74" s="1183">
        <f>SUM(BM70:BM73)</f>
        <v>2.2819999999999991</v>
      </c>
      <c r="BN74" s="1183">
        <f>SUM(BN70:BN73)</f>
        <v>2.153999999999999</v>
      </c>
      <c r="BO74" s="1185">
        <f>SUM(BO70:BO73)</f>
        <v>2.153999999999999</v>
      </c>
      <c r="BP74" s="1180"/>
      <c r="BQ74" s="1183">
        <f>SUM(BQ70:BQ73)</f>
        <v>2.4829199999999991</v>
      </c>
      <c r="BR74" s="1183">
        <f>SUM(BR70:BR73)</f>
        <v>1.9456775999999991</v>
      </c>
      <c r="BS74" s="1183">
        <f>SUM(BS70:BS73)</f>
        <v>1.5338285279999995</v>
      </c>
      <c r="BT74" s="1183">
        <f>SUM(BT70:BT73)</f>
        <v>1.2035862518399996</v>
      </c>
      <c r="BU74" s="1185">
        <f>SUM(BU70:BU73)</f>
        <v>1.2035862518399996</v>
      </c>
      <c r="BV74" s="1180"/>
      <c r="BW74" s="1183">
        <f>SUM(BW70:BW73)</f>
        <v>2.3838372764351998</v>
      </c>
      <c r="BX74" s="1183">
        <f>SUM(BX70:BX73)</f>
        <v>1.8755930756194559</v>
      </c>
      <c r="BY74" s="1183">
        <f>SUM(BY70:BY73)</f>
        <v>1.4921225989831757</v>
      </c>
      <c r="BZ74" s="1183">
        <f>SUM(BZ70:BZ73)</f>
        <v>1.176815627206877</v>
      </c>
      <c r="CA74" s="1185">
        <f>SUM(CA70:CA73)</f>
        <v>1.176815627206877</v>
      </c>
      <c r="CB74" s="1180"/>
      <c r="CC74" s="1183">
        <f>SUM(CC70:CC73)</f>
        <v>3.5189881892213641</v>
      </c>
      <c r="CD74" s="1183">
        <f>SUM(CD70:CD73)</f>
        <v>2.7739707875926642</v>
      </c>
      <c r="CE74" s="1183">
        <f>SUM(CE70:CE73)</f>
        <v>2.2161852143222776</v>
      </c>
      <c r="CF74" s="1183">
        <f>SUM(CF70:CF73)</f>
        <v>1.7519524671713769</v>
      </c>
      <c r="CG74" s="1185">
        <f>SUM(CG70:CG73)</f>
        <v>1.7519524671713771</v>
      </c>
      <c r="CH74" s="1180"/>
      <c r="CI74" s="1183">
        <f>SUM(CI70:CI73)</f>
        <v>6.0484525243936753</v>
      </c>
      <c r="CJ74" s="1183">
        <f>SUM(CJ70:CJ73)</f>
        <v>4.7702809690270671</v>
      </c>
      <c r="CK74" s="1183">
        <f>SUM(CK70:CK73)</f>
        <v>3.815297555841112</v>
      </c>
      <c r="CL74" s="1183">
        <f>SUM(CL70:CL73)</f>
        <v>3.0179224935560671</v>
      </c>
      <c r="CM74" s="1185">
        <f>SUM(CM70:CM73)</f>
        <v>3.0179224935560676</v>
      </c>
      <c r="CN74" s="1041"/>
      <c r="CO74" s="1041"/>
      <c r="CP74" s="1041"/>
    </row>
    <row r="75" spans="1:103" s="867" customFormat="1" ht="12.75" hidden="1" customHeight="1" outlineLevel="1">
      <c r="A75" s="1122" t="s">
        <v>378</v>
      </c>
      <c r="B75" s="1186"/>
      <c r="C75" s="1186">
        <v>23.27</v>
      </c>
      <c r="D75" s="1186">
        <v>23.36</v>
      </c>
      <c r="E75" s="1186">
        <v>24.26</v>
      </c>
      <c r="F75" s="1186">
        <v>24.41</v>
      </c>
      <c r="G75" s="1187">
        <v>24.41</v>
      </c>
      <c r="H75" s="1186"/>
      <c r="I75" s="1188">
        <v>24.02</v>
      </c>
      <c r="J75" s="1188">
        <v>24.22</v>
      </c>
      <c r="K75" s="1188">
        <v>24.77</v>
      </c>
      <c r="L75" s="1189">
        <v>24.81</v>
      </c>
      <c r="M75" s="1190">
        <v>24.81</v>
      </c>
      <c r="N75" s="1186"/>
      <c r="O75" s="1188">
        <v>22.61</v>
      </c>
      <c r="P75" s="1188">
        <v>22.75</v>
      </c>
      <c r="Q75" s="1188">
        <v>21.13</v>
      </c>
      <c r="R75" s="1188">
        <v>21.27</v>
      </c>
      <c r="S75" s="1191">
        <v>21.27</v>
      </c>
      <c r="T75" s="1186"/>
      <c r="U75" s="1192">
        <v>21.61</v>
      </c>
      <c r="V75" s="1192">
        <v>21.64</v>
      </c>
      <c r="W75" s="1192">
        <v>21.67</v>
      </c>
      <c r="X75" s="1192">
        <v>21.86</v>
      </c>
      <c r="Y75" s="1191">
        <v>21.86</v>
      </c>
      <c r="Z75" s="1186"/>
      <c r="AA75" s="1192">
        <v>22.41</v>
      </c>
      <c r="AB75" s="1192">
        <v>20.67</v>
      </c>
      <c r="AC75" s="1193">
        <v>20.67</v>
      </c>
      <c r="AD75" s="1193">
        <v>20.86</v>
      </c>
      <c r="AE75" s="1194">
        <f>Y75*(1+10%)</f>
        <v>24.046000000000003</v>
      </c>
      <c r="AF75" s="1186"/>
      <c r="AG75" s="1124">
        <f>AA75*(1+10%)</f>
        <v>24.651000000000003</v>
      </c>
      <c r="AH75" s="1192">
        <v>20.67</v>
      </c>
      <c r="AI75" s="1192">
        <v>20.67</v>
      </c>
      <c r="AJ75" s="1124">
        <f>AD75*(1+10%)</f>
        <v>22.946000000000002</v>
      </c>
      <c r="AK75" s="1194">
        <f>AE75*(1+10%)</f>
        <v>26.450600000000005</v>
      </c>
      <c r="AL75" s="1186"/>
      <c r="AM75" s="1192">
        <v>22.94</v>
      </c>
      <c r="AN75" s="1192">
        <v>23.08</v>
      </c>
      <c r="AO75" s="1192">
        <v>23.29</v>
      </c>
      <c r="AP75" s="1189">
        <v>21.45</v>
      </c>
      <c r="AQ75" s="1194">
        <f>AK75*(1+10%)</f>
        <v>29.095660000000009</v>
      </c>
      <c r="AR75" s="1186"/>
      <c r="AS75" s="1192">
        <v>25.75</v>
      </c>
      <c r="AT75" s="1372">
        <v>23.89</v>
      </c>
      <c r="AU75" s="1372">
        <v>23.55</v>
      </c>
      <c r="AV75" s="1372">
        <v>23.89</v>
      </c>
      <c r="AW75" s="1583">
        <f>AQ75*(1+10%)</f>
        <v>32.005226000000015</v>
      </c>
      <c r="AX75" s="1186"/>
      <c r="AY75" s="1687">
        <v>25.92</v>
      </c>
      <c r="AZ75" s="1372">
        <v>26.33</v>
      </c>
      <c r="BA75" s="1372">
        <v>26.48</v>
      </c>
      <c r="BB75" s="1372">
        <v>27.01</v>
      </c>
      <c r="BC75" s="1194">
        <f>AW75*(1+10%)</f>
        <v>35.205748600000021</v>
      </c>
      <c r="BD75" s="1186"/>
      <c r="BE75" s="1687">
        <v>20.37</v>
      </c>
      <c r="BF75" s="1372">
        <v>23.04</v>
      </c>
      <c r="BG75" s="1372">
        <v>23.58</v>
      </c>
      <c r="BH75" s="1372">
        <v>25.04</v>
      </c>
      <c r="BI75" s="1954">
        <v>25.04</v>
      </c>
      <c r="BJ75" s="1186"/>
      <c r="BK75" s="1687">
        <v>33.090000000000003</v>
      </c>
      <c r="BL75" s="1372">
        <v>30.64</v>
      </c>
      <c r="BM75" s="1372">
        <v>30.88</v>
      </c>
      <c r="BN75" s="1372">
        <v>31.16</v>
      </c>
      <c r="BO75" s="1954">
        <v>31.16</v>
      </c>
      <c r="BP75" s="1186"/>
      <c r="BQ75" s="1124">
        <f>BK75*(1+10%)</f>
        <v>36.399000000000008</v>
      </c>
      <c r="BR75" s="1124">
        <f>BL75*(1+10%)</f>
        <v>33.704000000000001</v>
      </c>
      <c r="BS75" s="1124">
        <f>BM75*(1+10%)</f>
        <v>33.968000000000004</v>
      </c>
      <c r="BT75" s="1124">
        <f>BN75*(1+10%)</f>
        <v>34.276000000000003</v>
      </c>
      <c r="BU75" s="1194">
        <f>BO75*(1+10%)</f>
        <v>34.276000000000003</v>
      </c>
      <c r="BV75" s="1186"/>
      <c r="BW75" s="1124">
        <f>BQ75*(1+10%)</f>
        <v>40.038900000000012</v>
      </c>
      <c r="BX75" s="1124">
        <f>BR75*(1+10%)</f>
        <v>37.074400000000004</v>
      </c>
      <c r="BY75" s="1124">
        <f>BS75*(1+10%)</f>
        <v>37.36480000000001</v>
      </c>
      <c r="BZ75" s="1124">
        <f>BT75*(1+10%)</f>
        <v>37.703600000000009</v>
      </c>
      <c r="CA75" s="1194">
        <f>BU75*(1+10%)</f>
        <v>37.703600000000009</v>
      </c>
      <c r="CB75" s="1186"/>
      <c r="CC75" s="1124">
        <f>BW75*(1+10%)</f>
        <v>44.042790000000018</v>
      </c>
      <c r="CD75" s="1124">
        <f>BX75*(1+10%)</f>
        <v>40.78184000000001</v>
      </c>
      <c r="CE75" s="1124">
        <f>BY75*(1+10%)</f>
        <v>41.101280000000017</v>
      </c>
      <c r="CF75" s="1124">
        <f>BZ75*(1+10%)</f>
        <v>41.473960000000012</v>
      </c>
      <c r="CG75" s="1194">
        <f>CA75*(1+10%)</f>
        <v>41.473960000000012</v>
      </c>
      <c r="CH75" s="1186"/>
      <c r="CI75" s="1124">
        <f>CC75*(1+10%)</f>
        <v>48.44706900000002</v>
      </c>
      <c r="CJ75" s="1124">
        <f>CD75*(1+10%)</f>
        <v>44.860024000000017</v>
      </c>
      <c r="CK75" s="1124">
        <f>CE75*(1+10%)</f>
        <v>45.21140800000002</v>
      </c>
      <c r="CL75" s="1124">
        <f>CF75*(1+10%)</f>
        <v>45.62135600000002</v>
      </c>
      <c r="CM75" s="1194">
        <f>CG75*(1+10%)</f>
        <v>45.62135600000002</v>
      </c>
      <c r="CN75" s="1127"/>
      <c r="CO75" s="1127"/>
      <c r="CP75" s="1127"/>
      <c r="CQ75"/>
      <c r="CR75"/>
      <c r="CS75"/>
      <c r="CT75"/>
      <c r="CU75"/>
      <c r="CV75"/>
    </row>
    <row r="76" spans="1:103" ht="12.75" hidden="1" customHeight="1" outlineLevel="1">
      <c r="A76" s="1195" t="s">
        <v>379</v>
      </c>
      <c r="B76" s="1196"/>
      <c r="C76" s="1196"/>
      <c r="D76" s="1196"/>
      <c r="E76" s="1196"/>
      <c r="F76" s="1196"/>
      <c r="G76" s="1195"/>
      <c r="H76" s="1196"/>
      <c r="I76" s="1084"/>
      <c r="J76" s="1084"/>
      <c r="K76" s="1084"/>
      <c r="L76" s="1197"/>
      <c r="M76" s="1198"/>
      <c r="N76" s="1196"/>
      <c r="O76" s="1084"/>
      <c r="P76" s="1084"/>
      <c r="Q76" s="1084"/>
      <c r="R76" s="1084"/>
      <c r="S76" s="1199"/>
      <c r="T76" s="1196"/>
      <c r="U76" s="1197"/>
      <c r="V76" s="1197"/>
      <c r="W76" s="1197"/>
      <c r="X76" s="1197"/>
      <c r="Y76" s="1200"/>
      <c r="Z76" s="1196"/>
      <c r="AA76" s="1197"/>
      <c r="AB76" s="1197"/>
      <c r="AC76" s="1197"/>
      <c r="AD76" s="1197"/>
      <c r="AE76" s="1200"/>
      <c r="AF76" s="1196"/>
      <c r="AG76" s="1197"/>
      <c r="AH76" s="1197"/>
      <c r="AI76" s="1197"/>
      <c r="AJ76" s="1197"/>
      <c r="AK76" s="1200"/>
      <c r="AL76" s="1196"/>
      <c r="AM76" s="1197"/>
      <c r="AN76" s="1197"/>
      <c r="AO76" s="1197"/>
      <c r="AP76" s="1197"/>
      <c r="AQ76" s="1200"/>
      <c r="AR76" s="1196"/>
      <c r="AS76" s="1197"/>
      <c r="AT76" s="1197"/>
      <c r="AU76" s="1197"/>
      <c r="AV76" s="1584"/>
      <c r="AW76" s="145"/>
      <c r="AX76" s="1196"/>
      <c r="AY76" s="1197"/>
      <c r="AZ76" s="1197"/>
      <c r="BA76" s="1197"/>
      <c r="BB76" s="1197"/>
      <c r="BC76" s="1200"/>
      <c r="BD76" s="1196"/>
      <c r="BE76" s="1197"/>
      <c r="BF76" s="1197"/>
      <c r="BG76" s="1197"/>
      <c r="BH76" s="1197"/>
      <c r="BI76" s="1200"/>
      <c r="BJ76" s="1196"/>
      <c r="BK76" s="1197"/>
      <c r="BL76" s="1197"/>
      <c r="BM76" s="1197"/>
      <c r="BN76" s="1197"/>
      <c r="BO76" s="1200"/>
      <c r="BP76" s="1196"/>
      <c r="BQ76" s="1197"/>
      <c r="BR76" s="1197"/>
      <c r="BS76" s="1197"/>
      <c r="BT76" s="1197"/>
      <c r="BU76" s="1200"/>
      <c r="BV76" s="1196"/>
      <c r="BW76" s="1197"/>
      <c r="BX76" s="1197"/>
      <c r="BY76" s="1197"/>
      <c r="BZ76" s="1197"/>
      <c r="CA76" s="1200"/>
      <c r="CB76" s="1196"/>
      <c r="CC76" s="1197"/>
      <c r="CD76" s="1197"/>
      <c r="CE76" s="1197"/>
      <c r="CF76" s="1197"/>
      <c r="CG76" s="1200"/>
      <c r="CH76" s="1196"/>
      <c r="CI76" s="1197"/>
      <c r="CJ76" s="1197"/>
      <c r="CK76" s="1197"/>
      <c r="CL76" s="1197"/>
      <c r="CM76" s="1200"/>
      <c r="CN76" s="1026"/>
      <c r="CO76" s="1026"/>
      <c r="CP76" s="1026"/>
    </row>
    <row r="77" spans="1:103" ht="12.75" hidden="1" customHeight="1" outlineLevel="1">
      <c r="A77" s="1149"/>
      <c r="B77" s="1201"/>
      <c r="C77" s="1201"/>
      <c r="D77" s="1201"/>
      <c r="E77" s="1201"/>
      <c r="F77" s="1201"/>
      <c r="G77" s="1149"/>
      <c r="H77" s="1201"/>
      <c r="I77" s="1084"/>
      <c r="J77" s="1084"/>
      <c r="K77" s="1084"/>
      <c r="L77" s="1197"/>
      <c r="M77" s="1198"/>
      <c r="N77" s="1201"/>
      <c r="O77" s="1084"/>
      <c r="P77" s="1084"/>
      <c r="Q77" s="1084"/>
      <c r="R77" s="1084"/>
      <c r="S77" s="1199"/>
      <c r="T77" s="1201"/>
      <c r="U77" s="1197"/>
      <c r="V77" s="1197"/>
      <c r="W77" s="1197"/>
      <c r="X77" s="1197"/>
      <c r="Y77" s="1200"/>
      <c r="Z77" s="1201"/>
      <c r="AA77" s="1197"/>
      <c r="AB77" s="1197"/>
      <c r="AC77" s="1197"/>
      <c r="AD77" s="1197"/>
      <c r="AE77" s="1200"/>
      <c r="AF77" s="1201"/>
      <c r="AG77" s="1197"/>
      <c r="AH77" s="1197"/>
      <c r="AI77" s="1197"/>
      <c r="AJ77" s="1197"/>
      <c r="AK77" s="1200"/>
      <c r="AL77" s="1201"/>
      <c r="AM77" s="1197"/>
      <c r="AN77" s="1197"/>
      <c r="AO77" s="1197"/>
      <c r="AP77" s="1197"/>
      <c r="AQ77" s="1200"/>
      <c r="AR77" s="1201"/>
      <c r="AS77" s="1197"/>
      <c r="AT77" s="1197"/>
      <c r="AU77" s="1197"/>
      <c r="AV77" s="1584"/>
      <c r="AW77" s="145"/>
      <c r="AX77" s="1201"/>
      <c r="AY77" s="1197"/>
      <c r="AZ77" s="1197"/>
      <c r="BA77" s="1197"/>
      <c r="BB77" s="1197"/>
      <c r="BC77" s="1200"/>
      <c r="BD77" s="1201"/>
      <c r="BE77" s="1197"/>
      <c r="BF77" s="1197"/>
      <c r="BG77" s="1197"/>
      <c r="BH77" s="1197"/>
      <c r="BI77" s="1200"/>
      <c r="BJ77" s="1201"/>
      <c r="BK77" s="1197"/>
      <c r="BL77" s="1197"/>
      <c r="BM77" s="1197"/>
      <c r="BN77" s="1197"/>
      <c r="BO77" s="1200"/>
      <c r="BP77" s="1201"/>
      <c r="BQ77" s="1197"/>
      <c r="BR77" s="1197"/>
      <c r="BS77" s="1197"/>
      <c r="BT77" s="1197"/>
      <c r="BU77" s="1200"/>
      <c r="BV77" s="1201"/>
      <c r="BW77" s="1197"/>
      <c r="BX77" s="1197"/>
      <c r="BY77" s="1197"/>
      <c r="BZ77" s="1197"/>
      <c r="CA77" s="1200"/>
      <c r="CB77" s="1201"/>
      <c r="CC77" s="1197"/>
      <c r="CD77" s="1197"/>
      <c r="CE77" s="1197"/>
      <c r="CF77" s="1197"/>
      <c r="CG77" s="1200"/>
      <c r="CH77" s="1201"/>
      <c r="CI77" s="1197"/>
      <c r="CJ77" s="1197"/>
      <c r="CK77" s="1197"/>
      <c r="CL77" s="1197"/>
      <c r="CM77" s="1200"/>
      <c r="CN77" s="1026"/>
      <c r="CO77" s="1026"/>
      <c r="CP77" s="1026"/>
    </row>
    <row r="78" spans="1:103" s="209" customFormat="1" ht="12.75" hidden="1" customHeight="1" outlineLevel="1">
      <c r="A78" s="1202" t="s">
        <v>380</v>
      </c>
      <c r="B78" s="1203"/>
      <c r="C78" s="1203">
        <f t="shared" ref="C78:AB78" si="101">-C72/C70</f>
        <v>3.0131976466846878E-2</v>
      </c>
      <c r="D78" s="1203">
        <f t="shared" si="101"/>
        <v>3.0036520831780582E-2</v>
      </c>
      <c r="E78" s="1203">
        <f t="shared" si="101"/>
        <v>9.8189797037849733E-2</v>
      </c>
      <c r="F78" s="1203">
        <f t="shared" si="101"/>
        <v>1.2483516483516477E-2</v>
      </c>
      <c r="G78" s="1202">
        <f t="shared" si="101"/>
        <v>0.17307998091906504</v>
      </c>
      <c r="H78" s="1203"/>
      <c r="I78" s="1128">
        <f t="shared" si="101"/>
        <v>3.2900586875333447E-3</v>
      </c>
      <c r="J78" s="1128">
        <f t="shared" si="101"/>
        <v>7.5044476791201672E-2</v>
      </c>
      <c r="K78" s="1128">
        <f t="shared" si="101"/>
        <v>0.11516155758077881</v>
      </c>
      <c r="L78" s="1204">
        <f t="shared" si="101"/>
        <v>3.6549707602338863E-3</v>
      </c>
      <c r="M78" s="1129">
        <f t="shared" si="101"/>
        <v>0.20016005690912322</v>
      </c>
      <c r="N78" s="1203"/>
      <c r="O78" s="1204">
        <f t="shared" si="101"/>
        <v>2.7589134125636668E-3</v>
      </c>
      <c r="P78" s="1128">
        <f t="shared" si="101"/>
        <v>1.4455707360070515E-2</v>
      </c>
      <c r="Q78" s="1128">
        <f t="shared" si="101"/>
        <v>1.9662168200911597E-3</v>
      </c>
      <c r="R78" s="1204">
        <f t="shared" si="101"/>
        <v>2.8277046365197473E-2</v>
      </c>
      <c r="S78" s="1129">
        <f t="shared" si="101"/>
        <v>4.8705432937181659E-2</v>
      </c>
      <c r="T78" s="1203"/>
      <c r="U78" s="1204">
        <f t="shared" si="101"/>
        <v>8.2947118241235879E-2</v>
      </c>
      <c r="V78" s="1128">
        <f t="shared" si="101"/>
        <v>4.2255221538090096E-3</v>
      </c>
      <c r="W78" s="1128">
        <f t="shared" si="101"/>
        <v>1.4287458786176575E-2</v>
      </c>
      <c r="X78" s="1204">
        <f t="shared" si="101"/>
        <v>8.7466868610374851E-2</v>
      </c>
      <c r="Y78" s="1129">
        <f t="shared" si="101"/>
        <v>0.18336304218657157</v>
      </c>
      <c r="Z78" s="1203"/>
      <c r="AA78" s="1204">
        <f t="shared" si="101"/>
        <v>0.12387226120578546</v>
      </c>
      <c r="AB78" s="1128">
        <f t="shared" si="101"/>
        <v>3.9780521262002717E-2</v>
      </c>
      <c r="AC78" s="1128">
        <f>-AC72/AC70</f>
        <v>1.3579049466537567E-3</v>
      </c>
      <c r="AD78" s="1128">
        <f>-AD72/AD70</f>
        <v>0.1703877790834312</v>
      </c>
      <c r="AE78" s="1205">
        <v>0.03</v>
      </c>
      <c r="AF78" s="1203"/>
      <c r="AG78" s="1006">
        <v>0.03</v>
      </c>
      <c r="AH78" s="1128">
        <f>-AH72/AH70</f>
        <v>0.19423495959586085</v>
      </c>
      <c r="AI78" s="1128">
        <f>-AI72/AI70</f>
        <v>5.129708737864077E-2</v>
      </c>
      <c r="AJ78" s="1006">
        <v>0.03</v>
      </c>
      <c r="AK78" s="1205">
        <v>0.03</v>
      </c>
      <c r="AL78" s="1203"/>
      <c r="AM78" s="1006">
        <v>0.03</v>
      </c>
      <c r="AN78" s="1128">
        <f>-AN72/AN70</f>
        <v>1.9162210338680929E-2</v>
      </c>
      <c r="AO78" s="1128">
        <f>-AO72/AO70</f>
        <v>9.2950265572187343E-2</v>
      </c>
      <c r="AP78" s="1128">
        <f>-AP72/AP70</f>
        <v>6.0573572768694718E-2</v>
      </c>
      <c r="AQ78" s="1205">
        <v>0.03</v>
      </c>
      <c r="AR78" s="1203"/>
      <c r="AS78" s="1006">
        <v>0.03</v>
      </c>
      <c r="AT78" s="1206">
        <v>0.03</v>
      </c>
      <c r="AU78" s="1206">
        <v>0.2</v>
      </c>
      <c r="AV78" s="1585">
        <v>0.2</v>
      </c>
      <c r="AW78" s="1586">
        <v>0.2</v>
      </c>
      <c r="AX78" s="1203"/>
      <c r="AY78" s="1206">
        <v>0.2</v>
      </c>
      <c r="AZ78" s="1206">
        <v>0.2</v>
      </c>
      <c r="BA78" s="1206">
        <v>0.2</v>
      </c>
      <c r="BB78" s="1206">
        <v>0.2</v>
      </c>
      <c r="BC78" s="1205">
        <v>0.2</v>
      </c>
      <c r="BD78" s="1203"/>
      <c r="BE78" s="1206">
        <v>0.2</v>
      </c>
      <c r="BF78" s="1206">
        <v>0.2</v>
      </c>
      <c r="BG78" s="1206">
        <v>0.2</v>
      </c>
      <c r="BH78" s="1206">
        <v>0.2</v>
      </c>
      <c r="BI78" s="1205">
        <v>0.2</v>
      </c>
      <c r="BJ78" s="1203"/>
      <c r="BK78" s="1206">
        <v>0.2</v>
      </c>
      <c r="BL78" s="1206">
        <v>0.2</v>
      </c>
      <c r="BM78" s="1206">
        <v>0.2</v>
      </c>
      <c r="BN78" s="1206">
        <v>0.2</v>
      </c>
      <c r="BO78" s="1205">
        <v>0.2</v>
      </c>
      <c r="BP78" s="1203"/>
      <c r="BQ78" s="1206">
        <v>0.2</v>
      </c>
      <c r="BR78" s="1206">
        <v>0.2</v>
      </c>
      <c r="BS78" s="1206">
        <v>0.2</v>
      </c>
      <c r="BT78" s="1206">
        <v>0.2</v>
      </c>
      <c r="BU78" s="1205">
        <v>0.2</v>
      </c>
      <c r="BV78" s="1203"/>
      <c r="BW78" s="1206">
        <v>0.2</v>
      </c>
      <c r="BX78" s="1206">
        <v>0.2</v>
      </c>
      <c r="BY78" s="1206">
        <v>0.2</v>
      </c>
      <c r="BZ78" s="1206">
        <v>0.2</v>
      </c>
      <c r="CA78" s="1205">
        <v>0.2</v>
      </c>
      <c r="CB78" s="1203"/>
      <c r="CC78" s="1206">
        <v>0.2</v>
      </c>
      <c r="CD78" s="1206">
        <v>0.2</v>
      </c>
      <c r="CE78" s="1206">
        <v>0.2</v>
      </c>
      <c r="CF78" s="1206">
        <v>0.2</v>
      </c>
      <c r="CG78" s="1205">
        <v>0.2</v>
      </c>
      <c r="CH78" s="1203"/>
      <c r="CI78" s="1206">
        <v>0.2</v>
      </c>
      <c r="CJ78" s="1206">
        <v>0.2</v>
      </c>
      <c r="CK78" s="1206">
        <v>0.2</v>
      </c>
      <c r="CL78" s="1206">
        <v>0.2</v>
      </c>
      <c r="CM78" s="1205">
        <v>0.2</v>
      </c>
      <c r="CN78" s="1207"/>
      <c r="CO78" s="1207"/>
      <c r="CP78" s="1207"/>
      <c r="CQ78"/>
      <c r="CR78"/>
      <c r="CS78"/>
      <c r="CT78"/>
      <c r="CU78"/>
      <c r="CV78"/>
    </row>
    <row r="79" spans="1:103" s="209" customFormat="1" ht="12.75" hidden="1" customHeight="1" outlineLevel="1">
      <c r="A79" s="1202" t="s">
        <v>381</v>
      </c>
      <c r="B79" s="1203"/>
      <c r="C79" s="1203">
        <f t="shared" ref="C79:AB79" si="102">-C73/C70</f>
        <v>2.3056129750357771E-2</v>
      </c>
      <c r="D79" s="1203">
        <f t="shared" si="102"/>
        <v>2.5639114556160098E-2</v>
      </c>
      <c r="E79" s="1203">
        <f t="shared" si="102"/>
        <v>1.3400203745787953E-2</v>
      </c>
      <c r="F79" s="1203">
        <f t="shared" si="102"/>
        <v>9.318681318681318E-3</v>
      </c>
      <c r="G79" s="1202">
        <f t="shared" si="102"/>
        <v>7.242804897439975E-2</v>
      </c>
      <c r="H79" s="1203"/>
      <c r="I79" s="1128">
        <f t="shared" si="102"/>
        <v>3.3167348390538857E-2</v>
      </c>
      <c r="J79" s="1128">
        <f t="shared" si="102"/>
        <v>5.4180818372958107E-2</v>
      </c>
      <c r="K79" s="1128">
        <f t="shared" si="102"/>
        <v>6.7200589155850289E-3</v>
      </c>
      <c r="L79" s="1204">
        <f t="shared" si="102"/>
        <v>1.3680033416875521E-2</v>
      </c>
      <c r="M79" s="1129">
        <f t="shared" si="102"/>
        <v>0.11088386982038058</v>
      </c>
      <c r="N79" s="1203"/>
      <c r="O79" s="1204">
        <f t="shared" si="102"/>
        <v>1.4537351443123937E-2</v>
      </c>
      <c r="P79" s="1128">
        <f t="shared" si="102"/>
        <v>1.2252093433230499E-2</v>
      </c>
      <c r="Q79" s="1128">
        <f t="shared" si="102"/>
        <v>0.21905442845651973</v>
      </c>
      <c r="R79" s="1204">
        <f t="shared" si="102"/>
        <v>8.8151116199198555E-3</v>
      </c>
      <c r="S79" s="1129">
        <f t="shared" si="102"/>
        <v>0.29753820033955852</v>
      </c>
      <c r="T79" s="1203"/>
      <c r="U79" s="1204">
        <f t="shared" si="102"/>
        <v>1.5210932857991679E-2</v>
      </c>
      <c r="V79" s="1128">
        <f t="shared" si="102"/>
        <v>1.5091150549317877E-2</v>
      </c>
      <c r="W79" s="1128">
        <f t="shared" si="102"/>
        <v>2.112590059836366E-2</v>
      </c>
      <c r="X79" s="1204">
        <f t="shared" si="102"/>
        <v>3.117505995203837E-2</v>
      </c>
      <c r="Y79" s="1129">
        <f t="shared" si="102"/>
        <v>7.9976232917409379E-2</v>
      </c>
      <c r="Z79" s="1203"/>
      <c r="AA79" s="1204">
        <f t="shared" si="102"/>
        <v>1.0883574394959183E-2</v>
      </c>
      <c r="AB79" s="1128">
        <f t="shared" si="102"/>
        <v>0.18289894833104703</v>
      </c>
      <c r="AC79" s="1128">
        <f>-AC73/AC70</f>
        <v>9.6993210475266791E-3</v>
      </c>
      <c r="AD79" s="1128">
        <f>-AD73/AD70</f>
        <v>1.9193106149627902E-2</v>
      </c>
      <c r="AE79" s="1205">
        <v>0.02</v>
      </c>
      <c r="AF79" s="1203"/>
      <c r="AG79" s="1006">
        <v>0.02</v>
      </c>
      <c r="AH79" s="1128">
        <f>-AH73/AH70</f>
        <v>0.23215329144722052</v>
      </c>
      <c r="AI79" s="1128">
        <f>-AI73/AI70</f>
        <v>3.419805825242718E-2</v>
      </c>
      <c r="AJ79" s="1006">
        <v>0.02</v>
      </c>
      <c r="AK79" s="1205">
        <v>0.02</v>
      </c>
      <c r="AL79" s="1203"/>
      <c r="AM79" s="1006">
        <v>0.02</v>
      </c>
      <c r="AN79" s="1128">
        <f>-AN73/AN70</f>
        <v>6.6622103386809253E-2</v>
      </c>
      <c r="AO79" s="1128">
        <f>-AO73/AO70</f>
        <v>6.2771607918879835E-3</v>
      </c>
      <c r="AP79" s="1128">
        <f>-AP73/AP70</f>
        <v>2.9482712409541704E-3</v>
      </c>
      <c r="AQ79" s="1205">
        <v>0.02</v>
      </c>
      <c r="AR79" s="1203"/>
      <c r="AS79" s="1006">
        <v>0.02</v>
      </c>
      <c r="AT79" s="1206">
        <v>0.02</v>
      </c>
      <c r="AU79" s="1206">
        <v>0.02</v>
      </c>
      <c r="AV79" s="1585">
        <v>0.02</v>
      </c>
      <c r="AW79" s="1586">
        <v>0.02</v>
      </c>
      <c r="AX79" s="1203"/>
      <c r="AY79" s="1006">
        <v>0.02</v>
      </c>
      <c r="AZ79" s="1206">
        <v>0.02</v>
      </c>
      <c r="BA79" s="1206">
        <v>0.02</v>
      </c>
      <c r="BB79" s="1006">
        <v>0.02</v>
      </c>
      <c r="BC79" s="1205">
        <v>0.02</v>
      </c>
      <c r="BD79" s="1203"/>
      <c r="BE79" s="1006">
        <v>0.02</v>
      </c>
      <c r="BF79" s="1206">
        <v>0.02</v>
      </c>
      <c r="BG79" s="1206">
        <v>0.02</v>
      </c>
      <c r="BH79" s="1006">
        <v>0.02</v>
      </c>
      <c r="BI79" s="1205">
        <v>0.02</v>
      </c>
      <c r="BJ79" s="1203"/>
      <c r="BK79" s="1006">
        <v>0.02</v>
      </c>
      <c r="BL79" s="1206">
        <v>0.02</v>
      </c>
      <c r="BM79" s="1206">
        <v>0.02</v>
      </c>
      <c r="BN79" s="1006">
        <v>0.02</v>
      </c>
      <c r="BO79" s="1205">
        <v>0.02</v>
      </c>
      <c r="BP79" s="1203"/>
      <c r="BQ79" s="1006">
        <v>0.02</v>
      </c>
      <c r="BR79" s="1206">
        <v>0.02</v>
      </c>
      <c r="BS79" s="1206">
        <v>0.02</v>
      </c>
      <c r="BT79" s="1006">
        <v>0.02</v>
      </c>
      <c r="BU79" s="1205">
        <v>0.02</v>
      </c>
      <c r="BV79" s="1203"/>
      <c r="BW79" s="1006">
        <v>0.02</v>
      </c>
      <c r="BX79" s="1206">
        <v>0.02</v>
      </c>
      <c r="BY79" s="1206">
        <v>0.02</v>
      </c>
      <c r="BZ79" s="1006">
        <v>0.02</v>
      </c>
      <c r="CA79" s="1205">
        <v>0.02</v>
      </c>
      <c r="CB79" s="1203"/>
      <c r="CC79" s="1006">
        <v>0.02</v>
      </c>
      <c r="CD79" s="1206">
        <v>0.02</v>
      </c>
      <c r="CE79" s="1206">
        <v>0.02</v>
      </c>
      <c r="CF79" s="1006">
        <v>0.02</v>
      </c>
      <c r="CG79" s="1205">
        <v>0.02</v>
      </c>
      <c r="CH79" s="1203"/>
      <c r="CI79" s="1006">
        <v>0.02</v>
      </c>
      <c r="CJ79" s="1206">
        <v>0.02</v>
      </c>
      <c r="CK79" s="1206">
        <v>0.02</v>
      </c>
      <c r="CL79" s="1006">
        <v>0.02</v>
      </c>
      <c r="CM79" s="1205">
        <v>0.02</v>
      </c>
      <c r="CN79" s="1207"/>
      <c r="CO79" s="1207"/>
      <c r="CP79" s="1207"/>
      <c r="CQ79"/>
      <c r="CR79"/>
      <c r="CS79"/>
      <c r="CT79"/>
      <c r="CU79"/>
      <c r="CV79"/>
    </row>
    <row r="80" spans="1:103" s="209" customFormat="1" ht="12.75" hidden="1" customHeight="1" outlineLevel="1">
      <c r="A80" s="1202" t="s">
        <v>382</v>
      </c>
      <c r="B80" s="1203"/>
      <c r="C80" s="1204"/>
      <c r="D80" s="1204"/>
      <c r="E80" s="1204"/>
      <c r="F80" s="1204"/>
      <c r="G80" s="1208"/>
      <c r="H80" s="1203"/>
      <c r="I80" s="1204">
        <f>I71/C71</f>
        <v>1.0145888594164456</v>
      </c>
      <c r="J80" s="1204">
        <f>J71/D71</f>
        <v>1.043956043956044</v>
      </c>
      <c r="K80" s="1204">
        <f>K71/E71</f>
        <v>0.97368421052631282</v>
      </c>
      <c r="L80" s="1204">
        <f>L71/F71</f>
        <v>0.11764705882352952</v>
      </c>
      <c r="M80" s="1208">
        <f>M71/G71</f>
        <v>0.95444191343963547</v>
      </c>
      <c r="N80" s="1203"/>
      <c r="O80" s="1204">
        <f>O71/I71</f>
        <v>1.3620915032679739</v>
      </c>
      <c r="P80" s="1204">
        <f>P71/J71</f>
        <v>1.5473684210526299</v>
      </c>
      <c r="Q80" s="1204">
        <f>Q71/K71</f>
        <v>0.51351351351351804</v>
      </c>
      <c r="R80" s="1204">
        <f>R71/L71</f>
        <v>0.2857142857142857</v>
      </c>
      <c r="S80" s="1208">
        <f>S71/M71</f>
        <v>1.3448687350835322</v>
      </c>
      <c r="T80" s="1203"/>
      <c r="U80" s="1204">
        <f>U71/O71</f>
        <v>0.33301343570057579</v>
      </c>
      <c r="V80" s="1204">
        <f>V71/P71</f>
        <v>0.44897959183673569</v>
      </c>
      <c r="W80" s="1204">
        <f>W71/Q71</f>
        <v>1.2631578947368347</v>
      </c>
      <c r="X80" s="1204">
        <f>X71/R71</f>
        <v>0</v>
      </c>
      <c r="Y80" s="1208">
        <f>Y71/S71</f>
        <v>0.34782608695652173</v>
      </c>
      <c r="Z80" s="1203"/>
      <c r="AA80" s="1204">
        <f>AA71/U71</f>
        <v>0.74783861671469753</v>
      </c>
      <c r="AB80" s="1204">
        <f>AB71/V71</f>
        <v>0.83333333333333171</v>
      </c>
      <c r="AC80" s="1204">
        <f>AC71/W71</f>
        <v>0.33333333333333331</v>
      </c>
      <c r="AD80" s="1204" t="e">
        <f>AD71/X71</f>
        <v>#DIV/0!</v>
      </c>
      <c r="AE80" s="965">
        <v>0.8</v>
      </c>
      <c r="AF80" s="1203"/>
      <c r="AG80" s="1006">
        <v>0.8</v>
      </c>
      <c r="AH80" s="1204">
        <f>AH71/AB71</f>
        <v>-6.5490909090909177</v>
      </c>
      <c r="AI80" s="1204">
        <f>AI71/AC71</f>
        <v>116.77499999999991</v>
      </c>
      <c r="AJ80" s="1006">
        <v>0.8</v>
      </c>
      <c r="AK80" s="965">
        <v>0.8</v>
      </c>
      <c r="AL80" s="1203"/>
      <c r="AM80" s="1006">
        <v>0.8</v>
      </c>
      <c r="AN80" s="1204">
        <f>AN71/AH71</f>
        <v>-0.10827318156579685</v>
      </c>
      <c r="AO80" s="1204">
        <f>AO71/AI71</f>
        <v>0</v>
      </c>
      <c r="AP80" s="1204">
        <f>AP71/AJ71</f>
        <v>0</v>
      </c>
      <c r="AQ80" s="965">
        <v>0.8</v>
      </c>
      <c r="AR80" s="1203"/>
      <c r="AS80" s="1006">
        <v>0.8</v>
      </c>
      <c r="AT80" s="1006">
        <v>0.8</v>
      </c>
      <c r="AU80" s="1006">
        <v>0.8</v>
      </c>
      <c r="AV80" s="73">
        <v>0.8</v>
      </c>
      <c r="AW80" s="1587">
        <v>0.8</v>
      </c>
      <c r="AX80" s="1203"/>
      <c r="AY80" s="1006">
        <v>0.8</v>
      </c>
      <c r="AZ80" s="1006">
        <v>0.8</v>
      </c>
      <c r="BA80" s="1006">
        <v>0.8</v>
      </c>
      <c r="BB80" s="1006">
        <v>0.8</v>
      </c>
      <c r="BC80" s="965">
        <v>0.8</v>
      </c>
      <c r="BD80" s="1203"/>
      <c r="BE80" s="1006">
        <v>0.8</v>
      </c>
      <c r="BF80" s="1006">
        <v>0.8</v>
      </c>
      <c r="BG80" s="1006">
        <v>0.8</v>
      </c>
      <c r="BH80" s="1006">
        <v>0.8</v>
      </c>
      <c r="BI80" s="965">
        <v>0.8</v>
      </c>
      <c r="BJ80" s="1203"/>
      <c r="BK80" s="1006">
        <v>0.8</v>
      </c>
      <c r="BL80" s="1006">
        <v>0.8</v>
      </c>
      <c r="BM80" s="1006">
        <v>0.8</v>
      </c>
      <c r="BN80" s="1006">
        <v>0.8</v>
      </c>
      <c r="BO80" s="965">
        <v>0.8</v>
      </c>
      <c r="BP80" s="1203"/>
      <c r="BQ80" s="1006">
        <v>0.8</v>
      </c>
      <c r="BR80" s="1006">
        <v>0.8</v>
      </c>
      <c r="BS80" s="1006">
        <v>0.8</v>
      </c>
      <c r="BT80" s="1006">
        <v>0.8</v>
      </c>
      <c r="BU80" s="965">
        <v>0.8</v>
      </c>
      <c r="BV80" s="1203"/>
      <c r="BW80" s="1006">
        <v>0.8</v>
      </c>
      <c r="BX80" s="1006">
        <v>0.8</v>
      </c>
      <c r="BY80" s="1006">
        <v>0.8</v>
      </c>
      <c r="BZ80" s="1006">
        <v>0.8</v>
      </c>
      <c r="CA80" s="965">
        <v>0.8</v>
      </c>
      <c r="CB80" s="1203"/>
      <c r="CC80" s="1006">
        <v>0.8</v>
      </c>
      <c r="CD80" s="1006">
        <v>0.8</v>
      </c>
      <c r="CE80" s="1006">
        <v>0.8</v>
      </c>
      <c r="CF80" s="1006">
        <v>0.8</v>
      </c>
      <c r="CG80" s="965">
        <v>0.8</v>
      </c>
      <c r="CH80" s="1203"/>
      <c r="CI80" s="1006">
        <v>0.8</v>
      </c>
      <c r="CJ80" s="1006">
        <v>0.8</v>
      </c>
      <c r="CK80" s="1006">
        <v>0.8</v>
      </c>
      <c r="CL80" s="1006">
        <v>0.8</v>
      </c>
      <c r="CM80" s="965">
        <v>0.8</v>
      </c>
      <c r="CN80" s="1207"/>
      <c r="CO80" s="1207"/>
      <c r="CP80" s="1207"/>
      <c r="CQ80"/>
      <c r="CR80"/>
      <c r="CS80"/>
      <c r="CT80"/>
      <c r="CU80"/>
      <c r="CV80"/>
    </row>
    <row r="81" spans="1:94" ht="12.75" hidden="1" customHeight="1" outlineLevel="1">
      <c r="A81" s="1149"/>
      <c r="B81" s="1201"/>
      <c r="C81" s="1201"/>
      <c r="D81" s="1201"/>
      <c r="E81" s="1201"/>
      <c r="F81" s="1201"/>
      <c r="G81" s="1149"/>
      <c r="H81" s="1201"/>
      <c r="I81" s="1084"/>
      <c r="J81" s="1084"/>
      <c r="K81" s="1084"/>
      <c r="L81" s="1197"/>
      <c r="M81" s="1198"/>
      <c r="N81" s="1201"/>
      <c r="O81" s="1084"/>
      <c r="P81" s="1084"/>
      <c r="Q81" s="1084"/>
      <c r="R81" s="1084"/>
      <c r="S81" s="1199"/>
      <c r="T81" s="1201"/>
      <c r="U81" s="1197"/>
      <c r="V81" s="1197"/>
      <c r="W81" s="1197"/>
      <c r="X81" s="1197"/>
      <c r="Y81" s="1200"/>
      <c r="Z81" s="1201"/>
      <c r="AA81" s="1197"/>
      <c r="AB81" s="1197"/>
      <c r="AC81" s="1209"/>
      <c r="AD81" s="1209"/>
      <c r="AE81" s="1200"/>
      <c r="AF81" s="1201"/>
      <c r="AG81" s="1197"/>
      <c r="AH81" s="1197"/>
      <c r="AI81" s="1197"/>
      <c r="AJ81" s="1197"/>
      <c r="AK81" s="1200"/>
      <c r="AL81" s="1201"/>
      <c r="AM81" s="1197"/>
      <c r="AN81" s="1197"/>
      <c r="AO81" s="1197"/>
      <c r="AP81" s="1197"/>
      <c r="AQ81" s="1200"/>
      <c r="AR81" s="1201"/>
      <c r="AS81" s="1197"/>
      <c r="AT81" s="1197"/>
      <c r="AU81" s="1197"/>
      <c r="AV81" s="1584"/>
      <c r="AW81" s="145"/>
      <c r="AX81" s="1201"/>
      <c r="AY81" s="1197"/>
      <c r="AZ81" s="1197"/>
      <c r="BA81" s="1197"/>
      <c r="BB81" s="1197"/>
      <c r="BC81" s="1200"/>
      <c r="BD81" s="1201"/>
      <c r="BE81" s="1197"/>
      <c r="BF81" s="1197"/>
      <c r="BG81" s="1197"/>
      <c r="BH81" s="1197"/>
      <c r="BI81" s="1200"/>
      <c r="BJ81" s="1201"/>
      <c r="BK81" s="1197"/>
      <c r="BL81" s="1197"/>
      <c r="BM81" s="1197"/>
      <c r="BN81" s="1197"/>
      <c r="BO81" s="1200"/>
      <c r="BP81" s="1201"/>
      <c r="BQ81" s="1197"/>
      <c r="BR81" s="1197"/>
      <c r="BS81" s="1197"/>
      <c r="BT81" s="1197"/>
      <c r="BU81" s="1200"/>
      <c r="BV81" s="1201"/>
      <c r="BW81" s="1197"/>
      <c r="BX81" s="1197"/>
      <c r="BY81" s="1197"/>
      <c r="BZ81" s="1197"/>
      <c r="CA81" s="1200"/>
      <c r="CB81" s="1201"/>
      <c r="CC81" s="1197"/>
      <c r="CD81" s="1197"/>
      <c r="CE81" s="1197"/>
      <c r="CF81" s="1197"/>
      <c r="CG81" s="1200"/>
      <c r="CH81" s="1201"/>
      <c r="CI81" s="1197"/>
      <c r="CJ81" s="1197"/>
      <c r="CK81" s="1197"/>
      <c r="CL81" s="1197"/>
      <c r="CM81" s="1200"/>
      <c r="CN81" s="1026"/>
      <c r="CO81" s="1026"/>
      <c r="CP81" s="1026"/>
    </row>
    <row r="82" spans="1:94" ht="12.75" hidden="1" customHeight="1" outlineLevel="1">
      <c r="A82" s="1149" t="s">
        <v>383</v>
      </c>
      <c r="B82" s="1150"/>
      <c r="C82" s="1150">
        <f t="shared" ref="C82:L82" si="103">C44</f>
        <v>6.17</v>
      </c>
      <c r="D82" s="1150">
        <f t="shared" si="103"/>
        <v>6.6110000000000007</v>
      </c>
      <c r="E82" s="1150">
        <f t="shared" si="103"/>
        <v>17.442</v>
      </c>
      <c r="F82" s="1150">
        <f t="shared" si="103"/>
        <v>2.1540000000000035</v>
      </c>
      <c r="G82" s="1210">
        <f t="shared" si="103"/>
        <v>32.377000000000002</v>
      </c>
      <c r="H82" s="1150"/>
      <c r="I82" s="1211">
        <f t="shared" si="103"/>
        <v>0.64600000000000002</v>
      </c>
      <c r="J82" s="1211">
        <f t="shared" si="103"/>
        <v>17.721999999999998</v>
      </c>
      <c r="K82" s="1211">
        <f t="shared" si="103"/>
        <v>25.067000000000004</v>
      </c>
      <c r="L82" s="1211">
        <f t="shared" si="103"/>
        <v>0.30599999999999739</v>
      </c>
      <c r="M82" s="1199">
        <f t="shared" ref="M82:R82" si="104">M44</f>
        <v>43.741</v>
      </c>
      <c r="N82" s="1201"/>
      <c r="O82" s="1197">
        <f t="shared" si="104"/>
        <v>0.30399999999999999</v>
      </c>
      <c r="P82" s="1197">
        <f t="shared" si="104"/>
        <v>1.7750000000000001</v>
      </c>
      <c r="Q82" s="1197">
        <f t="shared" si="104"/>
        <v>0.18299999999999988</v>
      </c>
      <c r="R82" s="1197">
        <f t="shared" si="104"/>
        <v>3.9819999999999998</v>
      </c>
      <c r="S82" s="1199">
        <f>S44</f>
        <v>6.2439999999999998</v>
      </c>
      <c r="T82" s="1201"/>
      <c r="U82" s="1197">
        <f t="shared" ref="U82:AB82" si="105">U44</f>
        <v>12.433999999999999</v>
      </c>
      <c r="V82" s="1197">
        <f t="shared" si="105"/>
        <v>0.61300000000000132</v>
      </c>
      <c r="W82" s="1197">
        <f t="shared" si="105"/>
        <v>2.1239999999999988</v>
      </c>
      <c r="X82" s="1197">
        <f t="shared" si="105"/>
        <v>13.864000000000001</v>
      </c>
      <c r="Y82" s="1199">
        <f t="shared" si="105"/>
        <v>29.035</v>
      </c>
      <c r="Z82" s="1201"/>
      <c r="AA82" s="1197">
        <f t="shared" si="105"/>
        <v>18.03</v>
      </c>
      <c r="AB82" s="1197">
        <f t="shared" si="105"/>
        <v>5.5219999999999985</v>
      </c>
      <c r="AC82" s="1197">
        <f>-AC72*AC75</f>
        <v>0.14469000000000243</v>
      </c>
      <c r="AD82" s="1197">
        <f>-AD72*AD75</f>
        <v>18.148199999999996</v>
      </c>
      <c r="AE82" s="1212">
        <f>SUM(AA82:AD82)</f>
        <v>41.844889999999999</v>
      </c>
      <c r="AF82" s="1201"/>
      <c r="AG82" s="1197">
        <f t="shared" ref="AG82:AV82" si="106">-AG72*AG75</f>
        <v>3.2561505900000016</v>
      </c>
      <c r="AH82" s="1197">
        <f>AH44</f>
        <v>2.2469999999999999</v>
      </c>
      <c r="AI82" s="1197">
        <f>AI44</f>
        <v>11.198</v>
      </c>
      <c r="AJ82" s="1197">
        <f t="shared" si="106"/>
        <v>2.2641162390000007</v>
      </c>
      <c r="AK82" s="1212">
        <f>SUM(AG82:AJ82)</f>
        <v>18.965266829000001</v>
      </c>
      <c r="AL82" s="1201"/>
      <c r="AM82" s="1197">
        <f t="shared" si="106"/>
        <v>5.7350000000000003</v>
      </c>
      <c r="AN82" s="1197">
        <f t="shared" si="106"/>
        <v>1.9848800000000004</v>
      </c>
      <c r="AO82" s="1197">
        <f t="shared" si="106"/>
        <v>8.9666499999999978</v>
      </c>
      <c r="AP82" s="1197">
        <f t="shared" si="106"/>
        <v>4.8476999999999997</v>
      </c>
      <c r="AQ82" s="1212">
        <f>SUM(AM82:AP82)</f>
        <v>21.534229999999997</v>
      </c>
      <c r="AR82" s="1201"/>
      <c r="AS82" s="1197">
        <f t="shared" si="106"/>
        <v>7.9824999999999999</v>
      </c>
      <c r="AT82" s="1197">
        <f t="shared" si="106"/>
        <v>12.040560000000001</v>
      </c>
      <c r="AU82" s="1197">
        <f t="shared" si="106"/>
        <v>1.766249999999999</v>
      </c>
      <c r="AV82" s="1584">
        <f t="shared" si="106"/>
        <v>3.2251500000000002</v>
      </c>
      <c r="AW82" s="1212">
        <f>SUM(AS82:AV82)</f>
        <v>25.01446</v>
      </c>
      <c r="AX82" s="1201"/>
      <c r="AY82" s="1197">
        <f>-AY72*AY75</f>
        <v>14.85216</v>
      </c>
      <c r="AZ82" s="1197">
        <f>-AZ72*AZ75</f>
        <v>4.0811500000000001</v>
      </c>
      <c r="BA82" s="1197">
        <f>-BA72*BA75</f>
        <v>0.60904000000000058</v>
      </c>
      <c r="BB82" s="1197">
        <f>-BB72*BB75</f>
        <v>2.6469799999999997</v>
      </c>
      <c r="BC82" s="1212">
        <f>SUM(AY82:BB82)</f>
        <v>22.189329999999998</v>
      </c>
      <c r="BD82" s="1201"/>
      <c r="BE82" s="1197">
        <f>-BE72*BE75</f>
        <v>1.24257</v>
      </c>
      <c r="BF82" s="1197">
        <f>-BF72*BF75</f>
        <v>7.5571200000000003</v>
      </c>
      <c r="BG82" s="1197">
        <f>-BG72*BG75</f>
        <v>2.9003399999999999</v>
      </c>
      <c r="BH82" s="1197">
        <f>-BH72*BH75</f>
        <v>1.6025599999999987</v>
      </c>
      <c r="BI82" s="1212">
        <f>SUM(BE82:BH82)</f>
        <v>13.302589999999999</v>
      </c>
      <c r="BJ82" s="1201"/>
      <c r="BK82" s="1197">
        <f>-BK72*BK75</f>
        <v>4.6326000000000009</v>
      </c>
      <c r="BL82" s="1197">
        <f>-BL72*BL75</f>
        <v>8.9468800000000002</v>
      </c>
      <c r="BM82" s="1197">
        <f>-BM72*BM75</f>
        <v>0.67936000000000063</v>
      </c>
      <c r="BN82" s="1197">
        <f>-BN72*BN75</f>
        <v>3.8638399999999984</v>
      </c>
      <c r="BO82" s="1212">
        <f>SUM(BK82:BN82)</f>
        <v>18.122679999999999</v>
      </c>
      <c r="BP82" s="1201"/>
      <c r="BQ82" s="1197">
        <f>-BQ72*BQ75</f>
        <v>15.680689199999998</v>
      </c>
      <c r="BR82" s="1197">
        <f>-BR72*BR75</f>
        <v>16.736867135999997</v>
      </c>
      <c r="BS82" s="1197">
        <f>-BS72*BS75</f>
        <v>13.218155343359996</v>
      </c>
      <c r="BT82" s="1197">
        <f>-BT72*BT75</f>
        <v>10.514701325145598</v>
      </c>
      <c r="BU82" s="1212">
        <f>SUM(BQ82:BT82)</f>
        <v>56.150413004505594</v>
      </c>
      <c r="BV82" s="1201"/>
      <c r="BW82" s="1197">
        <f>-BW72*BW75</f>
        <v>9.6380539157593148</v>
      </c>
      <c r="BX82" s="1197">
        <f>-BX72*BX75</f>
        <v>17.675867344293838</v>
      </c>
      <c r="BY82" s="1197">
        <f>-BY72*BY75</f>
        <v>14.016232030381174</v>
      </c>
      <c r="BZ82" s="1197">
        <f>-BZ72*BZ75</f>
        <v>11.251678724604416</v>
      </c>
      <c r="CA82" s="1212">
        <f>SUM(BW82:BZ82)</f>
        <v>52.581832015038742</v>
      </c>
      <c r="CB82" s="1201"/>
      <c r="CC82" s="1197">
        <f>-CC72*CC75</f>
        <v>10.366048707558159</v>
      </c>
      <c r="CD82" s="1197">
        <f>-CD72*CD75</f>
        <v>28.702162658943088</v>
      </c>
      <c r="CE82" s="1197">
        <f>-CE72*CE75</f>
        <v>22.802750010533334</v>
      </c>
      <c r="CF82" s="1197">
        <f>-CF72*CF75</f>
        <v>18.382795386278719</v>
      </c>
      <c r="CG82" s="1212">
        <f>SUM(CC82:CF82)</f>
        <v>80.253756763313291</v>
      </c>
      <c r="CH82" s="1201"/>
      <c r="CI82" s="1197">
        <f>-CI72*CI75</f>
        <v>16.975392412354395</v>
      </c>
      <c r="CJ82" s="1197">
        <f>-CJ72*CJ75</f>
        <v>54.266745081432198</v>
      </c>
      <c r="CK82" s="1197">
        <f>-CK72*CK75</f>
        <v>43.134223833063643</v>
      </c>
      <c r="CL82" s="1197">
        <f>-CL72*CL75</f>
        <v>34.811809608191467</v>
      </c>
      <c r="CM82" s="1212">
        <f>SUM(CI82:CL82)</f>
        <v>149.18817093504171</v>
      </c>
      <c r="CN82" s="1026"/>
      <c r="CO82" s="1026"/>
      <c r="CP82" s="1026"/>
    </row>
    <row r="83" spans="1:94" ht="12.75" hidden="1" customHeight="1" outlineLevel="1">
      <c r="A83" s="1149" t="s">
        <v>459</v>
      </c>
      <c r="B83" s="1150"/>
      <c r="C83" s="1150"/>
      <c r="D83" s="1150"/>
      <c r="E83" s="1150"/>
      <c r="F83" s="1150"/>
      <c r="G83" s="1210"/>
      <c r="H83" s="1150"/>
      <c r="I83" s="1211"/>
      <c r="J83" s="1211"/>
      <c r="K83" s="1211"/>
      <c r="L83" s="1211"/>
      <c r="M83" s="1199"/>
      <c r="N83" s="1201"/>
      <c r="O83" s="1197"/>
      <c r="P83" s="1197"/>
      <c r="Q83" s="1197"/>
      <c r="R83" s="1197"/>
      <c r="S83" s="1199"/>
      <c r="T83" s="1201"/>
      <c r="U83" s="1197"/>
      <c r="V83" s="1197"/>
      <c r="W83" s="1197"/>
      <c r="X83" s="1197"/>
      <c r="Y83" s="1199"/>
      <c r="Z83" s="1201"/>
      <c r="AA83" s="1197"/>
      <c r="AB83" s="1197"/>
      <c r="AC83" s="1197"/>
      <c r="AD83" s="1197"/>
      <c r="AE83" s="1212"/>
      <c r="AF83" s="1201"/>
      <c r="AG83" s="1197"/>
      <c r="AH83" s="1197"/>
      <c r="AI83" s="1197"/>
      <c r="AJ83" s="1197"/>
      <c r="AK83" s="1212"/>
      <c r="AL83" s="1201"/>
      <c r="AM83" s="1197"/>
      <c r="AN83" s="1197"/>
      <c r="AO83" s="1197"/>
      <c r="AP83" s="1197"/>
      <c r="AQ83" s="1212"/>
      <c r="AR83" s="1201"/>
      <c r="AS83" s="1384">
        <f>AS82/AS66</f>
        <v>0.18187584781581509</v>
      </c>
      <c r="AT83" s="1384">
        <f>AT82/AT66</f>
        <v>0.26814784412774384</v>
      </c>
      <c r="AU83" s="1384">
        <f>AU82/AU66</f>
        <v>3.8791378915138744E-2</v>
      </c>
      <c r="AV83" s="1588">
        <f>AV82/AV66</f>
        <v>7.4942063736676875E-2</v>
      </c>
      <c r="AW83" s="1385">
        <f>SUM(AS83:AV83)</f>
        <v>0.56375713459537458</v>
      </c>
      <c r="AX83" s="1201"/>
      <c r="AY83" s="1384">
        <f>AY82/AY66</f>
        <v>0.32062546627260147</v>
      </c>
      <c r="AZ83" s="1384">
        <f>AZ82/AZ66</f>
        <v>7.8284118524724805E-2</v>
      </c>
      <c r="BA83" s="1384">
        <f>BA82/BA66</f>
        <v>1.2266087656066203E-2</v>
      </c>
      <c r="BB83" s="1384">
        <f>BB82/BB66</f>
        <v>5.2107250248131391E-2</v>
      </c>
      <c r="BC83" s="1385">
        <f>SUM(AY83:BB83)</f>
        <v>0.46328292270152388</v>
      </c>
      <c r="BD83" s="1201"/>
      <c r="BE83" s="1384">
        <f>BE82/BE66</f>
        <v>2.3939315877762605E-2</v>
      </c>
      <c r="BF83" s="1384">
        <f>BF82/BF66</f>
        <v>0.14374578042248595</v>
      </c>
      <c r="BG83" s="1384">
        <f>BG82/BG66</f>
        <v>5.3145633842925019E-2</v>
      </c>
      <c r="BH83" s="1384">
        <f>BH82/BH66</f>
        <v>3.0665694195396172E-2</v>
      </c>
      <c r="BI83" s="1385">
        <f>SUM(BE83:BH83)</f>
        <v>0.25149642433856972</v>
      </c>
      <c r="BJ83" s="1201"/>
      <c r="BK83" s="1384">
        <f>BK82/BK66</f>
        <v>8.4952807212051881E-2</v>
      </c>
      <c r="BL83" s="1384">
        <f>BL82/BL66</f>
        <v>0.14401802519368931</v>
      </c>
      <c r="BM83" s="1384">
        <f>BM82/BM66</f>
        <v>1.0128064094950328E-2</v>
      </c>
      <c r="BN83" s="1384">
        <f>BN82/BN66</f>
        <v>5.3848450023381907E-2</v>
      </c>
      <c r="BO83" s="1385">
        <f>SUM(BK83:BN83)</f>
        <v>0.29294734652407339</v>
      </c>
      <c r="BP83" s="1201"/>
      <c r="BQ83" s="1384">
        <f>BQ82/BQ66</f>
        <v>0.19600861499999997</v>
      </c>
      <c r="BR83" s="1384">
        <f>BR82/BR66</f>
        <v>0.20509361187266631</v>
      </c>
      <c r="BS83" s="1384">
        <f>BS82/BS66</f>
        <v>0.15878766717028628</v>
      </c>
      <c r="BT83" s="1384">
        <f>BT82/BT66</f>
        <v>0.12382570507450769</v>
      </c>
      <c r="BU83" s="1385">
        <f>SUM(BQ83:BT83)</f>
        <v>0.68371559911746016</v>
      </c>
      <c r="BV83" s="1201"/>
      <c r="BW83" s="1384">
        <f>BW82/BW66</f>
        <v>0.11126822807387803</v>
      </c>
      <c r="BX83" s="1384">
        <f>BX82/BX66</f>
        <v>0.20004629210878608</v>
      </c>
      <c r="BY83" s="1384">
        <f>BY82/BY66</f>
        <v>0.15550666327983229</v>
      </c>
      <c r="BZ83" s="1384">
        <f>BZ82/BZ66</f>
        <v>0.12237790081059795</v>
      </c>
      <c r="CA83" s="1385">
        <f>SUM(BW83:BZ83)</f>
        <v>0.58919908427309431</v>
      </c>
      <c r="CB83" s="1201"/>
      <c r="CC83" s="1384">
        <f>CC82/CC66</f>
        <v>0.11052661598763462</v>
      </c>
      <c r="CD83" s="1384">
        <f>CD82/CD66</f>
        <v>0.30001032499130864</v>
      </c>
      <c r="CE83" s="1384">
        <f>CE82/CE66</f>
        <v>0.23365590337370951</v>
      </c>
      <c r="CF83" s="1384">
        <f>CF82/CF66</f>
        <v>0.18465838677080321</v>
      </c>
      <c r="CG83" s="1385">
        <f>SUM(CC83:CF83)</f>
        <v>0.82885123112345593</v>
      </c>
      <c r="CH83" s="1201"/>
      <c r="CI83" s="1384">
        <f>CI82/CI66</f>
        <v>0.16716496366317141</v>
      </c>
      <c r="CJ83" s="1384">
        <f>CJ82/CJ66</f>
        <v>0.5238743814799578</v>
      </c>
      <c r="CK83" s="1384">
        <f>CK82/CK66</f>
        <v>0.40820970650060345</v>
      </c>
      <c r="CL83" s="1384">
        <f>CL82/CL66</f>
        <v>0.32296532060331495</v>
      </c>
      <c r="CM83" s="1385">
        <f>SUM(CI83:CL83)</f>
        <v>1.4222143722470475</v>
      </c>
      <c r="CN83" s="1026"/>
      <c r="CO83" s="1026"/>
      <c r="CP83" s="1026"/>
    </row>
    <row r="84" spans="1:94" ht="12.75" hidden="1" customHeight="1" outlineLevel="1">
      <c r="A84" s="1213"/>
      <c r="B84" s="1214"/>
      <c r="C84" s="1214"/>
      <c r="D84" s="1214"/>
      <c r="E84" s="1214"/>
      <c r="F84" s="1214"/>
      <c r="G84" s="1213"/>
      <c r="H84" s="1214"/>
      <c r="I84" s="1215"/>
      <c r="J84" s="1215"/>
      <c r="K84" s="1215"/>
      <c r="L84" s="1215"/>
      <c r="M84" s="1216"/>
      <c r="N84" s="1214"/>
      <c r="O84" s="1215"/>
      <c r="P84" s="1215"/>
      <c r="Q84" s="1215"/>
      <c r="R84" s="1215"/>
      <c r="S84" s="1216"/>
      <c r="T84" s="1214"/>
      <c r="U84" s="1215"/>
      <c r="V84" s="1215"/>
      <c r="W84" s="1215"/>
      <c r="X84" s="1215"/>
      <c r="Y84" s="1216"/>
      <c r="Z84" s="1214"/>
      <c r="AA84" s="1215"/>
      <c r="AB84" s="1215"/>
      <c r="AC84" s="1215"/>
      <c r="AD84" s="1215"/>
      <c r="AE84" s="1216"/>
      <c r="AF84" s="1214"/>
      <c r="AG84" s="1215"/>
      <c r="AH84" s="1215"/>
      <c r="AI84" s="1215"/>
      <c r="AJ84" s="1215"/>
      <c r="AK84" s="1216"/>
      <c r="AL84" s="1214"/>
      <c r="AM84" s="1215"/>
      <c r="AN84" s="1215"/>
      <c r="AO84" s="1215"/>
      <c r="AP84" s="1215"/>
      <c r="AQ84" s="1216"/>
      <c r="AR84" s="1214"/>
      <c r="AS84" s="1215"/>
      <c r="AT84" s="1215"/>
      <c r="AU84" s="1215"/>
      <c r="AV84" s="1589"/>
      <c r="AW84" s="1590"/>
      <c r="AX84" s="1214"/>
      <c r="AY84" s="1215"/>
      <c r="AZ84" s="1215"/>
      <c r="BA84" s="1215"/>
      <c r="BB84" s="1215"/>
      <c r="BC84" s="1216"/>
      <c r="BD84" s="1214"/>
      <c r="BE84" s="1215"/>
      <c r="BF84" s="1215"/>
      <c r="BG84" s="1215"/>
      <c r="BH84" s="1215"/>
      <c r="BI84" s="1216"/>
      <c r="BJ84" s="1214"/>
      <c r="BK84" s="1215"/>
      <c r="BL84" s="1215"/>
      <c r="BM84" s="1215"/>
      <c r="BN84" s="1215"/>
      <c r="BO84" s="1216"/>
      <c r="BP84" s="1214"/>
      <c r="BQ84" s="1215"/>
      <c r="BR84" s="1215"/>
      <c r="BS84" s="1215"/>
      <c r="BT84" s="1215"/>
      <c r="BU84" s="1216"/>
      <c r="BV84" s="1214"/>
      <c r="BW84" s="1215"/>
      <c r="BX84" s="1215"/>
      <c r="BY84" s="1215"/>
      <c r="BZ84" s="1215"/>
      <c r="CA84" s="1216"/>
      <c r="CB84" s="1214"/>
      <c r="CC84" s="1215"/>
      <c r="CD84" s="1215"/>
      <c r="CE84" s="1215"/>
      <c r="CF84" s="1215"/>
      <c r="CG84" s="1216"/>
      <c r="CH84" s="1214"/>
      <c r="CI84" s="1215"/>
      <c r="CJ84" s="1215"/>
      <c r="CK84" s="1215"/>
      <c r="CL84" s="1215"/>
      <c r="CM84" s="1216"/>
      <c r="CN84" s="1026"/>
      <c r="CO84" s="1026"/>
      <c r="CP84" s="1026"/>
    </row>
    <row r="85" spans="1:94" ht="12.75" hidden="1" customHeight="1" outlineLevel="1">
      <c r="A85" s="1201"/>
      <c r="B85" s="1201"/>
      <c r="C85" s="1201"/>
      <c r="D85" s="1201"/>
      <c r="E85" s="1201"/>
      <c r="F85" s="1201"/>
      <c r="G85" s="1201"/>
      <c r="H85" s="1201"/>
      <c r="I85" s="1084"/>
      <c r="J85" s="1084"/>
      <c r="K85" s="1084"/>
      <c r="L85" s="1197"/>
      <c r="M85" s="1084"/>
      <c r="N85" s="1201"/>
      <c r="O85" s="1084"/>
      <c r="P85" s="1084"/>
      <c r="Q85" s="1084"/>
      <c r="R85" s="1084"/>
      <c r="S85" s="1197"/>
      <c r="T85" s="1201"/>
      <c r="U85" s="1197"/>
      <c r="V85" s="1197"/>
      <c r="W85" s="1197"/>
      <c r="X85" s="1197"/>
      <c r="Y85" s="920"/>
      <c r="Z85" s="1201"/>
      <c r="AA85" s="1197"/>
      <c r="AB85" s="1197"/>
      <c r="AC85" s="1197"/>
      <c r="AD85" s="1197"/>
      <c r="AE85" s="920"/>
      <c r="AF85" s="1201"/>
      <c r="AG85" s="1197"/>
      <c r="AH85" s="1197"/>
      <c r="AI85" s="1197"/>
      <c r="AJ85" s="1197"/>
      <c r="AK85" s="920"/>
      <c r="AL85" s="1201"/>
      <c r="AM85" s="1197"/>
      <c r="AN85" s="1197"/>
      <c r="AO85" s="1197"/>
      <c r="AP85" s="1197"/>
      <c r="AQ85" s="920"/>
      <c r="AR85" s="1201"/>
      <c r="AS85" s="1197"/>
      <c r="AT85" s="1197"/>
      <c r="AU85" s="1197"/>
      <c r="AV85" s="1584"/>
      <c r="AW85" s="36"/>
      <c r="AX85" s="1201"/>
      <c r="AY85" s="1197"/>
      <c r="AZ85" s="1197"/>
      <c r="BA85" s="1197"/>
      <c r="BB85" s="1197"/>
      <c r="BC85" s="920"/>
      <c r="BD85" s="1201"/>
      <c r="BE85" s="1197"/>
      <c r="BF85" s="1197"/>
      <c r="BG85" s="1197"/>
      <c r="BH85" s="1197"/>
      <c r="BI85" s="920"/>
      <c r="BJ85" s="1201"/>
      <c r="BK85" s="1197"/>
      <c r="BL85" s="1197"/>
      <c r="BM85" s="1197"/>
      <c r="BN85" s="1197"/>
      <c r="BO85" s="920"/>
      <c r="BP85" s="1201"/>
      <c r="BQ85" s="1197"/>
      <c r="BR85" s="1197"/>
      <c r="BS85" s="1197"/>
      <c r="BT85" s="1197"/>
      <c r="BU85" s="920"/>
      <c r="BV85" s="1201"/>
      <c r="BW85" s="1197"/>
      <c r="BX85" s="1197"/>
      <c r="BY85" s="1197"/>
      <c r="BZ85" s="1197"/>
      <c r="CA85" s="920"/>
      <c r="CB85" s="1201"/>
      <c r="CC85" s="1197"/>
      <c r="CD85" s="1197"/>
      <c r="CE85" s="1197"/>
      <c r="CF85" s="1197"/>
      <c r="CG85" s="920"/>
      <c r="CH85" s="1201"/>
      <c r="CI85" s="1197"/>
      <c r="CJ85" s="1197"/>
      <c r="CK85" s="1197"/>
      <c r="CL85" s="1197"/>
      <c r="CM85" s="920"/>
      <c r="CN85" s="920"/>
      <c r="CO85" s="920"/>
      <c r="CP85" s="920"/>
    </row>
    <row r="86" spans="1:94" collapsed="1">
      <c r="A86" s="1217" t="s">
        <v>384</v>
      </c>
      <c r="B86" s="1218"/>
      <c r="C86" s="1218"/>
      <c r="D86" s="1218"/>
      <c r="E86" s="1218"/>
      <c r="F86" s="1218"/>
      <c r="G86" s="1219"/>
      <c r="H86" s="1218"/>
      <c r="I86" s="1139"/>
      <c r="J86" s="1139"/>
      <c r="K86" s="1139"/>
      <c r="L86" s="1220"/>
      <c r="M86" s="1221"/>
      <c r="N86" s="1218"/>
      <c r="O86" s="1139"/>
      <c r="P86" s="1139"/>
      <c r="Q86" s="1139"/>
      <c r="R86" s="1139"/>
      <c r="S86" s="1222"/>
      <c r="T86" s="1218"/>
      <c r="U86" s="1220"/>
      <c r="V86" s="1220"/>
      <c r="W86" s="1220"/>
      <c r="X86" s="1220"/>
      <c r="Y86" s="1223"/>
      <c r="Z86" s="1218"/>
      <c r="AA86" s="1220"/>
      <c r="AB86" s="1220"/>
      <c r="AC86" s="1220"/>
      <c r="AD86" s="1220"/>
      <c r="AE86" s="1223"/>
      <c r="AF86" s="1218"/>
      <c r="AG86" s="1220"/>
      <c r="AH86" s="1220"/>
      <c r="AI86" s="1220"/>
      <c r="AJ86" s="1220"/>
      <c r="AK86" s="1223"/>
      <c r="AL86" s="1218"/>
      <c r="AM86" s="1220"/>
      <c r="AN86" s="1220"/>
      <c r="AO86" s="1220"/>
      <c r="AP86" s="1220"/>
      <c r="AQ86" s="1223"/>
      <c r="AR86" s="1218"/>
      <c r="AS86" s="1220"/>
      <c r="AT86" s="1220"/>
      <c r="AU86" s="1220"/>
      <c r="AV86" s="1591"/>
      <c r="AW86" s="1592"/>
      <c r="AX86" s="1218"/>
      <c r="AY86" s="1220"/>
      <c r="AZ86" s="1220"/>
      <c r="BA86" s="1220"/>
      <c r="BB86" s="1220"/>
      <c r="BC86" s="1223"/>
      <c r="BD86" s="1218"/>
      <c r="BE86" s="1220"/>
      <c r="BF86" s="1220"/>
      <c r="BG86" s="1220"/>
      <c r="BH86" s="1220"/>
      <c r="BI86" s="1223"/>
      <c r="BJ86" s="1218"/>
      <c r="BK86" s="1220"/>
      <c r="BL86" s="1220"/>
      <c r="BM86" s="1220"/>
      <c r="BN86" s="1220"/>
      <c r="BO86" s="1223"/>
      <c r="BP86" s="1218"/>
      <c r="BQ86" s="1220"/>
      <c r="BR86" s="1220"/>
      <c r="BS86" s="1220"/>
      <c r="BT86" s="1220"/>
      <c r="BU86" s="1223"/>
      <c r="BV86" s="1218"/>
      <c r="BW86" s="1220"/>
      <c r="BX86" s="1220"/>
      <c r="BY86" s="1220"/>
      <c r="BZ86" s="1220"/>
      <c r="CA86" s="1223"/>
      <c r="CB86" s="1218"/>
      <c r="CC86" s="1220"/>
      <c r="CD86" s="1220"/>
      <c r="CE86" s="1220"/>
      <c r="CF86" s="1220"/>
      <c r="CG86" s="1223"/>
      <c r="CH86" s="1218"/>
      <c r="CI86" s="1220"/>
      <c r="CJ86" s="1220"/>
      <c r="CK86" s="1220"/>
      <c r="CL86" s="1220"/>
      <c r="CM86" s="1223"/>
      <c r="CN86" s="1026"/>
      <c r="CO86" s="1026"/>
      <c r="CP86" s="1026"/>
    </row>
    <row r="87" spans="1:94">
      <c r="A87" s="1149" t="s">
        <v>385</v>
      </c>
      <c r="B87" s="1150"/>
      <c r="C87" s="1224">
        <f t="shared" ref="C87:L87" si="107">-C88/C89</f>
        <v>2.5694040211311733</v>
      </c>
      <c r="D87" s="1224">
        <f t="shared" si="107"/>
        <v>3.4076158481249825</v>
      </c>
      <c r="E87" s="1224">
        <f t="shared" si="107"/>
        <v>1.046647237122396</v>
      </c>
      <c r="F87" s="1224">
        <f t="shared" si="107"/>
        <v>0.98710722974073117</v>
      </c>
      <c r="G87" s="1225">
        <f t="shared" si="107"/>
        <v>7.8104088369933677</v>
      </c>
      <c r="H87" s="1224"/>
      <c r="I87" s="1226">
        <f t="shared" si="107"/>
        <v>1.6510552399345711E-2</v>
      </c>
      <c r="J87" s="1226">
        <f t="shared" si="107"/>
        <v>0</v>
      </c>
      <c r="K87" s="1226">
        <f t="shared" si="107"/>
        <v>2.041590570299415</v>
      </c>
      <c r="L87" s="1226">
        <f t="shared" si="107"/>
        <v>1.0409385361722694</v>
      </c>
      <c r="M87" s="1227">
        <f>-M88/M89</f>
        <v>3.1044521856758167</v>
      </c>
      <c r="N87" s="1224"/>
      <c r="O87" s="1226">
        <f>O88/O89</f>
        <v>-1.1007910569709576</v>
      </c>
      <c r="P87" s="1226">
        <f>P88/P89</f>
        <v>-6.3265735194065762E-4</v>
      </c>
      <c r="Q87" s="1226">
        <f>Q88/Q89</f>
        <v>-1.7729304765856416E-3</v>
      </c>
      <c r="R87" s="1226">
        <f>R88/R89</f>
        <v>0</v>
      </c>
      <c r="S87" s="1227">
        <f>-S88/S89</f>
        <v>0.87379070240107293</v>
      </c>
      <c r="T87" s="1224"/>
      <c r="U87" s="1226">
        <f>U88/U89</f>
        <v>-4.237933013966573E-2</v>
      </c>
      <c r="V87" s="1226">
        <f>V88/V89</f>
        <v>-2.47701372819709E-3</v>
      </c>
      <c r="W87" s="1226">
        <f>W88/W89</f>
        <v>0</v>
      </c>
      <c r="X87" s="1226">
        <f>X88/X89</f>
        <v>-2.9721599525700038</v>
      </c>
      <c r="Y87" s="1227">
        <f>-Y88/Y89</f>
        <v>3.2213107552634455</v>
      </c>
      <c r="Z87" s="1224"/>
      <c r="AA87" s="1226">
        <f>AA88/AA89</f>
        <v>-4.1607363672585294</v>
      </c>
      <c r="AB87" s="1226">
        <f>AB88/AB89</f>
        <v>-2.8589468300912749E-2</v>
      </c>
      <c r="AC87" s="1226">
        <f>AC88/AC89</f>
        <v>-3.0572909768874791E-4</v>
      </c>
      <c r="AD87" s="1226">
        <f>AD88/AD89</f>
        <v>-4.367558538366351E-5</v>
      </c>
      <c r="AE87" s="1227">
        <f>-AE88/AE89</f>
        <v>4.4410028296633222</v>
      </c>
      <c r="AF87" s="1224"/>
      <c r="AG87" s="1226">
        <f>AG88/AG89</f>
        <v>0</v>
      </c>
      <c r="AH87" s="1226">
        <f>AH88/AH89</f>
        <v>-1.6314776226615195E-2</v>
      </c>
      <c r="AI87" s="1226">
        <f>AI88/AI89</f>
        <v>-1.0706189230883225E-3</v>
      </c>
      <c r="AJ87" s="1226">
        <f>AJ88/AJ89</f>
        <v>-3.9134628047027953E-4</v>
      </c>
      <c r="AK87" s="1227">
        <f>AK88/AK89</f>
        <v>-1.7233351313278227E-2</v>
      </c>
      <c r="AL87" s="1224"/>
      <c r="AM87" s="1226">
        <f>AM88/AM89</f>
        <v>-3.4923659739184791</v>
      </c>
      <c r="AN87" s="1226">
        <f>AN88/AN89</f>
        <v>-4.1255039791937061E-3</v>
      </c>
      <c r="AO87" s="1226">
        <f>AO88/AO89</f>
        <v>-5.3770285345116848E-3</v>
      </c>
      <c r="AP87" s="1226">
        <f>AP88/AP89</f>
        <v>-5.5428921450161811E-3</v>
      </c>
      <c r="AQ87" s="1227">
        <f>AQ88/AQ89</f>
        <v>-3.4126867303963535</v>
      </c>
      <c r="AR87" s="1224"/>
      <c r="AS87" s="1226">
        <f>AS88/AS89</f>
        <v>-8.9223403701438386E-2</v>
      </c>
      <c r="AT87" s="1226">
        <f>AT88/AT89</f>
        <v>-0.780799515563952</v>
      </c>
      <c r="AU87" s="1226">
        <f>AU88/AU89</f>
        <v>-6.1495179596536998E-4</v>
      </c>
      <c r="AV87" s="1226">
        <f>AV88/AV89</f>
        <v>-0.61635528289082808</v>
      </c>
      <c r="AW87" s="1227">
        <f>AW88/AW89</f>
        <v>-1.477877259881021</v>
      </c>
      <c r="AX87" s="1224"/>
      <c r="AY87" s="1226">
        <f>AY88/AY89</f>
        <v>-8.5358162963627263E-2</v>
      </c>
      <c r="AZ87" s="1226">
        <f>AZ88/AZ89</f>
        <v>-2.7046446986722281E-3</v>
      </c>
      <c r="BA87" s="1226">
        <f>BA88/BA89</f>
        <v>-1.4513514297239885</v>
      </c>
      <c r="BB87" s="1226">
        <f>BB88/BB89</f>
        <v>-5.5316388184740691E-3</v>
      </c>
      <c r="BC87" s="1227">
        <f>BC88/BC89</f>
        <v>-1.5371881702651415</v>
      </c>
      <c r="BD87" s="1224"/>
      <c r="BE87" s="1226">
        <f>BE88/BE89</f>
        <v>-2.915943034783655</v>
      </c>
      <c r="BF87" s="1226">
        <f>BF88/BF89</f>
        <v>-3.6520777546364684E-3</v>
      </c>
      <c r="BG87" s="1226">
        <f>BG88/BG89</f>
        <v>-1.7590975019892443E-3</v>
      </c>
      <c r="BH87" s="1226">
        <f>BH88/BH89</f>
        <v>-3.0808061885101521E-3</v>
      </c>
      <c r="BI87" s="1227">
        <f>BI88/BI89</f>
        <v>-2.8735183400966413</v>
      </c>
      <c r="BJ87" s="1224"/>
      <c r="BK87" s="1226">
        <f>BK88/BK89</f>
        <v>-5.7343053177931647E-2</v>
      </c>
      <c r="BL87" s="1226">
        <f>BL88/BL89</f>
        <v>-2.2213875090231652E-3</v>
      </c>
      <c r="BM87" s="1226">
        <f>BM88/BM89</f>
        <v>-3.2052722862905047E-3</v>
      </c>
      <c r="BN87" s="1226">
        <f>BN88/BN89</f>
        <v>-4.933525018706056E-3</v>
      </c>
      <c r="BO87" s="1227">
        <f>BO88/BO89</f>
        <v>-6.002683333857619E-2</v>
      </c>
      <c r="BP87" s="1224"/>
      <c r="BQ87" s="1226">
        <f>BQ88/BQ89</f>
        <v>-0.1875</v>
      </c>
      <c r="BR87" s="1226">
        <f>BR88/BR89</f>
        <v>-0.18381003763080808</v>
      </c>
      <c r="BS87" s="1226">
        <f>BS88/BS89</f>
        <v>-0.18019269298047511</v>
      </c>
      <c r="BT87" s="1226">
        <f>BT88/BT89</f>
        <v>-0.17664653694686813</v>
      </c>
      <c r="BU87" s="1227">
        <f>BU88/BU89</f>
        <v>-0.72778980142046557</v>
      </c>
      <c r="BV87" s="1224"/>
      <c r="BW87" s="1226">
        <f>BW88/BW89</f>
        <v>-0.34634033710459478</v>
      </c>
      <c r="BX87" s="1226">
        <f>BX88/BX89</f>
        <v>-0.33952442878006572</v>
      </c>
      <c r="BY87" s="1226">
        <f>BY88/BY89</f>
        <v>-0.33284265616342662</v>
      </c>
      <c r="BZ87" s="1226">
        <f>BZ88/BZ89</f>
        <v>-0.32629237949086698</v>
      </c>
      <c r="CA87" s="1227">
        <f>CA88/CA89</f>
        <v>-1.3443358142146673</v>
      </c>
      <c r="CB87" s="1224"/>
      <c r="CC87" s="1226">
        <f>CC88/CC89</f>
        <v>-0.31987101094859827</v>
      </c>
      <c r="CD87" s="1226">
        <f>CD88/CD89</f>
        <v>-0.31357601365048782</v>
      </c>
      <c r="CE87" s="1226">
        <f>CE88/CE89</f>
        <v>-0.30740490063581311</v>
      </c>
      <c r="CF87" s="1226">
        <f>CF88/CF89</f>
        <v>-0.30135523388673935</v>
      </c>
      <c r="CG87" s="1227">
        <f>CG88/CG89</f>
        <v>-1.2415939175383675</v>
      </c>
      <c r="CH87" s="1224"/>
      <c r="CI87" s="1226">
        <f>CI88/CI89</f>
        <v>-0.29542462336513348</v>
      </c>
      <c r="CJ87" s="1226">
        <f>CJ88/CJ89</f>
        <v>-0.28961072606833327</v>
      </c>
      <c r="CK87" s="1226">
        <f>CK88/CK89</f>
        <v>-0.28391124510349858</v>
      </c>
      <c r="CL87" s="1226">
        <f>CL88/CL89</f>
        <v>-0.27832392878017947</v>
      </c>
      <c r="CM87" s="1227">
        <f>CM88/CM89</f>
        <v>-1.1467041491926737</v>
      </c>
      <c r="CN87" s="1026"/>
      <c r="CO87" s="1026"/>
      <c r="CP87" s="1026"/>
    </row>
    <row r="88" spans="1:94">
      <c r="A88" s="1149" t="s">
        <v>386</v>
      </c>
      <c r="B88" s="1150"/>
      <c r="C88" s="1224">
        <f t="shared" ref="C88:L88" si="108">C45</f>
        <v>-60.027999999999999</v>
      </c>
      <c r="D88" s="1224">
        <f t="shared" si="108"/>
        <v>-87.076999999999998</v>
      </c>
      <c r="E88" s="1224">
        <f t="shared" si="108"/>
        <v>-28.926000000000016</v>
      </c>
      <c r="F88" s="1224">
        <f t="shared" si="108"/>
        <v>-26.939999999999998</v>
      </c>
      <c r="G88" s="1228">
        <f>SUM(C88:F88)</f>
        <v>-202.971</v>
      </c>
      <c r="H88" s="1224"/>
      <c r="I88" s="1226">
        <f t="shared" si="108"/>
        <v>-0.40799999999999997</v>
      </c>
      <c r="J88" s="1226">
        <f t="shared" si="108"/>
        <v>0</v>
      </c>
      <c r="K88" s="1226">
        <f t="shared" si="108"/>
        <v>-56.731000000000002</v>
      </c>
      <c r="L88" s="1226">
        <f t="shared" si="108"/>
        <v>-18.374999999999993</v>
      </c>
      <c r="M88" s="1228">
        <f>SUM(I88:L88)</f>
        <v>-75.513999999999996</v>
      </c>
      <c r="N88" s="1224"/>
      <c r="O88" s="1226">
        <f t="shared" ref="O88:AC88" si="109">O45</f>
        <v>-14.577</v>
      </c>
      <c r="P88" s="1226">
        <f t="shared" si="109"/>
        <v>-9.9999999999997868E-3</v>
      </c>
      <c r="Q88" s="1226">
        <f t="shared" si="109"/>
        <v>-3.2000000000000028E-2</v>
      </c>
      <c r="R88" s="1226">
        <f t="shared" si="109"/>
        <v>0</v>
      </c>
      <c r="S88" s="1228">
        <f>SUM(O88:R88)</f>
        <v>-14.619</v>
      </c>
      <c r="T88" s="1224"/>
      <c r="U88" s="1226">
        <f t="shared" si="109"/>
        <v>-0.93799999999999994</v>
      </c>
      <c r="V88" s="1226">
        <f t="shared" si="109"/>
        <v>-5.7000000000000051E-2</v>
      </c>
      <c r="W88" s="1226">
        <f t="shared" si="109"/>
        <v>0</v>
      </c>
      <c r="X88" s="1226">
        <f t="shared" si="109"/>
        <v>-71.772999999999996</v>
      </c>
      <c r="Y88" s="1228">
        <f>SUM(U88:X88)</f>
        <v>-72.768000000000001</v>
      </c>
      <c r="Z88" s="1224"/>
      <c r="AA88" s="1226">
        <f t="shared" si="109"/>
        <v>-109.224</v>
      </c>
      <c r="AB88" s="1226">
        <f t="shared" si="109"/>
        <v>-0.77299999999999613</v>
      </c>
      <c r="AC88" s="1226">
        <f t="shared" si="109"/>
        <v>-7.0000000000050022E-3</v>
      </c>
      <c r="AD88" s="1226">
        <f>AD45</f>
        <v>-9.9999999999056399E-4</v>
      </c>
      <c r="AE88" s="1228">
        <f>SUM(AA88:AD88)</f>
        <v>-110.005</v>
      </c>
      <c r="AF88" s="1224"/>
      <c r="AG88" s="1229">
        <v>0</v>
      </c>
      <c r="AH88" s="1226">
        <f>AH45</f>
        <v>-0.43099999999999999</v>
      </c>
      <c r="AI88" s="1226">
        <f>AI45</f>
        <v>-2.9000000000000001E-2</v>
      </c>
      <c r="AJ88" s="1226">
        <f>AJ45</f>
        <v>-1.2000000000000455E-2</v>
      </c>
      <c r="AK88" s="1228">
        <f>SUM(AG88:AJ88)</f>
        <v>-0.47200000000000047</v>
      </c>
      <c r="AL88" s="1224"/>
      <c r="AM88" s="1229">
        <v>-120</v>
      </c>
      <c r="AN88" s="1226">
        <f>AN45</f>
        <v>-0.13499999999999091</v>
      </c>
      <c r="AO88" s="1226">
        <f>AO45</f>
        <v>-0.19300000000001205</v>
      </c>
      <c r="AP88" s="1226">
        <f>AP45</f>
        <v>-0.21199999999998909</v>
      </c>
      <c r="AQ88" s="1228">
        <f>SUM(AM88:AP88)</f>
        <v>-120.53999999999999</v>
      </c>
      <c r="AR88" s="1224"/>
      <c r="AS88" s="1226">
        <f>AS45</f>
        <v>-3.9159999999999999</v>
      </c>
      <c r="AT88" s="1226">
        <f>AT45</f>
        <v>-35.06</v>
      </c>
      <c r="AU88" s="1226">
        <f>AU45</f>
        <v>-2.7999999999998693E-2</v>
      </c>
      <c r="AV88" s="1226">
        <f>AV45</f>
        <v>-26.524999999999999</v>
      </c>
      <c r="AW88" s="1228">
        <f>SUM(AS88:AV88)</f>
        <v>-65.528999999999996</v>
      </c>
      <c r="AX88" s="1224"/>
      <c r="AY88" s="1226">
        <f>AY45</f>
        <v>-3.9540000000000002</v>
      </c>
      <c r="AZ88" s="1226">
        <f>AZ45</f>
        <v>-0.14099999999999957</v>
      </c>
      <c r="BA88" s="1226">
        <f>BA45</f>
        <v>-72.063000000000002</v>
      </c>
      <c r="BB88" s="1226">
        <f>BB45</f>
        <v>-0.2809999999999917</v>
      </c>
      <c r="BC88" s="1228">
        <f>SUM(AY88:BB88)</f>
        <v>-76.438999999999993</v>
      </c>
      <c r="BD88" s="1224"/>
      <c r="BE88" s="1226">
        <f>BE45</f>
        <v>-151.352</v>
      </c>
      <c r="BF88" s="1226">
        <f>BF45</f>
        <v>-0.19200000000000728</v>
      </c>
      <c r="BG88" s="1226">
        <f>BG45</f>
        <v>-9.5999999999975216E-2</v>
      </c>
      <c r="BH88" s="1226">
        <f>BH45</f>
        <v>-0.16100000000000136</v>
      </c>
      <c r="BI88" s="1228">
        <f>SUM(BE88:BH88)</f>
        <v>-151.80099999999999</v>
      </c>
      <c r="BJ88" s="1224"/>
      <c r="BK88" s="1226">
        <f>BK45</f>
        <v>-3.1269999999999998</v>
      </c>
      <c r="BL88" s="1226">
        <f>BL45</f>
        <v>-0.13800000000000034</v>
      </c>
      <c r="BM88" s="1226">
        <f>BM45</f>
        <v>-0.21499999999999986</v>
      </c>
      <c r="BN88" s="1226">
        <f>BN45</f>
        <v>-0.35400000000000009</v>
      </c>
      <c r="BO88" s="1228">
        <f>SUM(BK88:BN88)</f>
        <v>-3.8340000000000001</v>
      </c>
      <c r="BP88" s="1224"/>
      <c r="BQ88" s="1229">
        <v>-15</v>
      </c>
      <c r="BR88" s="1229">
        <v>-15</v>
      </c>
      <c r="BS88" s="1229">
        <v>-15</v>
      </c>
      <c r="BT88" s="1229">
        <v>-15</v>
      </c>
      <c r="BU88" s="1228">
        <f>SUM(BQ88:BT88)</f>
        <v>-60</v>
      </c>
      <c r="BV88" s="1224"/>
      <c r="BW88" s="1229">
        <v>-30</v>
      </c>
      <c r="BX88" s="1229">
        <v>-30</v>
      </c>
      <c r="BY88" s="1229">
        <v>-30</v>
      </c>
      <c r="BZ88" s="1229">
        <v>-30</v>
      </c>
      <c r="CA88" s="1228">
        <f>SUM(BW88:BZ88)</f>
        <v>-120</v>
      </c>
      <c r="CB88" s="1224"/>
      <c r="CC88" s="1229">
        <v>-30</v>
      </c>
      <c r="CD88" s="1229">
        <v>-30</v>
      </c>
      <c r="CE88" s="1229">
        <v>-30</v>
      </c>
      <c r="CF88" s="1229">
        <v>-30</v>
      </c>
      <c r="CG88" s="1228">
        <f>SUM(CC88:CF88)</f>
        <v>-120</v>
      </c>
      <c r="CH88" s="1224"/>
      <c r="CI88" s="1229">
        <v>-30</v>
      </c>
      <c r="CJ88" s="1229">
        <v>-30</v>
      </c>
      <c r="CK88" s="1229">
        <v>-30</v>
      </c>
      <c r="CL88" s="1229">
        <v>-30</v>
      </c>
      <c r="CM88" s="1228">
        <f>SUM(CI88:CL88)</f>
        <v>-120</v>
      </c>
      <c r="CN88" s="1026"/>
      <c r="CO88" s="1026"/>
      <c r="CP88" s="1026"/>
    </row>
    <row r="89" spans="1:94">
      <c r="A89" s="1149" t="s">
        <v>387</v>
      </c>
      <c r="B89" s="1230"/>
      <c r="C89" s="1230">
        <f t="shared" ref="C89:L89" si="110">C66</f>
        <v>23.362616196721305</v>
      </c>
      <c r="D89" s="1230">
        <f t="shared" si="110"/>
        <v>25.553643333333341</v>
      </c>
      <c r="E89" s="1230">
        <f t="shared" si="110"/>
        <v>27.636818761904763</v>
      </c>
      <c r="F89" s="1230">
        <f t="shared" si="110"/>
        <v>27.291867781249994</v>
      </c>
      <c r="G89" s="1231">
        <f t="shared" si="110"/>
        <v>25.987243976095634</v>
      </c>
      <c r="H89" s="1230"/>
      <c r="I89" s="1232">
        <f t="shared" si="110"/>
        <v>24.711468770491802</v>
      </c>
      <c r="J89" s="1232">
        <f t="shared" si="110"/>
        <v>27.164368609375</v>
      </c>
      <c r="K89" s="1232">
        <f t="shared" si="110"/>
        <v>27.787647937500008</v>
      </c>
      <c r="L89" s="1232">
        <f t="shared" si="110"/>
        <v>17.652339078125006</v>
      </c>
      <c r="M89" s="1233">
        <f t="shared" ref="M89:AS89" si="111">M66</f>
        <v>24.324420375494089</v>
      </c>
      <c r="N89" s="1230"/>
      <c r="O89" s="1232">
        <f t="shared" si="111"/>
        <v>13.242295081967212</v>
      </c>
      <c r="P89" s="1232">
        <f t="shared" si="111"/>
        <v>15.806344412698412</v>
      </c>
      <c r="Q89" s="1232">
        <f t="shared" si="111"/>
        <v>18.049213109375</v>
      </c>
      <c r="R89" s="1232">
        <f t="shared" si="111"/>
        <v>19.646399078125</v>
      </c>
      <c r="S89" s="1233">
        <f t="shared" si="111"/>
        <v>16.730551103174623</v>
      </c>
      <c r="T89" s="1230"/>
      <c r="U89" s="1232">
        <f t="shared" si="111"/>
        <v>22.133431484375002</v>
      </c>
      <c r="V89" s="1232">
        <f t="shared" si="111"/>
        <v>23.011580174603175</v>
      </c>
      <c r="W89" s="1232">
        <f t="shared" si="111"/>
        <v>21.071400421874998</v>
      </c>
      <c r="X89" s="1232">
        <f t="shared" si="111"/>
        <v>24.148431156249998</v>
      </c>
      <c r="Y89" s="1233">
        <f t="shared" si="111"/>
        <v>22.5895623019608</v>
      </c>
      <c r="Z89" s="1230"/>
      <c r="AA89" s="1232">
        <f t="shared" si="111"/>
        <v>26.251122483870969</v>
      </c>
      <c r="AB89" s="1232">
        <f t="shared" si="111"/>
        <v>27.037928507936513</v>
      </c>
      <c r="AC89" s="1232">
        <f t="shared" si="111"/>
        <v>22.896086937499998</v>
      </c>
      <c r="AD89" s="1232">
        <f>AD66</f>
        <v>22.896086937499998</v>
      </c>
      <c r="AE89" s="1233">
        <f t="shared" si="111"/>
        <v>24.770306216701872</v>
      </c>
      <c r="AF89" s="1230"/>
      <c r="AG89" s="1232">
        <f t="shared" si="111"/>
        <v>25.407251209677423</v>
      </c>
      <c r="AH89" s="1232">
        <f>AH66</f>
        <v>26.417769634920639</v>
      </c>
      <c r="AI89" s="1232">
        <f>AI66</f>
        <v>27.087135650793648</v>
      </c>
      <c r="AJ89" s="1232">
        <f t="shared" si="111"/>
        <v>30.663380741935491</v>
      </c>
      <c r="AK89" s="1233">
        <f t="shared" si="111"/>
        <v>27.388752856000007</v>
      </c>
      <c r="AL89" s="1230"/>
      <c r="AM89" s="1232">
        <f t="shared" si="111"/>
        <v>34.360660049999993</v>
      </c>
      <c r="AN89" s="1232">
        <f t="shared" si="111"/>
        <v>32.723274703124993</v>
      </c>
      <c r="AO89" s="1232">
        <f t="shared" si="111"/>
        <v>35.893430500000008</v>
      </c>
      <c r="AP89" s="1232">
        <f>AP66</f>
        <v>38.247181156250008</v>
      </c>
      <c r="AQ89" s="1233">
        <f>AQ66</f>
        <v>35.321144166666691</v>
      </c>
      <c r="AR89" s="1230"/>
      <c r="AS89" s="1232">
        <f t="shared" si="111"/>
        <v>43.889829770491815</v>
      </c>
      <c r="AT89" s="1232">
        <f>AT66</f>
        <v>44.902691793650817</v>
      </c>
      <c r="AU89" s="1232">
        <f>AU66</f>
        <v>45.532024109375016</v>
      </c>
      <c r="AV89" s="1232">
        <f>AV66</f>
        <v>43.035244016393449</v>
      </c>
      <c r="AW89" s="1233">
        <f>AW66</f>
        <v>44.339947422477778</v>
      </c>
      <c r="AX89" s="1230"/>
      <c r="AY89" s="1232">
        <f>AY66</f>
        <v>46.322458950819673</v>
      </c>
      <c r="AZ89" s="1232">
        <f>AZ66</f>
        <v>52.132540761904764</v>
      </c>
      <c r="BA89" s="1232">
        <f>BA66</f>
        <v>49.652343687500014</v>
      </c>
      <c r="BB89" s="1232">
        <f>BB66</f>
        <v>50.798689000000003</v>
      </c>
      <c r="BC89" s="1233">
        <f>BC66</f>
        <v>49.726508100056108</v>
      </c>
      <c r="BD89" s="1230"/>
      <c r="BE89" s="1232">
        <f>BE66</f>
        <v>51.904992036728657</v>
      </c>
      <c r="BF89" s="1232">
        <f>BF66</f>
        <v>52.572812765625017</v>
      </c>
      <c r="BG89" s="1232">
        <f>BG66</f>
        <v>54.573438875000001</v>
      </c>
      <c r="BH89" s="1232">
        <f>BH66</f>
        <v>52.259048492063499</v>
      </c>
      <c r="BI89" s="1233">
        <f>BI66</f>
        <v>52.827573042354295</v>
      </c>
      <c r="BJ89" s="1230"/>
      <c r="BK89" s="1232">
        <f>BK66</f>
        <v>54.531452838709662</v>
      </c>
      <c r="BL89" s="1232">
        <f>BL66</f>
        <v>62.123334825396846</v>
      </c>
      <c r="BM89" s="1232">
        <f>BM66</f>
        <v>67.076984666666689</v>
      </c>
      <c r="BN89" s="1232">
        <f>BN66</f>
        <v>71.753968746031759</v>
      </c>
      <c r="BO89" s="1233">
        <f>BO66</f>
        <v>63.871435269201243</v>
      </c>
      <c r="BP89" s="1230"/>
      <c r="BQ89" s="1232">
        <f>BQ66</f>
        <v>80</v>
      </c>
      <c r="BR89" s="1232">
        <f>BR66</f>
        <v>81.605989495134494</v>
      </c>
      <c r="BS89" s="1232">
        <f>BS66</f>
        <v>83.244219018500019</v>
      </c>
      <c r="BT89" s="1232">
        <f>BT66</f>
        <v>84.915335784429843</v>
      </c>
      <c r="BU89" s="1233">
        <f>BU66</f>
        <v>82.441386074516089</v>
      </c>
      <c r="BV89" s="1230"/>
      <c r="BW89" s="1232">
        <f>BW66</f>
        <v>86.62</v>
      </c>
      <c r="BX89" s="1232">
        <f>BX66</f>
        <v>88.358885125856872</v>
      </c>
      <c r="BY89" s="1232">
        <f>BY66</f>
        <v>90.132678142280895</v>
      </c>
      <c r="BZ89" s="1232">
        <f>BZ66</f>
        <v>91.942079820591417</v>
      </c>
      <c r="CA89" s="1233">
        <f>CA66</f>
        <v>89.263410772182297</v>
      </c>
      <c r="CB89" s="1230"/>
      <c r="CC89" s="1232">
        <f>CC66</f>
        <v>93.787805000000006</v>
      </c>
      <c r="CD89" s="1232">
        <f>CD66</f>
        <v>95.670582870021533</v>
      </c>
      <c r="CE89" s="1232">
        <f>CE66</f>
        <v>97.591157258554645</v>
      </c>
      <c r="CF89" s="1232">
        <f>CF66</f>
        <v>99.550286925745354</v>
      </c>
      <c r="CG89" s="1233">
        <f>CG66</f>
        <v>96.649958013580388</v>
      </c>
      <c r="CH89" s="1230"/>
      <c r="CI89" s="1232">
        <f>CI66</f>
        <v>101.54874586375</v>
      </c>
      <c r="CJ89" s="1232">
        <f>CJ66</f>
        <v>103.58732360251581</v>
      </c>
      <c r="CK89" s="1232">
        <f>CK66</f>
        <v>105.66682552170003</v>
      </c>
      <c r="CL89" s="1232">
        <f>CL66</f>
        <v>107.78807316885079</v>
      </c>
      <c r="CM89" s="1233">
        <f>CM66</f>
        <v>104.64774203920416</v>
      </c>
      <c r="CN89" s="1026"/>
      <c r="CO89" s="1026"/>
      <c r="CP89" s="1026"/>
    </row>
    <row r="90" spans="1:94">
      <c r="A90" s="1234" t="s">
        <v>388</v>
      </c>
      <c r="B90" s="1235"/>
      <c r="C90" s="1235"/>
      <c r="D90" s="1235"/>
      <c r="E90" s="1235"/>
      <c r="F90" s="1235"/>
      <c r="G90" s="1236"/>
      <c r="H90" s="1235"/>
      <c r="I90" s="1237"/>
      <c r="J90" s="1237"/>
      <c r="K90" s="1237"/>
      <c r="L90" s="1215"/>
      <c r="M90" s="1236">
        <f>M89/G89-1</f>
        <v>-6.3986146516001985E-2</v>
      </c>
      <c r="N90" s="1235"/>
      <c r="O90" s="1237"/>
      <c r="P90" s="1237"/>
      <c r="Q90" s="1237"/>
      <c r="R90" s="1237"/>
      <c r="S90" s="1236">
        <f>S89/M89-1</f>
        <v>-0.3121911706463516</v>
      </c>
      <c r="T90" s="1235"/>
      <c r="U90" s="1215"/>
      <c r="V90" s="1215"/>
      <c r="W90" s="1215"/>
      <c r="X90" s="1215"/>
      <c r="Y90" s="1236">
        <f>Y89/S89-1</f>
        <v>0.35019833851584425</v>
      </c>
      <c r="Z90" s="1235"/>
      <c r="AA90" s="1238">
        <f>AA89/U89-1</f>
        <v>0.18603943100295273</v>
      </c>
      <c r="AB90" s="1238">
        <f>AB89/V89-1</f>
        <v>0.17497052800298496</v>
      </c>
      <c r="AC90" s="1238">
        <f>AC89/W89-1</f>
        <v>8.6595407950708747E-2</v>
      </c>
      <c r="AD90" s="1239">
        <f>AD89/X89-1</f>
        <v>-5.1860272439515076E-2</v>
      </c>
      <c r="AE90" s="1239">
        <f>AE89/Y89-1</f>
        <v>9.6537679021420519E-2</v>
      </c>
      <c r="AF90" s="1235"/>
      <c r="AG90" s="1238">
        <f>AG89/AA89-1</f>
        <v>-3.2146102503313179E-2</v>
      </c>
      <c r="AH90" s="1238">
        <f>AH89/AB89-1</f>
        <v>-2.2936626703256469E-2</v>
      </c>
      <c r="AI90" s="1238">
        <f>AI89/AC89-1</f>
        <v>0.18304650592627714</v>
      </c>
      <c r="AJ90" s="1239">
        <f>AJ89/AD89-1</f>
        <v>0.3392411037588241</v>
      </c>
      <c r="AK90" s="1239">
        <f>AK89/AE89-1</f>
        <v>0.10570909444521104</v>
      </c>
      <c r="AL90" s="1235"/>
      <c r="AM90" s="1238">
        <f>AM89/AG89-1</f>
        <v>0.35239580883556143</v>
      </c>
      <c r="AN90" s="1238">
        <f>AN89/AH89-1</f>
        <v>0.23868423244441295</v>
      </c>
      <c r="AO90" s="1238">
        <f>AO89/AI89-1</f>
        <v>0.32510985889157085</v>
      </c>
      <c r="AP90" s="1239">
        <f>AP89/AJ89-1</f>
        <v>0.24732434033090311</v>
      </c>
      <c r="AQ90" s="1239">
        <f>AQ89/AK89-1</f>
        <v>0.28962221654897102</v>
      </c>
      <c r="AR90" s="1235"/>
      <c r="AS90" s="1238">
        <f>AS89/AM89-1</f>
        <v>0.27732790076283242</v>
      </c>
      <c r="AT90" s="1238">
        <f>AT89/AN89-1</f>
        <v>0.37219432349057402</v>
      </c>
      <c r="AU90" s="1238">
        <f>AU89/AO89-1</f>
        <v>0.26853364181434269</v>
      </c>
      <c r="AV90" s="1238">
        <f>AV89/AP89-1</f>
        <v>0.12518733970440632</v>
      </c>
      <c r="AW90" s="1236">
        <f>AW89/AQ89-1</f>
        <v>0.25533723407302089</v>
      </c>
      <c r="AX90" s="1235"/>
      <c r="AY90" s="1238">
        <f>AY89/AS89-1</f>
        <v>5.542580577433398E-2</v>
      </c>
      <c r="AZ90" s="1238">
        <f>AZ89/AT89-1</f>
        <v>0.16101148237345186</v>
      </c>
      <c r="BA90" s="1238">
        <f>BA89/AU89-1</f>
        <v>9.0492783018548684E-2</v>
      </c>
      <c r="BB90" s="1239">
        <f>BB89/AV89-1</f>
        <v>0.18039737338654849</v>
      </c>
      <c r="BC90" s="1239">
        <f>BC89/AW89-1</f>
        <v>0.12148324458426529</v>
      </c>
      <c r="BD90" s="1235"/>
      <c r="BE90" s="1238">
        <f>BE89/AY89-1</f>
        <v>0.12051461024199805</v>
      </c>
      <c r="BF90" s="1238">
        <f>BF89/AZ89-1</f>
        <v>8.4452435520268043E-3</v>
      </c>
      <c r="BG90" s="1238">
        <f>BG89/BA89-1</f>
        <v>9.9111035291147287E-2</v>
      </c>
      <c r="BH90" s="1239">
        <f>BH89/BB89-1</f>
        <v>2.8747975997244657E-2</v>
      </c>
      <c r="BI90" s="1239">
        <f>BI89/BC89-1</f>
        <v>6.2362411132075524E-2</v>
      </c>
      <c r="BJ90" s="1235"/>
      <c r="BK90" s="1238">
        <f>BK89/BE89-1</f>
        <v>5.0601314033965838E-2</v>
      </c>
      <c r="BL90" s="1238">
        <f>BL89/BF89-1</f>
        <v>0.18166275603987625</v>
      </c>
      <c r="BM90" s="1238">
        <f>BM89/BG89-1</f>
        <v>0.22911412675140297</v>
      </c>
      <c r="BN90" s="1239">
        <f>BN89/BH89-1</f>
        <v>0.37304391902445233</v>
      </c>
      <c r="BO90" s="1239">
        <f>BO89/BI89-1</f>
        <v>0.20905488537193584</v>
      </c>
      <c r="BP90" s="1235"/>
      <c r="BQ90" s="1238">
        <f>BQ89/BK89-1</f>
        <v>0.46704325367269983</v>
      </c>
      <c r="BR90" s="1238">
        <f>BR89/BL89-1</f>
        <v>0.31361250526063</v>
      </c>
      <c r="BS90" s="1238">
        <f>BS89/BM89-1</f>
        <v>0.24102506145997782</v>
      </c>
      <c r="BT90" s="1239">
        <f>BT89/BN89-1</f>
        <v>0.18342354114211901</v>
      </c>
      <c r="BU90" s="1236">
        <f>BU89/BO89-1</f>
        <v>0.29073952584668561</v>
      </c>
      <c r="BV90" s="1235"/>
      <c r="BW90" s="1238">
        <f>BW89/BQ89-1</f>
        <v>8.2750000000000101E-2</v>
      </c>
      <c r="BX90" s="1238">
        <f>BX89/BR89-1</f>
        <v>8.2749999999999879E-2</v>
      </c>
      <c r="BY90" s="1238">
        <f>BY89/BS89-1</f>
        <v>8.2750000000000101E-2</v>
      </c>
      <c r="BZ90" s="1239">
        <f>BZ89/BT89-1</f>
        <v>8.2750000000000101E-2</v>
      </c>
      <c r="CA90" s="1236">
        <f>CA89/BU89-1</f>
        <v>8.2750000000000101E-2</v>
      </c>
      <c r="CB90" s="1235"/>
      <c r="CC90" s="1238">
        <f>CC89/BW89-1</f>
        <v>8.2750000000000101E-2</v>
      </c>
      <c r="CD90" s="1238">
        <f>CD89/BX89-1</f>
        <v>8.2750000000000101E-2</v>
      </c>
      <c r="CE90" s="1238">
        <f>CE89/BY89-1</f>
        <v>8.2750000000000101E-2</v>
      </c>
      <c r="CF90" s="1239">
        <f>CF89/BZ89-1</f>
        <v>8.2749999999999879E-2</v>
      </c>
      <c r="CG90" s="1236">
        <f>CG89/CA89-1</f>
        <v>8.2750000000000101E-2</v>
      </c>
      <c r="CH90" s="1235"/>
      <c r="CI90" s="1238">
        <f>CI89/CC89-1</f>
        <v>8.2749999999999879E-2</v>
      </c>
      <c r="CJ90" s="1238">
        <f>CJ89/CD89-1</f>
        <v>8.2749999999999879E-2</v>
      </c>
      <c r="CK90" s="1238">
        <f>CK89/CE89-1</f>
        <v>8.2749999999999879E-2</v>
      </c>
      <c r="CL90" s="1239">
        <f>CL89/CF89-1</f>
        <v>8.2750000000000101E-2</v>
      </c>
      <c r="CM90" s="1236">
        <f>CM89/CG89-1</f>
        <v>8.2749999999999879E-2</v>
      </c>
      <c r="CN90" s="1026"/>
      <c r="CO90" s="1026"/>
      <c r="CP90" s="1026"/>
    </row>
    <row r="91" spans="1:94">
      <c r="A91" s="1136"/>
      <c r="B91" s="1136"/>
      <c r="C91" s="1136"/>
      <c r="D91" s="1136"/>
      <c r="E91" s="1136"/>
      <c r="F91" s="1136"/>
      <c r="G91" s="1136"/>
      <c r="H91" s="1136"/>
      <c r="I91" s="1084"/>
      <c r="J91" s="1084"/>
      <c r="K91" s="1084"/>
      <c r="L91" s="1105"/>
      <c r="M91" s="1084"/>
      <c r="N91" s="1136"/>
      <c r="O91" s="1084"/>
      <c r="P91" s="1084"/>
      <c r="Q91" s="1084"/>
      <c r="R91" s="1084"/>
      <c r="S91" s="1105"/>
      <c r="T91" s="1136"/>
      <c r="U91" s="1105"/>
      <c r="V91" s="1105"/>
      <c r="W91" s="1105"/>
      <c r="X91" s="1105"/>
      <c r="Y91" s="1026"/>
      <c r="Z91" s="1136"/>
      <c r="AA91" s="1105"/>
      <c r="AB91" s="1105"/>
      <c r="AC91" s="1105"/>
      <c r="AD91" s="1105"/>
      <c r="AE91" s="1026"/>
      <c r="AF91" s="1136"/>
      <c r="AG91" s="1105"/>
      <c r="AH91" s="1105"/>
      <c r="AI91" s="1105"/>
      <c r="AJ91" s="1105"/>
      <c r="AK91" s="1026"/>
      <c r="AL91" s="1136"/>
      <c r="AM91" s="1105"/>
      <c r="AN91" s="1105"/>
      <c r="AO91" s="1105"/>
      <c r="AP91" s="1105"/>
      <c r="AQ91" s="1026"/>
      <c r="AR91" s="1136"/>
      <c r="AS91" s="1105"/>
      <c r="AT91" s="1105"/>
      <c r="AU91" s="1105"/>
      <c r="AV91" s="1105"/>
      <c r="AW91" s="1026"/>
      <c r="AX91" s="1136"/>
      <c r="AY91" s="1105"/>
      <c r="AZ91" s="1105"/>
      <c r="BA91" s="1105"/>
      <c r="BB91" s="1105"/>
      <c r="BC91" s="1026"/>
      <c r="BD91" s="1136"/>
      <c r="BE91" s="1105"/>
      <c r="BF91" s="1105"/>
      <c r="BG91" s="1105"/>
      <c r="BH91" s="1105"/>
      <c r="BI91" s="1026"/>
      <c r="BJ91" s="1136"/>
      <c r="BK91" s="1105"/>
      <c r="BL91" s="1105"/>
      <c r="BM91" s="1105"/>
      <c r="BN91" s="1105"/>
      <c r="BO91" s="1026"/>
      <c r="BP91" s="1136"/>
      <c r="BQ91" s="1105"/>
      <c r="BR91" s="1105"/>
      <c r="BS91" s="1105"/>
      <c r="BT91" s="1105"/>
      <c r="BU91" s="1026"/>
      <c r="BV91" s="1136"/>
      <c r="BW91" s="1105"/>
      <c r="BX91" s="1105"/>
      <c r="BY91" s="1105"/>
      <c r="BZ91" s="1105"/>
      <c r="CA91" s="1026"/>
      <c r="CB91" s="1136"/>
      <c r="CC91" s="1105"/>
      <c r="CD91" s="1105"/>
      <c r="CE91" s="1105"/>
      <c r="CF91" s="1105"/>
      <c r="CG91" s="1026"/>
      <c r="CH91" s="1136"/>
      <c r="CI91" s="1105"/>
      <c r="CJ91" s="1105"/>
      <c r="CK91" s="1105"/>
      <c r="CL91" s="1105"/>
      <c r="CM91" s="1026"/>
      <c r="CN91" s="1026"/>
      <c r="CO91" s="1026"/>
      <c r="CP91" s="1026"/>
    </row>
    <row r="92" spans="1:94">
      <c r="A92" s="1084"/>
      <c r="B92" s="1084"/>
      <c r="C92" s="1084"/>
      <c r="D92" s="1084"/>
      <c r="E92" s="1084"/>
      <c r="F92" s="1084"/>
      <c r="G92" s="1084"/>
      <c r="H92" s="1084"/>
      <c r="I92" s="1084"/>
      <c r="J92" s="1084"/>
      <c r="K92" s="1084"/>
      <c r="L92" s="1105"/>
      <c r="M92" s="1084"/>
      <c r="N92" s="1084"/>
      <c r="O92" s="1084"/>
      <c r="P92" s="1084"/>
      <c r="Q92" s="1084"/>
      <c r="R92" s="1084"/>
      <c r="S92" s="1105"/>
      <c r="T92" s="1084"/>
      <c r="U92" s="1105"/>
      <c r="V92" s="1105"/>
      <c r="W92" s="1105"/>
      <c r="X92" s="1105"/>
      <c r="Y92" s="1026"/>
      <c r="Z92" s="1084"/>
      <c r="AA92" s="1105"/>
      <c r="AB92" s="1105"/>
      <c r="AC92" s="1105"/>
      <c r="AD92" s="1105"/>
      <c r="AE92" s="1026"/>
      <c r="AF92" s="1084"/>
      <c r="AG92" s="1105"/>
      <c r="AH92" s="1105"/>
      <c r="AI92" s="1105"/>
      <c r="AJ92" s="1105"/>
      <c r="AK92" s="1026"/>
      <c r="AL92" s="1084"/>
      <c r="AM92" s="1105"/>
      <c r="AN92" s="1105"/>
      <c r="AO92" s="1105"/>
      <c r="AP92" s="1105"/>
      <c r="AQ92" s="1026"/>
      <c r="AR92" s="1084"/>
      <c r="AS92" s="1105"/>
      <c r="AT92" s="1105"/>
      <c r="AU92" s="1105"/>
      <c r="AV92" s="1105"/>
      <c r="AW92" s="1026"/>
      <c r="AX92" s="1084"/>
      <c r="AY92" s="1105"/>
      <c r="AZ92" s="1105"/>
      <c r="BA92" s="1105"/>
      <c r="BB92" s="1105"/>
      <c r="BC92" s="1026"/>
      <c r="BD92" s="1084"/>
      <c r="BE92" s="1105"/>
      <c r="BF92" s="1105"/>
      <c r="BG92" s="1105"/>
      <c r="BH92" s="1105"/>
      <c r="BI92" s="1026"/>
      <c r="BJ92" s="1084"/>
      <c r="BK92" s="1105"/>
      <c r="BL92" s="1105"/>
      <c r="BM92" s="1105"/>
      <c r="BN92" s="1105"/>
      <c r="BO92" s="1026"/>
      <c r="BP92" s="1084"/>
      <c r="BQ92" s="1105"/>
      <c r="BR92" s="1105"/>
      <c r="BS92" s="1105"/>
      <c r="BT92" s="1105"/>
      <c r="BU92" s="1026"/>
      <c r="BV92" s="1084"/>
      <c r="BW92" s="1105"/>
      <c r="BX92" s="1105"/>
      <c r="BY92" s="1105"/>
      <c r="BZ92" s="1105"/>
      <c r="CA92" s="1026"/>
      <c r="CB92" s="1084"/>
      <c r="CC92" s="1105"/>
      <c r="CD92" s="1105"/>
      <c r="CE92" s="1105"/>
      <c r="CF92" s="1105"/>
      <c r="CG92" s="1026"/>
      <c r="CH92" s="1084"/>
      <c r="CI92" s="1105"/>
      <c r="CJ92" s="1105"/>
      <c r="CK92" s="1105"/>
      <c r="CL92" s="1105"/>
      <c r="CM92" s="1026"/>
      <c r="CN92" s="1026"/>
      <c r="CO92" s="1026"/>
      <c r="CP92" s="1026"/>
    </row>
    <row r="93" spans="1:94" ht="12.75" hidden="1" customHeight="1" outlineLevel="1">
      <c r="A93" s="1240" t="s">
        <v>444</v>
      </c>
      <c r="B93" s="1241"/>
      <c r="C93" s="1241"/>
      <c r="D93" s="1241"/>
      <c r="E93" s="1241"/>
      <c r="F93" s="1241"/>
      <c r="G93" s="1113"/>
      <c r="H93" s="1241"/>
      <c r="I93" s="1241"/>
      <c r="J93" s="1241"/>
      <c r="K93" s="1241"/>
      <c r="L93" s="1241"/>
      <c r="M93" s="1113"/>
      <c r="N93" s="1241"/>
      <c r="O93" s="1241"/>
      <c r="P93" s="1241"/>
      <c r="Q93" s="1241"/>
      <c r="R93" s="1241"/>
      <c r="S93" s="1113"/>
      <c r="T93" s="1241"/>
      <c r="U93" s="1241"/>
      <c r="V93" s="1241"/>
      <c r="W93" s="1241"/>
      <c r="X93" s="1241"/>
      <c r="Y93" s="1113"/>
      <c r="Z93" s="1241"/>
      <c r="AA93" s="1241"/>
      <c r="AB93" s="1241"/>
      <c r="AC93" s="1241"/>
      <c r="AD93" s="1241"/>
      <c r="AE93" s="1113"/>
      <c r="AF93" s="1241"/>
      <c r="AG93" s="1241"/>
      <c r="AH93" s="1241"/>
      <c r="AI93" s="1241"/>
      <c r="AJ93" s="1241"/>
      <c r="AK93" s="1113"/>
      <c r="AL93" s="1241"/>
      <c r="AM93" s="1241"/>
      <c r="AN93" s="1241"/>
      <c r="AO93" s="1241"/>
      <c r="AP93" s="1241"/>
      <c r="AQ93" s="1113"/>
      <c r="AR93" s="1241"/>
      <c r="AS93" s="1241"/>
      <c r="AT93" s="1241"/>
      <c r="AU93" s="1241"/>
      <c r="AV93" s="1241"/>
      <c r="AW93" s="1113"/>
      <c r="AX93" s="1241"/>
      <c r="AY93" s="1241"/>
      <c r="AZ93" s="1241"/>
      <c r="BA93" s="1241"/>
      <c r="BB93" s="1241"/>
      <c r="BC93" s="1113"/>
      <c r="BD93" s="1241"/>
      <c r="BE93" s="1241"/>
      <c r="BF93" s="1241"/>
      <c r="BG93" s="1241"/>
      <c r="BH93" s="1241"/>
      <c r="BI93" s="1113"/>
      <c r="BJ93" s="1241"/>
      <c r="BK93" s="1241"/>
      <c r="BL93" s="1241"/>
      <c r="BM93" s="1241"/>
      <c r="BN93" s="1241"/>
      <c r="BO93" s="1113"/>
      <c r="BP93" s="1241"/>
      <c r="BQ93" s="1241"/>
      <c r="BR93" s="1241"/>
      <c r="BS93" s="1241"/>
      <c r="BT93" s="1241"/>
      <c r="BU93" s="1113"/>
      <c r="BV93" s="920"/>
      <c r="BW93" s="1241"/>
      <c r="BX93" s="1241"/>
      <c r="BY93" s="1241"/>
      <c r="BZ93" s="1241"/>
      <c r="CA93" s="1113"/>
      <c r="CB93" s="920"/>
      <c r="CC93" s="1241"/>
      <c r="CD93" s="1241"/>
      <c r="CE93" s="1241"/>
      <c r="CF93" s="1241"/>
      <c r="CG93" s="1113"/>
      <c r="CH93" s="920"/>
      <c r="CI93" s="1241"/>
      <c r="CJ93" s="1241"/>
      <c r="CK93" s="1241"/>
      <c r="CL93" s="1241"/>
      <c r="CM93" s="1113"/>
      <c r="CN93" s="1026"/>
      <c r="CO93" s="1026"/>
      <c r="CP93" s="1026"/>
    </row>
    <row r="94" spans="1:94" ht="12.75" hidden="1" customHeight="1" outlineLevel="1">
      <c r="A94" s="546" t="s">
        <v>127</v>
      </c>
      <c r="B94" s="920"/>
      <c r="C94" s="920"/>
      <c r="D94" s="920"/>
      <c r="E94" s="920"/>
      <c r="F94" s="920"/>
      <c r="G94" s="1200"/>
      <c r="H94" s="920"/>
      <c r="I94" s="920"/>
      <c r="J94" s="920"/>
      <c r="K94" s="920"/>
      <c r="L94" s="920"/>
      <c r="M94" s="1200"/>
      <c r="N94" s="920"/>
      <c r="O94" s="920"/>
      <c r="P94" s="920"/>
      <c r="Q94" s="920"/>
      <c r="R94" s="920"/>
      <c r="S94" s="1200"/>
      <c r="T94" s="920"/>
      <c r="U94" s="920"/>
      <c r="V94" s="920"/>
      <c r="W94" s="920"/>
      <c r="X94" s="920"/>
      <c r="Y94" s="1200"/>
      <c r="Z94" s="920"/>
      <c r="AA94" s="920"/>
      <c r="AB94" s="920"/>
      <c r="AC94" s="920"/>
      <c r="AD94" s="920"/>
      <c r="AE94" s="1242">
        <v>0.3</v>
      </c>
      <c r="AF94" s="920"/>
      <c r="AG94" s="920"/>
      <c r="AH94" s="920"/>
      <c r="AI94" s="920"/>
      <c r="AJ94" s="920"/>
      <c r="AK94" s="1242">
        <v>0.3</v>
      </c>
      <c r="AL94" s="920"/>
      <c r="AM94" s="920"/>
      <c r="AN94" s="920"/>
      <c r="AO94" s="920"/>
      <c r="AP94" s="920"/>
      <c r="AQ94" s="1242">
        <v>0.3</v>
      </c>
      <c r="AR94" s="920"/>
      <c r="AS94" s="920"/>
      <c r="AT94" s="920"/>
      <c r="AU94" s="920"/>
      <c r="AV94" s="920"/>
      <c r="AW94" s="1242">
        <v>0.3</v>
      </c>
      <c r="AX94" s="920"/>
      <c r="AY94" s="920"/>
      <c r="AZ94" s="920"/>
      <c r="BA94" s="920"/>
      <c r="BB94" s="920"/>
      <c r="BC94" s="1242">
        <v>0.3</v>
      </c>
      <c r="BD94" s="920"/>
      <c r="BE94" s="920"/>
      <c r="BF94" s="920"/>
      <c r="BG94" s="920"/>
      <c r="BH94" s="920"/>
      <c r="BI94" s="1242">
        <v>0.3</v>
      </c>
      <c r="BJ94" s="920"/>
      <c r="BK94" s="920"/>
      <c r="BL94" s="920"/>
      <c r="BM94" s="920"/>
      <c r="BN94" s="920"/>
      <c r="BO94" s="1242">
        <v>0.3</v>
      </c>
      <c r="BP94" s="920"/>
      <c r="BQ94" s="920"/>
      <c r="BR94" s="920"/>
      <c r="BS94" s="920"/>
      <c r="BT94" s="920"/>
      <c r="BU94" s="1242">
        <v>0.3</v>
      </c>
      <c r="BV94" s="1243"/>
      <c r="BW94" s="920"/>
      <c r="BX94" s="920"/>
      <c r="BY94" s="920"/>
      <c r="BZ94" s="920"/>
      <c r="CA94" s="1242">
        <v>0.3</v>
      </c>
      <c r="CB94" s="1243"/>
      <c r="CC94" s="920"/>
      <c r="CD94" s="920"/>
      <c r="CE94" s="920"/>
      <c r="CF94" s="920"/>
      <c r="CG94" s="1242">
        <v>0.3</v>
      </c>
      <c r="CH94" s="1243"/>
      <c r="CI94" s="920"/>
      <c r="CJ94" s="920"/>
      <c r="CK94" s="920"/>
      <c r="CL94" s="920"/>
      <c r="CM94" s="1242">
        <v>0.3</v>
      </c>
      <c r="CN94" s="1026"/>
      <c r="CO94" s="1026"/>
      <c r="CP94" s="1026"/>
    </row>
    <row r="95" spans="1:94" ht="12.75" hidden="1" customHeight="1" outlineLevel="1">
      <c r="A95" s="546" t="s">
        <v>229</v>
      </c>
      <c r="B95" s="920"/>
      <c r="C95" s="920"/>
      <c r="D95" s="920"/>
      <c r="E95" s="920"/>
      <c r="F95" s="920"/>
      <c r="G95" s="1200"/>
      <c r="H95" s="920"/>
      <c r="I95" s="920"/>
      <c r="J95" s="920"/>
      <c r="K95" s="920"/>
      <c r="L95" s="920"/>
      <c r="M95" s="1200"/>
      <c r="N95" s="920"/>
      <c r="O95" s="920"/>
      <c r="P95" s="920"/>
      <c r="Q95" s="920"/>
      <c r="R95" s="920"/>
      <c r="S95" s="1200"/>
      <c r="T95" s="920"/>
      <c r="U95" s="920"/>
      <c r="V95" s="920"/>
      <c r="W95" s="920"/>
      <c r="X95" s="920"/>
      <c r="Y95" s="1200"/>
      <c r="Z95" s="920"/>
      <c r="AA95" s="920"/>
      <c r="AB95" s="920"/>
      <c r="AC95" s="920"/>
      <c r="AD95" s="920"/>
      <c r="AE95" s="1244">
        <v>0.6</v>
      </c>
      <c r="AF95" s="920"/>
      <c r="AG95" s="920"/>
      <c r="AH95" s="920"/>
      <c r="AI95" s="920"/>
      <c r="AJ95" s="920"/>
      <c r="AK95" s="1244">
        <v>0.6</v>
      </c>
      <c r="AL95" s="920"/>
      <c r="AM95" s="920"/>
      <c r="AN95" s="920"/>
      <c r="AO95" s="920"/>
      <c r="AP95" s="920"/>
      <c r="AQ95" s="1244">
        <v>0.6</v>
      </c>
      <c r="AR95" s="920"/>
      <c r="AS95" s="920"/>
      <c r="AT95" s="920"/>
      <c r="AU95" s="920"/>
      <c r="AV95" s="920"/>
      <c r="AW95" s="1244">
        <v>0.6</v>
      </c>
      <c r="AX95" s="920"/>
      <c r="AY95" s="920"/>
      <c r="AZ95" s="920"/>
      <c r="BA95" s="920"/>
      <c r="BB95" s="920"/>
      <c r="BC95" s="1244">
        <v>0.6</v>
      </c>
      <c r="BD95" s="920"/>
      <c r="BE95" s="920"/>
      <c r="BF95" s="920"/>
      <c r="BG95" s="920"/>
      <c r="BH95" s="920"/>
      <c r="BI95" s="1244">
        <v>0.6</v>
      </c>
      <c r="BJ95" s="920"/>
      <c r="BK95" s="920"/>
      <c r="BL95" s="920"/>
      <c r="BM95" s="920"/>
      <c r="BN95" s="920"/>
      <c r="BO95" s="1244">
        <v>0.6</v>
      </c>
      <c r="BP95" s="920"/>
      <c r="BQ95" s="920"/>
      <c r="BR95" s="920"/>
      <c r="BS95" s="920"/>
      <c r="BT95" s="920"/>
      <c r="BU95" s="1244">
        <v>0.6</v>
      </c>
      <c r="BV95" s="1243"/>
      <c r="BW95" s="920"/>
      <c r="BX95" s="920"/>
      <c r="BY95" s="920"/>
      <c r="BZ95" s="920"/>
      <c r="CA95" s="1244">
        <v>0.6</v>
      </c>
      <c r="CB95" s="1243"/>
      <c r="CC95" s="920"/>
      <c r="CD95" s="920"/>
      <c r="CE95" s="920"/>
      <c r="CF95" s="920"/>
      <c r="CG95" s="1244">
        <v>0.6</v>
      </c>
      <c r="CH95" s="1243"/>
      <c r="CI95" s="920"/>
      <c r="CJ95" s="920"/>
      <c r="CK95" s="920"/>
      <c r="CL95" s="920"/>
      <c r="CM95" s="1244">
        <v>0.6</v>
      </c>
      <c r="CN95" s="1026"/>
      <c r="CO95" s="1026"/>
      <c r="CP95" s="1026"/>
    </row>
    <row r="96" spans="1:94" ht="12.75" hidden="1" customHeight="1" outlineLevel="1">
      <c r="A96" s="1245" t="s">
        <v>285</v>
      </c>
      <c r="B96" s="1246"/>
      <c r="C96" s="1246"/>
      <c r="D96" s="1246"/>
      <c r="E96" s="1246"/>
      <c r="F96" s="1246"/>
      <c r="G96" s="1247"/>
      <c r="H96" s="1246"/>
      <c r="I96" s="1246"/>
      <c r="J96" s="1246"/>
      <c r="K96" s="1246"/>
      <c r="L96" s="1246"/>
      <c r="M96" s="1247"/>
      <c r="N96" s="1246"/>
      <c r="O96" s="1246"/>
      <c r="P96" s="1246"/>
      <c r="Q96" s="1246"/>
      <c r="R96" s="1246"/>
      <c r="S96" s="1247"/>
      <c r="T96" s="1246"/>
      <c r="U96" s="1246"/>
      <c r="V96" s="1246"/>
      <c r="W96" s="1246"/>
      <c r="X96" s="1246"/>
      <c r="Y96" s="1247"/>
      <c r="Z96" s="1246"/>
      <c r="AA96" s="1246"/>
      <c r="AB96" s="1246"/>
      <c r="AC96" s="1246"/>
      <c r="AD96" s="1246"/>
      <c r="AE96" s="1248">
        <v>0.1</v>
      </c>
      <c r="AF96" s="1246"/>
      <c r="AG96" s="1246"/>
      <c r="AH96" s="1246"/>
      <c r="AI96" s="1246"/>
      <c r="AJ96" s="1246"/>
      <c r="AK96" s="1248">
        <v>0.1</v>
      </c>
      <c r="AL96" s="1246"/>
      <c r="AM96" s="1246"/>
      <c r="AN96" s="1246"/>
      <c r="AO96" s="1246"/>
      <c r="AP96" s="1246"/>
      <c r="AQ96" s="1248">
        <v>0.1</v>
      </c>
      <c r="AR96" s="1246"/>
      <c r="AS96" s="1246"/>
      <c r="AT96" s="1246"/>
      <c r="AU96" s="1246"/>
      <c r="AV96" s="1246"/>
      <c r="AW96" s="1248">
        <v>0.1</v>
      </c>
      <c r="AX96" s="1246"/>
      <c r="AY96" s="1246"/>
      <c r="AZ96" s="1246"/>
      <c r="BA96" s="1246"/>
      <c r="BB96" s="1246"/>
      <c r="BC96" s="1248">
        <v>0.1</v>
      </c>
      <c r="BD96" s="1246"/>
      <c r="BE96" s="1246"/>
      <c r="BF96" s="1246"/>
      <c r="BG96" s="1246"/>
      <c r="BH96" s="1246"/>
      <c r="BI96" s="1248">
        <v>0.1</v>
      </c>
      <c r="BJ96" s="1246"/>
      <c r="BK96" s="1246"/>
      <c r="BL96" s="1246"/>
      <c r="BM96" s="1246"/>
      <c r="BN96" s="1246"/>
      <c r="BO96" s="1248">
        <v>0.1</v>
      </c>
      <c r="BP96" s="1246"/>
      <c r="BQ96" s="1246"/>
      <c r="BR96" s="1246"/>
      <c r="BS96" s="1246"/>
      <c r="BT96" s="1246"/>
      <c r="BU96" s="1248">
        <v>0.1</v>
      </c>
      <c r="BV96" s="1243"/>
      <c r="BW96" s="1246"/>
      <c r="BX96" s="1246"/>
      <c r="BY96" s="1246"/>
      <c r="BZ96" s="1246"/>
      <c r="CA96" s="1248">
        <v>0.1</v>
      </c>
      <c r="CB96" s="1243"/>
      <c r="CC96" s="1246"/>
      <c r="CD96" s="1246"/>
      <c r="CE96" s="1246"/>
      <c r="CF96" s="1246"/>
      <c r="CG96" s="1248">
        <v>0.1</v>
      </c>
      <c r="CH96" s="1243"/>
      <c r="CI96" s="1246"/>
      <c r="CJ96" s="1246"/>
      <c r="CK96" s="1246"/>
      <c r="CL96" s="1246"/>
      <c r="CM96" s="1248">
        <v>0.1</v>
      </c>
      <c r="CN96" s="1026"/>
      <c r="CO96" s="1026"/>
      <c r="CP96" s="1026"/>
    </row>
    <row r="97" collapsed="1"/>
  </sheetData>
  <phoneticPr fontId="2" type="noConversion"/>
  <pageMargins left="0" right="0" top="0" bottom="0" header="0" footer="0"/>
  <pageSetup scale="98" orientation="landscape" r:id="rId1"/>
  <headerFooter alignWithMargins="0"/>
  <ignoredErrors>
    <ignoredError sqref="AQ11:AR11 BO14:BU14 BK42 BK43:BL43 BK41:BL41 AK35:BC35 BO51:BU51 BO48:BU48 BO25:BU25 BO23:BU23 BI20:BJ23 BO17:BU17 BI13:BJ18 BO13:BU13 BU15 BO15:BP15 BI33 BV47:BV55 BD43:BF43 BI51:BJ51 BI48:BJ48 BI25:BJ25 BD25 BD27:BU28 BD20:BD23 BD24:BU24 BD13:BD18 BD19:BT19 BC28:BC34 BC25:BC26 BC38:BC47 BC49:BJ49 AZ49:BA49 AK34:AZ34 BA15 AK43:AZ43 AK38:AY39 AK29:AY30 AK25:AY25 AS24:BA24 AZ18:AZ19 BA19 AS12:BA12 AR33:BA33 AS13:AY23 AK26:BB28 AK40:AZ41 AK42:AY42 AR32:AY32 AK32:AQ33 AK37:BC37 AK12:AR24 AK31:AZ31 AK44:AY47 BC12:BC23 AZ47:BA47 AE47:AJ47 BC51:BD51 BC48:BD48 AZ50:BU50 BD47:BU47 AX48:AX51 AT49:AU50 AS48:AS50 BD12:BU12 AX52:BU54 AE48:AR51 A25:AJ25 A56:CM58 A48:AD51 AS51:AW51 A52:AW54 BW52:CM54 A12:AJ12 BV12:CM12 AT48:AW48 AV49:AW50 AY51:BB51 AY48:BB48 AY49 A47:AD47 BW47:CM47 AY50 BW50:CM50 BE48:BH48 BE51:BH51 BB47 A13:AJ23 BE14:BH14 A44:AJ46 AZ44:BB46 A36:CM36 A31:AJ31 BA31:BB31 A24:AJ24 BB24:BC24 BB12 AZ13:BB14 A38:AJ39 A37:AJ37 BD37:CM37 A32:AJ33 BB33 AZ32:BB32 A43:AJ43 A42:AJ42 AZ42:BB42 A40:AJ41 BA40:BB41 A29:AJ30 A26:AJ28 BC27 AZ20:BB23 BB19 BA18:BB18 AZ25:BB25 AZ29:BB30 AZ38:BB39 BA43:BB43 AZ16:BB17 AZ15 BB15 A34:AJ34 BA34:BB34 BB49 BW49:CM49 BD44:BM44 BD42:BJ42 BD40:BM40 BD39:BM39 BG43:BJ43 BV26:CM26 BE25:BH25 BD31:BM31 BD33:BH33 BD32:BM32 BV28:CM28 BD30:BM30 BD34:BM34 BE20:BH23 BV19:CM19 BV24:CM24 BV27:CM27 BK25:BM25 BK48:BM48 BK51:BM51 A55:BU55 BW55:CM55 BW48:CM48 BW51:CM51 BJ33:CM33 BE16:BH18 BE15:BH15 BQ15:BT15 BV15:CM15 BE13:BH13 BV13:CM13 BK14:BM14 BK16:BM18 BK15:BM15 BK13:BM13 BV16:CM18 BK20:BM23 BV20:CM23 BV25:CM25 A35:AJ35 BD35:BJ35 BD41:BJ41 BM41 BM43 BL42:BM42 BV14:CM14 A68:CM70 A67:AJ67 AL67:AP67 AR67:AV67 AX67:BB67 BD67:BH67 BJ67:BM67 BP67 BD29:BM29 BO29:CM29 BD46:BM46 BD45:BM45 BO45:CM45 BO31:CM31 BR67:BT67 A66:BM66 BU66:BV66 BD26:BJ26 BP26:BU26 BP35:CM35 BP49:BU49 A61:CM63 A60:BN60 BP60:CM60 A59:BN59 BP59:CM59 BO16:BU16 BO18:BU18 BO20:BU20 BO21:BU21 BO22:BU22 BO30:CM30 BO32:CM32 BD38:BM38 BO38:CM38 BO39:BQ39 BO40:CM40 BO41:CM41 BO43:CM43 BO42:CM42 BO44:CM44 BO46:CM46 BO34:CM34 BO66:BP66 A73:BM73 A71:BM71 BO71:CM71 A72:BM72 BO72:CM72 BO73:CM73 B64:CM64 BS39:CM39 CA66:CB66 CG66:CH66 CM6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CM82"/>
  <sheetViews>
    <sheetView zoomScaleNormal="100" workbookViewId="0">
      <pane xSplit="3" ySplit="8" topLeftCell="D9" activePane="bottomRight" state="frozen"/>
      <selection pane="topRight" activeCell="D1" sqref="D1"/>
      <selection pane="bottomLeft" activeCell="A9" sqref="A9"/>
      <selection pane="bottomRight"/>
    </sheetView>
  </sheetViews>
  <sheetFormatPr defaultColWidth="9.42578125" defaultRowHeight="12.75" outlineLevelRow="2" outlineLevelCol="1"/>
  <cols>
    <col min="1" max="1" width="33.7109375" customWidth="1"/>
    <col min="2" max="2" width="5.42578125" bestFit="1" customWidth="1"/>
    <col min="3" max="3" width="9.5703125" customWidth="1"/>
    <col min="4" max="4" width="0.85546875" customWidth="1"/>
    <col min="5" max="30" width="1.7109375" hidden="1" customWidth="1"/>
    <col min="31" max="31" width="8.7109375" hidden="1" customWidth="1" outlineLevel="1"/>
    <col min="32" max="32" width="0.85546875" hidden="1" customWidth="1" outlineLevel="1"/>
    <col min="33" max="36" width="8.7109375" hidden="1" customWidth="1" outlineLevel="1"/>
    <col min="37" max="37" width="8.7109375" customWidth="1" collapsed="1"/>
    <col min="38" max="38" width="0.85546875" customWidth="1"/>
    <col min="39" max="42" width="8.7109375" hidden="1" customWidth="1" outlineLevel="1"/>
    <col min="43" max="43" width="8.7109375" customWidth="1" collapsed="1"/>
    <col min="44" max="44" width="0.85546875" customWidth="1"/>
    <col min="45" max="48" width="8.7109375" hidden="1" customWidth="1" outlineLevel="1"/>
    <col min="49" max="49" width="8.7109375" customWidth="1" collapsed="1"/>
    <col min="50" max="50" width="0.85546875" customWidth="1"/>
    <col min="51" max="54" width="8.7109375" hidden="1" customWidth="1" outlineLevel="1"/>
    <col min="55" max="55" width="8.7109375" customWidth="1" collapsed="1"/>
    <col min="56" max="56" width="0.85546875" customWidth="1"/>
    <col min="57" max="60" width="8.7109375" hidden="1" customWidth="1" outlineLevel="1"/>
    <col min="61" max="61" width="8.7109375" customWidth="1" collapsed="1"/>
    <col min="62" max="62" width="0.85546875" customWidth="1"/>
    <col min="63" max="66" width="8.7109375" hidden="1" customWidth="1" outlineLevel="1"/>
    <col min="67" max="67" width="8.7109375" customWidth="1" collapsed="1"/>
    <col min="68" max="68" width="0.85546875" customWidth="1"/>
    <col min="69" max="72" width="8.7109375" customWidth="1" outlineLevel="1"/>
    <col min="73" max="73" width="8.7109375" customWidth="1"/>
    <col min="74" max="74" width="0.85546875" customWidth="1"/>
    <col min="75" max="78" width="8.7109375" customWidth="1" outlineLevel="1"/>
    <col min="79" max="79" width="8.7109375" customWidth="1"/>
    <col min="80" max="80" width="0.85546875" customWidth="1"/>
    <col min="81" max="84" width="8.7109375" hidden="1" customWidth="1" outlineLevel="1"/>
    <col min="85" max="85" width="8.7109375" customWidth="1" collapsed="1"/>
    <col min="86" max="86" width="0.85546875" customWidth="1"/>
    <col min="87" max="90" width="8.7109375" hidden="1" customWidth="1" outlineLevel="1"/>
    <col min="91" max="91" width="8.7109375" customWidth="1" collapsed="1"/>
  </cols>
  <sheetData>
    <row r="1" spans="1:91" ht="12.75" customHeight="1">
      <c r="A1" s="228"/>
      <c r="B1" s="228"/>
      <c r="C1" s="228"/>
      <c r="D1" s="228"/>
      <c r="E1" s="228"/>
      <c r="F1" s="228"/>
      <c r="G1" s="353"/>
      <c r="H1" s="353"/>
      <c r="I1" s="353"/>
      <c r="J1" s="353"/>
      <c r="K1" s="353"/>
      <c r="L1" s="353"/>
      <c r="M1" s="353"/>
      <c r="N1" s="353"/>
      <c r="O1" s="353"/>
      <c r="P1" s="353"/>
      <c r="Q1" s="353"/>
      <c r="R1" s="353"/>
      <c r="S1" s="353"/>
      <c r="T1" s="353"/>
      <c r="U1" s="353"/>
      <c r="V1" s="353"/>
      <c r="W1" s="353"/>
      <c r="X1" s="353"/>
      <c r="Y1" s="353"/>
      <c r="Z1" s="353"/>
      <c r="AA1" s="353"/>
      <c r="AB1" s="353"/>
      <c r="AC1" s="353"/>
      <c r="AD1" s="353"/>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c r="BM1" s="228"/>
      <c r="BN1" s="228"/>
      <c r="BO1" s="228"/>
      <c r="BP1" s="228"/>
      <c r="BQ1" s="228"/>
      <c r="BR1" s="228"/>
      <c r="BS1" s="228"/>
      <c r="BT1" s="228"/>
      <c r="BU1" s="228"/>
      <c r="BV1" s="228"/>
      <c r="BW1" s="228"/>
      <c r="BX1" s="228"/>
      <c r="BY1" s="228"/>
      <c r="BZ1" s="228"/>
      <c r="CA1" s="228"/>
      <c r="CB1" s="228"/>
      <c r="CC1" s="228"/>
      <c r="CD1" s="228"/>
      <c r="CE1" s="228"/>
      <c r="CF1" s="228"/>
      <c r="CG1" s="228"/>
      <c r="CH1" s="228"/>
      <c r="CI1" s="228"/>
      <c r="CJ1" s="228"/>
      <c r="CK1" s="228"/>
      <c r="CL1" s="228"/>
      <c r="CM1" s="228"/>
    </row>
    <row r="2" spans="1:91" ht="12.75" customHeight="1">
      <c r="A2" s="334" t="s">
        <v>217</v>
      </c>
      <c r="B2" s="334"/>
      <c r="C2" s="334"/>
      <c r="D2" s="335"/>
      <c r="E2" s="335"/>
      <c r="F2" s="335"/>
      <c r="G2" s="216"/>
      <c r="H2" s="216"/>
      <c r="I2" s="216"/>
      <c r="J2" s="216"/>
      <c r="K2" s="216"/>
      <c r="L2" s="216"/>
      <c r="M2" s="433"/>
      <c r="N2" s="216"/>
      <c r="O2" s="216"/>
      <c r="P2" s="216"/>
      <c r="Q2" s="216"/>
      <c r="R2" s="216"/>
      <c r="S2" s="433"/>
      <c r="T2" s="216"/>
      <c r="U2" s="216"/>
      <c r="V2" s="216"/>
      <c r="W2" s="216"/>
      <c r="X2" s="216"/>
      <c r="Y2" s="433"/>
      <c r="Z2" s="216"/>
      <c r="AA2" s="216"/>
      <c r="AB2" s="216"/>
      <c r="AC2" s="216"/>
      <c r="AD2" s="216"/>
      <c r="AE2" s="336"/>
      <c r="AF2" s="335"/>
      <c r="AG2" s="337"/>
      <c r="AH2" s="335"/>
      <c r="AI2" s="335"/>
      <c r="AJ2" s="335"/>
      <c r="AK2" s="335"/>
      <c r="AL2" s="335"/>
      <c r="AM2" s="335"/>
      <c r="AN2" s="335"/>
      <c r="AO2" s="335"/>
      <c r="AP2" s="335"/>
      <c r="AQ2" s="335"/>
      <c r="AR2" s="335"/>
      <c r="AS2" s="335"/>
      <c r="AT2" s="335"/>
      <c r="AU2" s="335"/>
      <c r="AV2" s="335"/>
      <c r="AW2" s="335"/>
      <c r="AX2" s="335"/>
      <c r="AY2" s="335"/>
      <c r="AZ2" s="335"/>
      <c r="BA2" s="335"/>
      <c r="BB2" s="335"/>
      <c r="BC2" s="335"/>
      <c r="BD2" s="335"/>
      <c r="BE2" s="335"/>
      <c r="BF2" s="335"/>
      <c r="BG2" s="335"/>
      <c r="BH2" s="335"/>
      <c r="BI2" s="335"/>
      <c r="BJ2" s="335"/>
      <c r="BK2" s="335"/>
      <c r="BL2" s="335"/>
      <c r="BM2" s="335"/>
      <c r="BN2" s="335"/>
      <c r="BO2" s="335"/>
      <c r="BP2" s="335"/>
      <c r="BQ2" s="335"/>
      <c r="BR2" s="335"/>
      <c r="BS2" s="335"/>
      <c r="BT2" s="335"/>
      <c r="BU2" s="335"/>
      <c r="BV2" s="335"/>
      <c r="BW2" s="335"/>
      <c r="BX2" s="335"/>
      <c r="BY2" s="335"/>
      <c r="BZ2" s="335"/>
      <c r="CA2" s="335"/>
      <c r="CB2" s="335"/>
      <c r="CC2" s="335"/>
      <c r="CD2" s="335"/>
      <c r="CE2" s="335"/>
      <c r="CF2" s="335"/>
      <c r="CG2" s="335"/>
      <c r="CH2" s="335"/>
      <c r="CI2" s="335"/>
      <c r="CJ2" s="335"/>
      <c r="CK2" s="335"/>
      <c r="CL2" s="335"/>
      <c r="CM2" s="335"/>
    </row>
    <row r="3" spans="1:91" ht="12.75" customHeight="1">
      <c r="A3" s="338" t="s">
        <v>148</v>
      </c>
      <c r="B3" s="338"/>
      <c r="C3" s="338"/>
      <c r="D3" s="216"/>
      <c r="E3" s="216"/>
      <c r="F3" s="216"/>
      <c r="G3" s="216"/>
      <c r="H3" s="216"/>
      <c r="I3" s="216"/>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c r="AI3" s="216"/>
      <c r="AJ3" s="216"/>
      <c r="AK3" s="216"/>
      <c r="AL3" s="216"/>
      <c r="AM3" s="216"/>
      <c r="AN3" s="216"/>
      <c r="AO3" s="216"/>
      <c r="AP3" s="216"/>
      <c r="AQ3" s="216"/>
      <c r="AR3" s="216"/>
      <c r="AS3" s="216"/>
      <c r="AT3" s="216"/>
      <c r="AU3" s="216"/>
      <c r="AV3" s="216"/>
      <c r="AW3" s="339"/>
      <c r="AX3" s="216"/>
      <c r="AY3" s="216"/>
      <c r="AZ3" s="216"/>
      <c r="BA3" s="216"/>
      <c r="BB3" s="216"/>
      <c r="BC3" s="340"/>
      <c r="BD3" s="216"/>
      <c r="BE3" s="216"/>
      <c r="BF3" s="216"/>
      <c r="BG3" s="216"/>
      <c r="BH3" s="216"/>
      <c r="BI3" s="340"/>
      <c r="BJ3" s="216"/>
      <c r="BK3" s="216"/>
      <c r="BL3" s="216"/>
      <c r="BM3" s="216"/>
      <c r="BN3" s="216"/>
      <c r="BO3" s="340"/>
      <c r="BP3" s="216"/>
      <c r="BQ3" s="216"/>
      <c r="BR3" s="216"/>
      <c r="BS3" s="216"/>
      <c r="BT3" s="216"/>
      <c r="BU3" s="340"/>
      <c r="BV3" s="216"/>
      <c r="BW3" s="216"/>
      <c r="BX3" s="216"/>
      <c r="BY3" s="216"/>
      <c r="BZ3" s="216"/>
      <c r="CA3" s="340"/>
      <c r="CB3" s="216"/>
      <c r="CC3" s="216"/>
      <c r="CD3" s="216"/>
      <c r="CE3" s="216"/>
      <c r="CF3" s="216"/>
      <c r="CG3" s="340"/>
      <c r="CH3" s="216"/>
      <c r="CI3" s="216"/>
      <c r="CJ3" s="216"/>
      <c r="CK3" s="216"/>
      <c r="CL3" s="216"/>
      <c r="CM3" s="340"/>
    </row>
    <row r="4" spans="1:91" ht="12.75" customHeight="1">
      <c r="A4" s="341" t="s">
        <v>149</v>
      </c>
      <c r="B4" s="341"/>
      <c r="C4" s="341"/>
      <c r="D4" s="342"/>
      <c r="E4" s="342"/>
      <c r="F4" s="342"/>
      <c r="G4" s="353"/>
      <c r="H4" s="353"/>
      <c r="I4" s="353"/>
      <c r="J4" s="353"/>
      <c r="K4" s="353"/>
      <c r="L4" s="353"/>
      <c r="M4" s="353"/>
      <c r="N4" s="353"/>
      <c r="O4" s="353"/>
      <c r="P4" s="353"/>
      <c r="Q4" s="353"/>
      <c r="R4" s="353"/>
      <c r="S4" s="353"/>
      <c r="T4" s="353"/>
      <c r="U4" s="353"/>
      <c r="V4" s="353"/>
      <c r="W4" s="353"/>
      <c r="X4" s="353"/>
      <c r="Y4" s="434"/>
      <c r="Z4" s="353"/>
      <c r="AA4" s="353"/>
      <c r="AB4" s="353"/>
      <c r="AC4" s="440"/>
      <c r="AD4" s="440"/>
      <c r="AE4" s="343"/>
      <c r="AF4" s="342"/>
      <c r="AG4" s="344"/>
      <c r="AH4" s="344"/>
      <c r="AI4" s="345"/>
      <c r="AJ4" s="344"/>
      <c r="AK4" s="344"/>
      <c r="AL4" s="342"/>
      <c r="AM4" s="344"/>
      <c r="AN4" s="344"/>
      <c r="AO4" s="344"/>
      <c r="AP4" s="344"/>
      <c r="AQ4" s="344"/>
      <c r="AR4" s="342"/>
      <c r="AS4" s="344"/>
      <c r="AT4" s="344"/>
      <c r="AU4" s="344"/>
      <c r="AV4" s="344"/>
      <c r="AW4" s="344"/>
      <c r="AX4" s="342"/>
      <c r="AY4" s="344"/>
      <c r="AZ4" s="344"/>
      <c r="BA4" s="344"/>
      <c r="BB4" s="344"/>
      <c r="BC4" s="344"/>
      <c r="BD4" s="342"/>
      <c r="BE4" s="344"/>
      <c r="BF4" s="344"/>
      <c r="BG4" s="344"/>
      <c r="BH4" s="344"/>
      <c r="BI4" s="344"/>
      <c r="BJ4" s="342"/>
      <c r="BK4" s="344"/>
      <c r="BL4" s="344"/>
      <c r="BM4" s="344"/>
      <c r="BN4" s="344"/>
      <c r="BO4" s="344"/>
      <c r="BP4" s="342"/>
      <c r="BQ4" s="344"/>
      <c r="BR4" s="344"/>
      <c r="BS4" s="344"/>
      <c r="BT4" s="344"/>
      <c r="BU4" s="344"/>
      <c r="BV4" s="342"/>
      <c r="BW4" s="344"/>
      <c r="BX4" s="344"/>
      <c r="BY4" s="344"/>
      <c r="BZ4" s="344"/>
      <c r="CA4" s="344"/>
      <c r="CB4" s="342"/>
      <c r="CC4" s="344"/>
      <c r="CD4" s="344"/>
      <c r="CE4" s="344"/>
      <c r="CF4" s="344"/>
      <c r="CG4" s="344"/>
      <c r="CH4" s="342"/>
      <c r="CI4" s="344"/>
      <c r="CJ4" s="344"/>
      <c r="CK4" s="344"/>
      <c r="CL4" s="344"/>
      <c r="CM4" s="344"/>
    </row>
    <row r="5" spans="1:91" ht="12.75" customHeight="1">
      <c r="A5" s="346" t="s">
        <v>83</v>
      </c>
      <c r="B5" s="346"/>
      <c r="C5" s="347"/>
      <c r="D5" s="228"/>
      <c r="E5" s="228"/>
      <c r="F5" s="228"/>
      <c r="G5" s="353"/>
      <c r="H5" s="353"/>
      <c r="I5" s="353"/>
      <c r="J5" s="353"/>
      <c r="K5" s="353"/>
      <c r="L5" s="353"/>
      <c r="M5" s="353"/>
      <c r="N5" s="353"/>
      <c r="O5" s="353"/>
      <c r="P5" s="353"/>
      <c r="Q5" s="353"/>
      <c r="R5" s="353"/>
      <c r="S5" s="353"/>
      <c r="T5" s="353"/>
      <c r="U5" s="353"/>
      <c r="V5" s="353"/>
      <c r="W5" s="353"/>
      <c r="X5" s="353"/>
      <c r="Y5" s="434"/>
      <c r="Z5" s="353"/>
      <c r="AA5" s="353"/>
      <c r="AB5" s="353"/>
      <c r="AC5" s="353"/>
      <c r="AD5" s="353"/>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c r="BH5" s="228"/>
      <c r="BI5" s="228"/>
      <c r="BJ5" s="228"/>
      <c r="BK5" s="228"/>
      <c r="BL5" s="228"/>
      <c r="BM5" s="228"/>
      <c r="BN5" s="228"/>
      <c r="BO5" s="228"/>
      <c r="BP5" s="228"/>
      <c r="BQ5" s="228"/>
      <c r="BR5" s="228"/>
      <c r="BS5" s="228"/>
      <c r="BT5" s="228"/>
      <c r="BU5" s="228"/>
      <c r="BV5" s="228"/>
      <c r="BW5" s="228"/>
      <c r="BX5" s="228"/>
      <c r="BY5" s="228"/>
      <c r="BZ5" s="228"/>
      <c r="CA5" s="228"/>
      <c r="CB5" s="228"/>
      <c r="CC5" s="228"/>
      <c r="CD5" s="228"/>
      <c r="CE5" s="228"/>
      <c r="CF5" s="228"/>
      <c r="CG5" s="228"/>
      <c r="CH5" s="228"/>
      <c r="CI5" s="228"/>
      <c r="CJ5" s="228"/>
      <c r="CK5" s="228"/>
      <c r="CL5" s="228"/>
      <c r="CM5" s="228"/>
    </row>
    <row r="6" spans="1:91" ht="12.75" hidden="1" customHeight="1" outlineLevel="1">
      <c r="A6" s="348"/>
      <c r="B6" s="348"/>
      <c r="C6" s="348"/>
      <c r="D6" s="349"/>
      <c r="E6" s="349"/>
      <c r="F6" s="349"/>
      <c r="G6" s="348"/>
      <c r="H6" s="449"/>
      <c r="I6" s="449"/>
      <c r="J6" s="449"/>
      <c r="K6" s="449"/>
      <c r="L6" s="449"/>
      <c r="M6" s="348"/>
      <c r="N6" s="449"/>
      <c r="O6" s="450"/>
      <c r="P6" s="450"/>
      <c r="Q6" s="450"/>
      <c r="R6" s="450"/>
      <c r="S6" s="348"/>
      <c r="T6" s="449"/>
      <c r="U6" s="450"/>
      <c r="V6" s="450"/>
      <c r="W6" s="450"/>
      <c r="X6" s="450"/>
      <c r="Y6" s="348"/>
      <c r="Z6" s="449"/>
      <c r="AA6" s="450"/>
      <c r="AB6" s="450"/>
      <c r="AC6" s="450"/>
      <c r="AD6" s="450"/>
      <c r="AE6" s="350" t="s">
        <v>100</v>
      </c>
      <c r="AF6" s="351"/>
      <c r="AG6" s="352" t="s">
        <v>101</v>
      </c>
      <c r="AH6" s="352" t="s">
        <v>102</v>
      </c>
      <c r="AI6" s="352" t="s">
        <v>103</v>
      </c>
      <c r="AJ6" s="352" t="s">
        <v>104</v>
      </c>
      <c r="AK6" s="350" t="s">
        <v>105</v>
      </c>
      <c r="AL6" s="351"/>
      <c r="AM6" s="350" t="s">
        <v>106</v>
      </c>
      <c r="AN6" s="350" t="s">
        <v>107</v>
      </c>
      <c r="AO6" s="350" t="s">
        <v>108</v>
      </c>
      <c r="AP6" s="350" t="s">
        <v>109</v>
      </c>
      <c r="AQ6" s="350" t="s">
        <v>110</v>
      </c>
      <c r="AR6" s="351"/>
      <c r="AS6" s="350" t="s">
        <v>111</v>
      </c>
      <c r="AT6" s="350" t="s">
        <v>112</v>
      </c>
      <c r="AU6" s="350" t="s">
        <v>113</v>
      </c>
      <c r="AV6" s="350" t="s">
        <v>114</v>
      </c>
      <c r="AW6" s="350" t="s">
        <v>115</v>
      </c>
      <c r="AX6" s="351"/>
      <c r="AY6" s="350" t="s">
        <v>445</v>
      </c>
      <c r="AZ6" s="350" t="s">
        <v>446</v>
      </c>
      <c r="BA6" s="350" t="s">
        <v>447</v>
      </c>
      <c r="BB6" s="350" t="s">
        <v>448</v>
      </c>
      <c r="BC6" s="350" t="s">
        <v>449</v>
      </c>
      <c r="BD6" s="351"/>
      <c r="BE6" s="350" t="s">
        <v>137</v>
      </c>
      <c r="BF6" s="350" t="s">
        <v>138</v>
      </c>
      <c r="BG6" s="350" t="s">
        <v>139</v>
      </c>
      <c r="BH6" s="350" t="s">
        <v>140</v>
      </c>
      <c r="BI6" s="350" t="s">
        <v>141</v>
      </c>
      <c r="BJ6" s="351"/>
      <c r="BK6" s="350" t="s">
        <v>142</v>
      </c>
      <c r="BL6" s="350" t="s">
        <v>143</v>
      </c>
      <c r="BM6" s="350" t="s">
        <v>144</v>
      </c>
      <c r="BN6" s="350" t="s">
        <v>145</v>
      </c>
      <c r="BO6" s="350" t="s">
        <v>146</v>
      </c>
      <c r="BP6" s="351"/>
      <c r="BQ6" s="350" t="s">
        <v>58</v>
      </c>
      <c r="BR6" s="350" t="s">
        <v>59</v>
      </c>
      <c r="BS6" s="350" t="s">
        <v>60</v>
      </c>
      <c r="BT6" s="350" t="s">
        <v>61</v>
      </c>
      <c r="BU6" s="350" t="s">
        <v>62</v>
      </c>
      <c r="BV6" s="351"/>
      <c r="BW6" s="350" t="s">
        <v>518</v>
      </c>
      <c r="BX6" s="350" t="s">
        <v>519</v>
      </c>
      <c r="BY6" s="350" t="s">
        <v>520</v>
      </c>
      <c r="BZ6" s="350" t="s">
        <v>521</v>
      </c>
      <c r="CA6" s="350" t="s">
        <v>522</v>
      </c>
      <c r="CB6" s="351"/>
      <c r="CC6" s="350" t="s">
        <v>676</v>
      </c>
      <c r="CD6" s="350" t="s">
        <v>677</v>
      </c>
      <c r="CE6" s="350" t="s">
        <v>678</v>
      </c>
      <c r="CF6" s="350" t="s">
        <v>679</v>
      </c>
      <c r="CG6" s="350" t="s">
        <v>680</v>
      </c>
      <c r="CH6" s="351"/>
      <c r="CI6" s="350" t="s">
        <v>681</v>
      </c>
      <c r="CJ6" s="350" t="s">
        <v>682</v>
      </c>
      <c r="CK6" s="350" t="s">
        <v>683</v>
      </c>
      <c r="CL6" s="350" t="s">
        <v>684</v>
      </c>
      <c r="CM6" s="350" t="s">
        <v>685</v>
      </c>
    </row>
    <row r="7" spans="1:91" ht="12.75" customHeight="1" collapsed="1">
      <c r="A7" s="354"/>
      <c r="B7" s="354"/>
      <c r="C7" s="354"/>
      <c r="D7" s="348"/>
      <c r="E7" s="348"/>
      <c r="F7" s="348"/>
      <c r="G7" s="435"/>
      <c r="H7" s="348"/>
      <c r="I7" s="348"/>
      <c r="J7" s="348"/>
      <c r="K7" s="348"/>
      <c r="L7" s="348"/>
      <c r="M7" s="435"/>
      <c r="N7" s="348"/>
      <c r="O7" s="436"/>
      <c r="P7" s="436"/>
      <c r="Q7" s="436"/>
      <c r="R7" s="436"/>
      <c r="S7" s="435"/>
      <c r="T7" s="348"/>
      <c r="U7" s="436"/>
      <c r="V7" s="436"/>
      <c r="W7" s="436"/>
      <c r="X7" s="436"/>
      <c r="Y7" s="435"/>
      <c r="Z7" s="348"/>
      <c r="AA7" s="436"/>
      <c r="AB7" s="436"/>
      <c r="AC7" s="436"/>
      <c r="AD7" s="441"/>
      <c r="AE7" s="275">
        <v>2011</v>
      </c>
      <c r="AF7" s="348"/>
      <c r="AG7" s="355">
        <v>2012</v>
      </c>
      <c r="AH7" s="356"/>
      <c r="AI7" s="356"/>
      <c r="AJ7" s="822"/>
      <c r="AK7" s="275">
        <v>2012</v>
      </c>
      <c r="AL7" s="348"/>
      <c r="AM7" s="355">
        <v>2013</v>
      </c>
      <c r="AN7" s="356"/>
      <c r="AO7" s="356"/>
      <c r="AP7" s="822"/>
      <c r="AQ7" s="275">
        <v>2013</v>
      </c>
      <c r="AR7" s="348"/>
      <c r="AS7" s="1595">
        <v>2014</v>
      </c>
      <c r="AT7" s="1596"/>
      <c r="AU7" s="1596"/>
      <c r="AV7" s="1596"/>
      <c r="AW7" s="1288">
        <v>2014</v>
      </c>
      <c r="AX7" s="348"/>
      <c r="AY7" s="1595">
        <v>2015</v>
      </c>
      <c r="AZ7" s="821"/>
      <c r="BA7" s="821"/>
      <c r="BB7" s="822"/>
      <c r="BC7" s="1288">
        <v>2015</v>
      </c>
      <c r="BD7" s="348"/>
      <c r="BE7" s="1595">
        <v>2016</v>
      </c>
      <c r="BF7" s="821"/>
      <c r="BG7" s="821"/>
      <c r="BH7" s="822"/>
      <c r="BI7" s="1288">
        <v>2016</v>
      </c>
      <c r="BJ7" s="348"/>
      <c r="BK7" s="1595">
        <v>2017</v>
      </c>
      <c r="BL7" s="821"/>
      <c r="BM7" s="821"/>
      <c r="BN7" s="822"/>
      <c r="BO7" s="1288">
        <v>2017</v>
      </c>
      <c r="BP7" s="348"/>
      <c r="BQ7" s="276">
        <v>2018</v>
      </c>
      <c r="BR7" s="821"/>
      <c r="BS7" s="821"/>
      <c r="BT7" s="822"/>
      <c r="BU7" s="277">
        <v>2018</v>
      </c>
      <c r="BV7" s="348"/>
      <c r="BW7" s="276">
        <v>2019</v>
      </c>
      <c r="BX7" s="821"/>
      <c r="BY7" s="821"/>
      <c r="BZ7" s="822"/>
      <c r="CA7" s="277">
        <v>2019</v>
      </c>
      <c r="CB7" s="348"/>
      <c r="CC7" s="276">
        <f>BW7+1</f>
        <v>2020</v>
      </c>
      <c r="CD7" s="821"/>
      <c r="CE7" s="821"/>
      <c r="CF7" s="822"/>
      <c r="CG7" s="277">
        <v>2020</v>
      </c>
      <c r="CH7" s="348"/>
      <c r="CI7" s="276">
        <f>CC7+1</f>
        <v>2021</v>
      </c>
      <c r="CJ7" s="821"/>
      <c r="CK7" s="821"/>
      <c r="CL7" s="822"/>
      <c r="CM7" s="277">
        <v>2021</v>
      </c>
    </row>
    <row r="8" spans="1:91" ht="12.75" customHeight="1" thickBot="1">
      <c r="A8" s="357"/>
      <c r="B8" s="357"/>
      <c r="C8" s="357"/>
      <c r="D8" s="358"/>
      <c r="E8" s="358"/>
      <c r="F8" s="358"/>
      <c r="G8" s="367"/>
      <c r="H8" s="367"/>
      <c r="I8" s="367"/>
      <c r="J8" s="367"/>
      <c r="K8" s="367"/>
      <c r="L8" s="367"/>
      <c r="M8" s="367"/>
      <c r="N8" s="367"/>
      <c r="O8" s="451"/>
      <c r="P8" s="371"/>
      <c r="Q8" s="371"/>
      <c r="R8" s="371"/>
      <c r="S8" s="366"/>
      <c r="T8" s="366"/>
      <c r="U8" s="451"/>
      <c r="V8" s="371"/>
      <c r="W8" s="371"/>
      <c r="X8" s="371"/>
      <c r="Y8" s="366"/>
      <c r="Z8" s="366"/>
      <c r="AA8" s="451"/>
      <c r="AB8" s="371"/>
      <c r="AC8" s="371"/>
      <c r="AD8" s="442"/>
      <c r="AE8" s="457"/>
      <c r="AF8" s="362"/>
      <c r="AG8" s="359">
        <v>40999</v>
      </c>
      <c r="AH8" s="360">
        <v>41090</v>
      </c>
      <c r="AI8" s="360">
        <v>41182</v>
      </c>
      <c r="AJ8" s="360">
        <v>41274</v>
      </c>
      <c r="AK8" s="361"/>
      <c r="AL8" s="362"/>
      <c r="AM8" s="359">
        <v>41364</v>
      </c>
      <c r="AN8" s="360">
        <v>41455</v>
      </c>
      <c r="AO8" s="360">
        <v>41547</v>
      </c>
      <c r="AP8" s="360">
        <v>41639</v>
      </c>
      <c r="AQ8" s="361"/>
      <c r="AR8" s="362"/>
      <c r="AS8" s="1597">
        <v>41729</v>
      </c>
      <c r="AT8" s="1375">
        <v>41820</v>
      </c>
      <c r="AU8" s="1375">
        <v>41912</v>
      </c>
      <c r="AV8" s="1375">
        <v>42004</v>
      </c>
      <c r="AW8" s="1598"/>
      <c r="AX8" s="362"/>
      <c r="AY8" s="1597">
        <v>42094</v>
      </c>
      <c r="AZ8" s="1375">
        <v>42185</v>
      </c>
      <c r="BA8" s="1375">
        <v>42277</v>
      </c>
      <c r="BB8" s="1375">
        <v>42369</v>
      </c>
      <c r="BC8" s="361"/>
      <c r="BD8" s="362"/>
      <c r="BE8" s="1597">
        <v>42460</v>
      </c>
      <c r="BF8" s="1375">
        <v>42551</v>
      </c>
      <c r="BG8" s="1375">
        <v>42643</v>
      </c>
      <c r="BH8" s="1375">
        <v>42735</v>
      </c>
      <c r="BI8" s="361"/>
      <c r="BJ8" s="362"/>
      <c r="BK8" s="1597">
        <v>42825</v>
      </c>
      <c r="BL8" s="1375">
        <v>42916</v>
      </c>
      <c r="BM8" s="1375">
        <v>43008</v>
      </c>
      <c r="BN8" s="1375">
        <v>43100</v>
      </c>
      <c r="BO8" s="361"/>
      <c r="BP8" s="362"/>
      <c r="BQ8" s="364">
        <v>43190</v>
      </c>
      <c r="BR8" s="363">
        <v>43281</v>
      </c>
      <c r="BS8" s="363">
        <v>43373</v>
      </c>
      <c r="BT8" s="363">
        <v>43465</v>
      </c>
      <c r="BU8" s="361"/>
      <c r="BV8" s="362"/>
      <c r="BW8" s="364">
        <v>43555</v>
      </c>
      <c r="BX8" s="363">
        <v>43646</v>
      </c>
      <c r="BY8" s="363">
        <v>43738</v>
      </c>
      <c r="BZ8" s="363">
        <v>43830</v>
      </c>
      <c r="CA8" s="361"/>
      <c r="CB8" s="362"/>
      <c r="CC8" s="364">
        <v>43921</v>
      </c>
      <c r="CD8" s="363">
        <v>44012</v>
      </c>
      <c r="CE8" s="363">
        <v>44104</v>
      </c>
      <c r="CF8" s="363">
        <v>44196</v>
      </c>
      <c r="CG8" s="361"/>
      <c r="CH8" s="362"/>
      <c r="CI8" s="364">
        <v>44286</v>
      </c>
      <c r="CJ8" s="363">
        <v>44377</v>
      </c>
      <c r="CK8" s="363">
        <v>44469</v>
      </c>
      <c r="CL8" s="363">
        <v>44561</v>
      </c>
      <c r="CM8" s="361"/>
    </row>
    <row r="9" spans="1:91" ht="12.75" customHeight="1">
      <c r="A9" s="365" t="s">
        <v>150</v>
      </c>
      <c r="B9" s="366" t="s">
        <v>329</v>
      </c>
      <c r="C9" s="366" t="s">
        <v>151</v>
      </c>
      <c r="D9" s="367"/>
      <c r="E9" s="367"/>
      <c r="F9" s="367"/>
      <c r="G9" s="367"/>
      <c r="H9" s="367"/>
      <c r="I9" s="367"/>
      <c r="J9" s="367"/>
      <c r="K9" s="367"/>
      <c r="L9" s="367"/>
      <c r="M9" s="367"/>
      <c r="N9" s="367"/>
      <c r="O9" s="371"/>
      <c r="P9" s="371"/>
      <c r="Q9" s="371"/>
      <c r="R9" s="371"/>
      <c r="S9" s="367"/>
      <c r="T9" s="367"/>
      <c r="U9" s="371"/>
      <c r="V9" s="371"/>
      <c r="W9" s="371"/>
      <c r="X9" s="371"/>
      <c r="Y9" s="367"/>
      <c r="Z9" s="367"/>
      <c r="AA9" s="371"/>
      <c r="AB9" s="371"/>
      <c r="AC9" s="371"/>
      <c r="AD9" s="442"/>
      <c r="AE9" s="368"/>
      <c r="AF9" s="367"/>
      <c r="AG9" s="370"/>
      <c r="AH9" s="371"/>
      <c r="AI9" s="372"/>
      <c r="AJ9" s="372"/>
      <c r="AK9" s="369"/>
      <c r="AL9" s="367"/>
      <c r="AM9" s="370"/>
      <c r="AN9" s="371"/>
      <c r="AO9" s="371"/>
      <c r="AP9" s="371"/>
      <c r="AQ9" s="369"/>
      <c r="AR9" s="367"/>
      <c r="AS9" s="370"/>
      <c r="AT9" s="371"/>
      <c r="AU9" s="371"/>
      <c r="AV9" s="371"/>
      <c r="AW9" s="369"/>
      <c r="AX9" s="367"/>
      <c r="AY9" s="370"/>
      <c r="AZ9" s="371"/>
      <c r="BA9" s="371"/>
      <c r="BB9" s="371"/>
      <c r="BC9" s="369"/>
      <c r="BD9" s="367"/>
      <c r="BE9" s="370"/>
      <c r="BF9" s="371"/>
      <c r="BG9" s="371"/>
      <c r="BH9" s="371"/>
      <c r="BI9" s="369"/>
      <c r="BJ9" s="367"/>
      <c r="BK9" s="370"/>
      <c r="BL9" s="371"/>
      <c r="BM9" s="371"/>
      <c r="BN9" s="371"/>
      <c r="BO9" s="369"/>
      <c r="BP9" s="367"/>
      <c r="BQ9" s="370"/>
      <c r="BR9" s="371"/>
      <c r="BS9" s="371"/>
      <c r="BT9" s="371"/>
      <c r="BU9" s="369"/>
      <c r="BV9" s="367"/>
      <c r="BW9" s="370"/>
      <c r="BX9" s="371"/>
      <c r="BY9" s="371"/>
      <c r="BZ9" s="371"/>
      <c r="CA9" s="369"/>
      <c r="CB9" s="367"/>
      <c r="CC9" s="370"/>
      <c r="CD9" s="371"/>
      <c r="CE9" s="371"/>
      <c r="CF9" s="371"/>
      <c r="CG9" s="369"/>
      <c r="CH9" s="367"/>
      <c r="CI9" s="370"/>
      <c r="CJ9" s="371"/>
      <c r="CK9" s="371"/>
      <c r="CL9" s="371"/>
      <c r="CM9" s="369"/>
    </row>
    <row r="10" spans="1:91" ht="12.75" customHeight="1">
      <c r="A10" s="373" t="s">
        <v>166</v>
      </c>
      <c r="B10" s="374">
        <v>2.2499999999999999E-2</v>
      </c>
      <c r="C10" s="464">
        <v>42735</v>
      </c>
      <c r="D10" s="375"/>
      <c r="E10" s="375"/>
      <c r="F10" s="375"/>
      <c r="G10" s="377"/>
      <c r="H10" s="380"/>
      <c r="I10" s="380"/>
      <c r="J10" s="380"/>
      <c r="K10" s="380"/>
      <c r="L10" s="380"/>
      <c r="M10" s="377"/>
      <c r="N10" s="380"/>
      <c r="O10" s="377"/>
      <c r="P10" s="377"/>
      <c r="Q10" s="377"/>
      <c r="R10" s="377"/>
      <c r="S10" s="380"/>
      <c r="T10" s="380"/>
      <c r="U10" s="377"/>
      <c r="V10" s="377"/>
      <c r="W10" s="377"/>
      <c r="X10" s="377"/>
      <c r="Y10" s="380"/>
      <c r="Z10" s="380"/>
      <c r="AA10" s="380"/>
      <c r="AB10" s="380"/>
      <c r="AC10" s="380"/>
      <c r="AD10" s="443"/>
      <c r="AE10" s="465">
        <v>298</v>
      </c>
      <c r="AF10" s="375"/>
      <c r="AG10" s="376">
        <v>287</v>
      </c>
      <c r="AH10" s="377">
        <v>264</v>
      </c>
      <c r="AI10" s="377">
        <v>256</v>
      </c>
      <c r="AJ10" s="405">
        <v>258</v>
      </c>
      <c r="AK10" s="378">
        <f>AJ10</f>
        <v>258</v>
      </c>
      <c r="AL10" s="375"/>
      <c r="AM10" s="376">
        <v>336</v>
      </c>
      <c r="AN10" s="377">
        <v>316</v>
      </c>
      <c r="AO10" s="377">
        <v>248</v>
      </c>
      <c r="AP10" s="405">
        <v>397</v>
      </c>
      <c r="AQ10" s="378">
        <f>AP10</f>
        <v>397</v>
      </c>
      <c r="AR10" s="375"/>
      <c r="AS10" s="376">
        <v>392</v>
      </c>
      <c r="AT10" s="1374">
        <v>358</v>
      </c>
      <c r="AU10" s="1374">
        <v>319</v>
      </c>
      <c r="AV10" s="1374">
        <v>516</v>
      </c>
      <c r="AW10" s="378">
        <f>AV10</f>
        <v>516</v>
      </c>
      <c r="AX10" s="375"/>
      <c r="AY10" s="1704">
        <v>479</v>
      </c>
      <c r="AZ10" s="1705">
        <v>451</v>
      </c>
      <c r="BA10" s="1705">
        <v>492</v>
      </c>
      <c r="BB10" s="1374">
        <v>479.61599999999999</v>
      </c>
      <c r="BC10" s="378">
        <f>BB10</f>
        <v>479.61599999999999</v>
      </c>
      <c r="BD10" s="375"/>
      <c r="BE10" s="1704">
        <v>587.79999999999995</v>
      </c>
      <c r="BF10" s="1705">
        <v>525</v>
      </c>
      <c r="BG10" s="1705">
        <v>48.5</v>
      </c>
      <c r="BH10" s="1374">
        <v>0</v>
      </c>
      <c r="BI10" s="378">
        <f>BH10</f>
        <v>0</v>
      </c>
      <c r="BJ10" s="375"/>
      <c r="BK10" s="1704">
        <v>0</v>
      </c>
      <c r="BL10" s="1705">
        <v>0</v>
      </c>
      <c r="BM10" s="1705">
        <v>0</v>
      </c>
      <c r="BN10" s="1374">
        <f>200+625</f>
        <v>825</v>
      </c>
      <c r="BO10" s="378">
        <f>BN10</f>
        <v>825</v>
      </c>
      <c r="BP10" s="375"/>
      <c r="BQ10" s="381">
        <f>BO10+BQ22</f>
        <v>750</v>
      </c>
      <c r="BR10" s="375">
        <f t="shared" ref="BR10:BT13" si="0">BQ10+BR22</f>
        <v>500</v>
      </c>
      <c r="BS10" s="375">
        <f t="shared" si="0"/>
        <v>450</v>
      </c>
      <c r="BT10" s="375">
        <f t="shared" si="0"/>
        <v>300</v>
      </c>
      <c r="BU10" s="378">
        <f t="shared" ref="BU10:BU15" si="1">BT10</f>
        <v>300</v>
      </c>
      <c r="BV10" s="375"/>
      <c r="BW10" s="381">
        <f t="shared" ref="BW10:BW15" si="2">BU10+BW22</f>
        <v>200</v>
      </c>
      <c r="BX10" s="375">
        <f t="shared" ref="BX10:BZ13" si="3">BW10+BX22</f>
        <v>100</v>
      </c>
      <c r="BY10" s="375">
        <f t="shared" si="3"/>
        <v>0</v>
      </c>
      <c r="BZ10" s="375">
        <f t="shared" si="3"/>
        <v>0</v>
      </c>
      <c r="CA10" s="378">
        <f t="shared" ref="CA10:CA15" si="4">BZ10</f>
        <v>0</v>
      </c>
      <c r="CB10" s="375"/>
      <c r="CC10" s="381">
        <f t="shared" ref="CC10:CC15" si="5">CA10+CC22</f>
        <v>0</v>
      </c>
      <c r="CD10" s="375">
        <f t="shared" ref="CD10:CF14" si="6">CC10+CD22</f>
        <v>0</v>
      </c>
      <c r="CE10" s="375">
        <f t="shared" si="6"/>
        <v>0</v>
      </c>
      <c r="CF10" s="375">
        <f t="shared" si="6"/>
        <v>0</v>
      </c>
      <c r="CG10" s="378">
        <f t="shared" ref="CG10:CG15" si="7">CF10</f>
        <v>0</v>
      </c>
      <c r="CH10" s="375"/>
      <c r="CI10" s="381">
        <f t="shared" ref="CI10:CI15" si="8">CG10+CI22</f>
        <v>0</v>
      </c>
      <c r="CJ10" s="375">
        <f t="shared" ref="CJ10:CL14" si="9">CI10+CJ22</f>
        <v>0</v>
      </c>
      <c r="CK10" s="375">
        <f t="shared" si="9"/>
        <v>0</v>
      </c>
      <c r="CL10" s="375">
        <f t="shared" si="9"/>
        <v>0</v>
      </c>
      <c r="CM10" s="378">
        <f t="shared" ref="CM10:CM15" si="10">CL10</f>
        <v>0</v>
      </c>
    </row>
    <row r="11" spans="1:91" ht="12.75" customHeight="1">
      <c r="A11" s="382" t="s">
        <v>167</v>
      </c>
      <c r="B11" s="2369">
        <v>0.06</v>
      </c>
      <c r="C11" s="464">
        <v>42155</v>
      </c>
      <c r="D11" s="375"/>
      <c r="E11" s="375"/>
      <c r="F11" s="375"/>
      <c r="G11" s="377"/>
      <c r="H11" s="380"/>
      <c r="I11" s="380"/>
      <c r="J11" s="380"/>
      <c r="K11" s="380"/>
      <c r="L11" s="380"/>
      <c r="M11" s="377"/>
      <c r="N11" s="380"/>
      <c r="O11" s="377"/>
      <c r="P11" s="377"/>
      <c r="Q11" s="377"/>
      <c r="R11" s="377"/>
      <c r="S11" s="380"/>
      <c r="T11" s="380"/>
      <c r="U11" s="377"/>
      <c r="V11" s="377"/>
      <c r="W11" s="377"/>
      <c r="X11" s="377"/>
      <c r="Y11" s="380"/>
      <c r="Z11" s="380"/>
      <c r="AA11" s="377"/>
      <c r="AB11" s="377"/>
      <c r="AC11" s="377"/>
      <c r="AD11" s="443"/>
      <c r="AE11" s="465">
        <v>150</v>
      </c>
      <c r="AF11" s="375"/>
      <c r="AG11" s="376">
        <v>150</v>
      </c>
      <c r="AH11" s="377">
        <v>150</v>
      </c>
      <c r="AI11" s="377">
        <v>150</v>
      </c>
      <c r="AJ11" s="405">
        <v>150</v>
      </c>
      <c r="AK11" s="378">
        <f>AJ11</f>
        <v>150</v>
      </c>
      <c r="AL11" s="375"/>
      <c r="AM11" s="376">
        <v>150</v>
      </c>
      <c r="AN11" s="377">
        <v>150</v>
      </c>
      <c r="AO11" s="377">
        <v>150</v>
      </c>
      <c r="AP11" s="405">
        <v>0</v>
      </c>
      <c r="AQ11" s="378">
        <f>AP11</f>
        <v>0</v>
      </c>
      <c r="AR11" s="375"/>
      <c r="AS11" s="376">
        <v>0</v>
      </c>
      <c r="AT11" s="1374">
        <v>0</v>
      </c>
      <c r="AU11" s="1374">
        <v>0</v>
      </c>
      <c r="AV11" s="1374">
        <v>0</v>
      </c>
      <c r="AW11" s="378">
        <f>AV11</f>
        <v>0</v>
      </c>
      <c r="AX11" s="375"/>
      <c r="AY11" s="1704">
        <v>0</v>
      </c>
      <c r="AZ11" s="1705">
        <v>0</v>
      </c>
      <c r="BA11" s="1705">
        <v>0</v>
      </c>
      <c r="BB11" s="1374">
        <v>0</v>
      </c>
      <c r="BC11" s="378">
        <f>BB11</f>
        <v>0</v>
      </c>
      <c r="BD11" s="375"/>
      <c r="BE11" s="1704">
        <v>0</v>
      </c>
      <c r="BF11" s="1705">
        <v>0</v>
      </c>
      <c r="BG11" s="1705">
        <v>0</v>
      </c>
      <c r="BH11" s="1374">
        <v>-4.26</v>
      </c>
      <c r="BI11" s="378">
        <f>BH11</f>
        <v>-4.26</v>
      </c>
      <c r="BJ11" s="375"/>
      <c r="BK11" s="1704">
        <v>-4</v>
      </c>
      <c r="BL11" s="1705">
        <v>-3.8</v>
      </c>
      <c r="BM11" s="1705">
        <v>-3.6</v>
      </c>
      <c r="BN11" s="405">
        <v>0</v>
      </c>
      <c r="BO11" s="378">
        <f>BN11</f>
        <v>0</v>
      </c>
      <c r="BP11" s="375"/>
      <c r="BQ11" s="381">
        <f>BO11+BQ23</f>
        <v>0</v>
      </c>
      <c r="BR11" s="375">
        <f t="shared" si="0"/>
        <v>0</v>
      </c>
      <c r="BS11" s="375">
        <f t="shared" si="0"/>
        <v>0</v>
      </c>
      <c r="BT11" s="375">
        <f t="shared" si="0"/>
        <v>0</v>
      </c>
      <c r="BU11" s="378">
        <f t="shared" si="1"/>
        <v>0</v>
      </c>
      <c r="BV11" s="375"/>
      <c r="BW11" s="381">
        <f t="shared" si="2"/>
        <v>0</v>
      </c>
      <c r="BX11" s="375">
        <f t="shared" si="3"/>
        <v>0</v>
      </c>
      <c r="BY11" s="375">
        <f t="shared" si="3"/>
        <v>0</v>
      </c>
      <c r="BZ11" s="375">
        <f t="shared" si="3"/>
        <v>0</v>
      </c>
      <c r="CA11" s="378">
        <f t="shared" si="4"/>
        <v>0</v>
      </c>
      <c r="CB11" s="375"/>
      <c r="CC11" s="381">
        <f t="shared" si="5"/>
        <v>0</v>
      </c>
      <c r="CD11" s="375">
        <f t="shared" si="6"/>
        <v>0</v>
      </c>
      <c r="CE11" s="375">
        <f t="shared" si="6"/>
        <v>0</v>
      </c>
      <c r="CF11" s="375">
        <f t="shared" si="6"/>
        <v>0</v>
      </c>
      <c r="CG11" s="378">
        <f t="shared" si="7"/>
        <v>0</v>
      </c>
      <c r="CH11" s="375"/>
      <c r="CI11" s="381">
        <f t="shared" si="8"/>
        <v>0</v>
      </c>
      <c r="CJ11" s="375">
        <f t="shared" si="9"/>
        <v>0</v>
      </c>
      <c r="CK11" s="375">
        <f t="shared" si="9"/>
        <v>0</v>
      </c>
      <c r="CL11" s="375">
        <f t="shared" si="9"/>
        <v>0</v>
      </c>
      <c r="CM11" s="378">
        <f t="shared" si="10"/>
        <v>0</v>
      </c>
    </row>
    <row r="12" spans="1:91" ht="12.75" customHeight="1">
      <c r="A12" s="383" t="s">
        <v>168</v>
      </c>
      <c r="B12" s="374">
        <v>0.05</v>
      </c>
      <c r="C12" s="464">
        <v>44530</v>
      </c>
      <c r="D12" s="375"/>
      <c r="E12" s="375"/>
      <c r="F12" s="375"/>
      <c r="G12" s="377"/>
      <c r="H12" s="380"/>
      <c r="I12" s="380"/>
      <c r="J12" s="380"/>
      <c r="K12" s="380"/>
      <c r="L12" s="380"/>
      <c r="M12" s="377"/>
      <c r="N12" s="380"/>
      <c r="O12" s="377"/>
      <c r="P12" s="377"/>
      <c r="Q12" s="377"/>
      <c r="R12" s="377"/>
      <c r="S12" s="380"/>
      <c r="T12" s="380"/>
      <c r="U12" s="377"/>
      <c r="V12" s="377"/>
      <c r="W12" s="377"/>
      <c r="X12" s="377"/>
      <c r="Y12" s="380"/>
      <c r="Z12" s="380"/>
      <c r="AA12" s="377"/>
      <c r="AB12" s="377"/>
      <c r="AC12" s="377"/>
      <c r="AD12" s="443"/>
      <c r="AE12" s="465">
        <v>496.9</v>
      </c>
      <c r="AF12" s="375"/>
      <c r="AG12" s="376">
        <v>496.9</v>
      </c>
      <c r="AH12" s="377">
        <v>496.9</v>
      </c>
      <c r="AI12" s="377">
        <v>496.9</v>
      </c>
      <c r="AJ12" s="405">
        <v>496.9</v>
      </c>
      <c r="AK12" s="378">
        <f>AJ12</f>
        <v>496.9</v>
      </c>
      <c r="AL12" s="375"/>
      <c r="AM12" s="376">
        <v>497.2</v>
      </c>
      <c r="AN12" s="377">
        <v>497.3</v>
      </c>
      <c r="AO12" s="377">
        <v>497.2</v>
      </c>
      <c r="AP12" s="405">
        <v>497.43200000000002</v>
      </c>
      <c r="AQ12" s="378">
        <f>AP12</f>
        <v>497.43200000000002</v>
      </c>
      <c r="AR12" s="375"/>
      <c r="AS12" s="376">
        <v>497.5</v>
      </c>
      <c r="AT12" s="1374">
        <v>497.5</v>
      </c>
      <c r="AU12" s="1374">
        <v>497.6</v>
      </c>
      <c r="AV12" s="1374">
        <v>497.7</v>
      </c>
      <c r="AW12" s="378">
        <f>AV12</f>
        <v>497.7</v>
      </c>
      <c r="AX12" s="375"/>
      <c r="AY12" s="1704">
        <v>497.7</v>
      </c>
      <c r="AZ12" s="1705">
        <v>497.8</v>
      </c>
      <c r="BA12" s="1705">
        <v>497.9</v>
      </c>
      <c r="BB12" s="1374">
        <v>495.072</v>
      </c>
      <c r="BC12" s="378">
        <f>BB12</f>
        <v>495.072</v>
      </c>
      <c r="BD12" s="375"/>
      <c r="BE12" s="1704">
        <v>495.2</v>
      </c>
      <c r="BF12" s="1705">
        <v>495.4</v>
      </c>
      <c r="BG12" s="1705">
        <v>495.7</v>
      </c>
      <c r="BH12" s="1374">
        <v>495.83300000000003</v>
      </c>
      <c r="BI12" s="378">
        <f>BH12</f>
        <v>495.83300000000003</v>
      </c>
      <c r="BJ12" s="375"/>
      <c r="BK12" s="1704">
        <v>496</v>
      </c>
      <c r="BL12" s="1705">
        <v>496.2</v>
      </c>
      <c r="BM12" s="1705">
        <v>496.4</v>
      </c>
      <c r="BN12" s="1374">
        <v>495.8</v>
      </c>
      <c r="BO12" s="378">
        <f>BN12</f>
        <v>495.8</v>
      </c>
      <c r="BP12" s="375"/>
      <c r="BQ12" s="381">
        <f>BO12+BQ24</f>
        <v>495.8</v>
      </c>
      <c r="BR12" s="375">
        <f t="shared" si="0"/>
        <v>495.8</v>
      </c>
      <c r="BS12" s="375">
        <f t="shared" si="0"/>
        <v>495.8</v>
      </c>
      <c r="BT12" s="375">
        <f t="shared" si="0"/>
        <v>495.8</v>
      </c>
      <c r="BU12" s="378">
        <f t="shared" si="1"/>
        <v>495.8</v>
      </c>
      <c r="BV12" s="375"/>
      <c r="BW12" s="381">
        <f t="shared" si="2"/>
        <v>495.8</v>
      </c>
      <c r="BX12" s="375">
        <f t="shared" si="3"/>
        <v>495.8</v>
      </c>
      <c r="BY12" s="375">
        <f t="shared" si="3"/>
        <v>495.8</v>
      </c>
      <c r="BZ12" s="375">
        <f t="shared" si="3"/>
        <v>495.8</v>
      </c>
      <c r="CA12" s="378">
        <f t="shared" si="4"/>
        <v>495.8</v>
      </c>
      <c r="CB12" s="375"/>
      <c r="CC12" s="381">
        <f t="shared" si="5"/>
        <v>495.8</v>
      </c>
      <c r="CD12" s="375">
        <f t="shared" si="6"/>
        <v>495.8</v>
      </c>
      <c r="CE12" s="375">
        <f t="shared" si="6"/>
        <v>495.8</v>
      </c>
      <c r="CF12" s="375">
        <f t="shared" si="6"/>
        <v>495.8</v>
      </c>
      <c r="CG12" s="378">
        <f t="shared" si="7"/>
        <v>495.8</v>
      </c>
      <c r="CH12" s="375"/>
      <c r="CI12" s="381">
        <f t="shared" si="8"/>
        <v>495.8</v>
      </c>
      <c r="CJ12" s="375">
        <f t="shared" si="9"/>
        <v>495.8</v>
      </c>
      <c r="CK12" s="375">
        <f t="shared" si="9"/>
        <v>495.8</v>
      </c>
      <c r="CL12" s="375">
        <f t="shared" si="9"/>
        <v>495.8</v>
      </c>
      <c r="CM12" s="378">
        <f t="shared" si="10"/>
        <v>495.8</v>
      </c>
    </row>
    <row r="13" spans="1:91" ht="12.75" customHeight="1">
      <c r="A13" s="383" t="s">
        <v>534</v>
      </c>
      <c r="B13" s="374">
        <v>1.8749999999999999E-2</v>
      </c>
      <c r="C13" s="464">
        <v>46234</v>
      </c>
      <c r="D13" s="375"/>
      <c r="E13" s="375"/>
      <c r="F13" s="375"/>
      <c r="G13" s="377"/>
      <c r="H13" s="380"/>
      <c r="I13" s="380"/>
      <c r="J13" s="380"/>
      <c r="K13" s="380"/>
      <c r="L13" s="380"/>
      <c r="M13" s="377"/>
      <c r="N13" s="380"/>
      <c r="O13" s="377"/>
      <c r="P13" s="377"/>
      <c r="Q13" s="377"/>
      <c r="R13" s="377"/>
      <c r="S13" s="380"/>
      <c r="T13" s="380"/>
      <c r="U13" s="377"/>
      <c r="V13" s="377"/>
      <c r="W13" s="377"/>
      <c r="X13" s="377"/>
      <c r="Y13" s="380"/>
      <c r="Z13" s="380"/>
      <c r="AA13" s="377"/>
      <c r="AB13" s="377"/>
      <c r="AC13" s="377"/>
      <c r="AD13" s="443"/>
      <c r="AE13" s="465">
        <v>0</v>
      </c>
      <c r="AF13" s="375"/>
      <c r="AG13" s="376">
        <v>0</v>
      </c>
      <c r="AH13" s="377">
        <v>0</v>
      </c>
      <c r="AI13" s="377">
        <v>0</v>
      </c>
      <c r="AJ13" s="405">
        <v>0</v>
      </c>
      <c r="AK13" s="378">
        <f>AJ13</f>
        <v>0</v>
      </c>
      <c r="AL13" s="375"/>
      <c r="AM13" s="376">
        <v>0</v>
      </c>
      <c r="AN13" s="377">
        <v>0</v>
      </c>
      <c r="AO13" s="377">
        <v>0</v>
      </c>
      <c r="AP13" s="405">
        <v>0</v>
      </c>
      <c r="AQ13" s="378">
        <f>AP13</f>
        <v>0</v>
      </c>
      <c r="AR13" s="375"/>
      <c r="AS13" s="376">
        <v>0</v>
      </c>
      <c r="AT13" s="377">
        <v>0</v>
      </c>
      <c r="AU13" s="377">
        <v>0</v>
      </c>
      <c r="AV13" s="405">
        <v>0</v>
      </c>
      <c r="AW13" s="378">
        <f>AV13</f>
        <v>0</v>
      </c>
      <c r="AX13" s="375"/>
      <c r="AY13" s="376">
        <v>0</v>
      </c>
      <c r="AZ13" s="377">
        <v>0</v>
      </c>
      <c r="BA13" s="377">
        <v>0</v>
      </c>
      <c r="BB13" s="405">
        <v>0</v>
      </c>
      <c r="BC13" s="378">
        <f>BB13</f>
        <v>0</v>
      </c>
      <c r="BD13" s="375"/>
      <c r="BE13" s="376">
        <v>0</v>
      </c>
      <c r="BF13" s="377">
        <v>0</v>
      </c>
      <c r="BG13" s="377">
        <v>551.6</v>
      </c>
      <c r="BH13" s="405">
        <v>517.779</v>
      </c>
      <c r="BI13" s="378">
        <f>BH13</f>
        <v>517.779</v>
      </c>
      <c r="BJ13" s="375"/>
      <c r="BK13" s="376">
        <v>525.1</v>
      </c>
      <c r="BL13" s="377">
        <v>561.79999999999995</v>
      </c>
      <c r="BM13" s="377">
        <v>581.5</v>
      </c>
      <c r="BN13" s="405">
        <v>591.70000000000005</v>
      </c>
      <c r="BO13" s="378">
        <f>BN13</f>
        <v>591.70000000000005</v>
      </c>
      <c r="BP13" s="375"/>
      <c r="BQ13" s="381">
        <f>BO13+BQ25</f>
        <v>591.70000000000005</v>
      </c>
      <c r="BR13" s="375">
        <f t="shared" si="0"/>
        <v>591.70000000000005</v>
      </c>
      <c r="BS13" s="375">
        <f t="shared" si="0"/>
        <v>591.70000000000005</v>
      </c>
      <c r="BT13" s="375">
        <f t="shared" si="0"/>
        <v>591.70000000000005</v>
      </c>
      <c r="BU13" s="378">
        <f t="shared" si="1"/>
        <v>591.70000000000005</v>
      </c>
      <c r="BV13" s="375"/>
      <c r="BW13" s="381">
        <f t="shared" si="2"/>
        <v>591.70000000000005</v>
      </c>
      <c r="BX13" s="375">
        <f t="shared" si="3"/>
        <v>591.70000000000005</v>
      </c>
      <c r="BY13" s="375">
        <f t="shared" si="3"/>
        <v>591.70000000000005</v>
      </c>
      <c r="BZ13" s="375">
        <f t="shared" si="3"/>
        <v>591.70000000000005</v>
      </c>
      <c r="CA13" s="378">
        <f t="shared" si="4"/>
        <v>591.70000000000005</v>
      </c>
      <c r="CB13" s="375"/>
      <c r="CC13" s="381">
        <f t="shared" si="5"/>
        <v>591.70000000000005</v>
      </c>
      <c r="CD13" s="375">
        <f t="shared" si="6"/>
        <v>591.70000000000005</v>
      </c>
      <c r="CE13" s="375">
        <f t="shared" si="6"/>
        <v>591.70000000000005</v>
      </c>
      <c r="CF13" s="375">
        <f t="shared" si="6"/>
        <v>491.70000000000005</v>
      </c>
      <c r="CG13" s="378">
        <f t="shared" si="7"/>
        <v>491.70000000000005</v>
      </c>
      <c r="CH13" s="375"/>
      <c r="CI13" s="381">
        <f t="shared" si="8"/>
        <v>391.70000000000005</v>
      </c>
      <c r="CJ13" s="375">
        <f t="shared" si="9"/>
        <v>291.70000000000005</v>
      </c>
      <c r="CK13" s="375">
        <f t="shared" si="9"/>
        <v>191.70000000000005</v>
      </c>
      <c r="CL13" s="375">
        <f t="shared" si="9"/>
        <v>29.900000000000034</v>
      </c>
      <c r="CM13" s="378">
        <f t="shared" si="10"/>
        <v>29.900000000000034</v>
      </c>
    </row>
    <row r="14" spans="1:91" ht="12.75" hidden="1" customHeight="1" outlineLevel="1">
      <c r="A14" s="384" t="s">
        <v>426</v>
      </c>
      <c r="B14" s="374">
        <v>0.03</v>
      </c>
      <c r="C14" s="385"/>
      <c r="D14" s="375"/>
      <c r="E14" s="375"/>
      <c r="F14" s="375"/>
      <c r="G14" s="377"/>
      <c r="H14" s="380"/>
      <c r="I14" s="380"/>
      <c r="J14" s="380"/>
      <c r="K14" s="380"/>
      <c r="L14" s="380"/>
      <c r="M14" s="377"/>
      <c r="N14" s="380"/>
      <c r="O14" s="386"/>
      <c r="P14" s="386"/>
      <c r="Q14" s="386"/>
      <c r="R14" s="386"/>
      <c r="S14" s="380"/>
      <c r="T14" s="380"/>
      <c r="U14" s="386"/>
      <c r="V14" s="386"/>
      <c r="W14" s="386"/>
      <c r="X14" s="386"/>
      <c r="Y14" s="380"/>
      <c r="Z14" s="380"/>
      <c r="AA14" s="386"/>
      <c r="AB14" s="386"/>
      <c r="AC14" s="386"/>
      <c r="AD14" s="444"/>
      <c r="AE14" s="465">
        <v>8.0000000000000002E-3</v>
      </c>
      <c r="AF14" s="375"/>
      <c r="AG14" s="376">
        <v>7.0999999999999994E-2</v>
      </c>
      <c r="AH14" s="377">
        <v>0.14299999999999999</v>
      </c>
      <c r="AI14" s="377">
        <f>29.3+0.13</f>
        <v>29.43</v>
      </c>
      <c r="AJ14" s="405">
        <f>34.6+1.096</f>
        <v>35.695999999999998</v>
      </c>
      <c r="AK14" s="378">
        <f>AJ14</f>
        <v>35.695999999999998</v>
      </c>
      <c r="AL14" s="375"/>
      <c r="AM14" s="376">
        <f>38+5.4+0.046</f>
        <v>43.445999999999998</v>
      </c>
      <c r="AN14" s="405">
        <f>40.8-0.027</f>
        <v>40.772999999999996</v>
      </c>
      <c r="AO14" s="405">
        <f>40.5+0.214</f>
        <v>40.713999999999999</v>
      </c>
      <c r="AP14" s="405">
        <v>40.295999999999999</v>
      </c>
      <c r="AQ14" s="378">
        <f>AP14</f>
        <v>40.295999999999999</v>
      </c>
      <c r="AR14" s="375"/>
      <c r="AS14" s="376">
        <f>40.3-0.277</f>
        <v>40.022999999999996</v>
      </c>
      <c r="AT14" s="1374">
        <f>39.8+0.033</f>
        <v>39.832999999999998</v>
      </c>
      <c r="AU14" s="1374">
        <f>39.5+3.6+0.035</f>
        <v>43.134999999999998</v>
      </c>
      <c r="AV14" s="1374">
        <f>39.3-0.033</f>
        <v>39.266999999999996</v>
      </c>
      <c r="AW14" s="378">
        <f>AV14</f>
        <v>39.266999999999996</v>
      </c>
      <c r="AX14" s="375"/>
      <c r="AY14" s="376">
        <f>39+0.049</f>
        <v>39.048999999999999</v>
      </c>
      <c r="AZ14" s="1374">
        <f>38.7+0.9+0.026</f>
        <v>39.626000000000005</v>
      </c>
      <c r="BA14" s="1374">
        <f>38.5-0.024</f>
        <v>38.475999999999999</v>
      </c>
      <c r="BB14" s="1374">
        <v>38.197000000000003</v>
      </c>
      <c r="BC14" s="378">
        <f>BB14</f>
        <v>38.197000000000003</v>
      </c>
      <c r="BD14" s="375"/>
      <c r="BE14" s="376">
        <f>37.9+0.065</f>
        <v>37.964999999999996</v>
      </c>
      <c r="BF14" s="1374">
        <f>37.6+0.081</f>
        <v>37.681000000000004</v>
      </c>
      <c r="BG14" s="1374">
        <f>37.4-0.115</f>
        <v>37.284999999999997</v>
      </c>
      <c r="BH14" s="1374">
        <v>37.073999999999998</v>
      </c>
      <c r="BI14" s="378">
        <f>BH14</f>
        <v>37.073999999999998</v>
      </c>
      <c r="BJ14" s="375"/>
      <c r="BK14" s="376">
        <f>36.8+0.964</f>
        <v>37.763999999999996</v>
      </c>
      <c r="BL14" s="1374">
        <f>36.5+0.92</f>
        <v>37.42</v>
      </c>
      <c r="BM14" s="1374">
        <f>36.2+0.063</f>
        <v>36.263000000000005</v>
      </c>
      <c r="BN14" s="1374">
        <f>35.9+57.2+0.509</f>
        <v>93.608999999999995</v>
      </c>
      <c r="BO14" s="378">
        <f>BN14</f>
        <v>93.608999999999995</v>
      </c>
      <c r="BP14" s="375"/>
      <c r="BQ14" s="381">
        <f>BO14+BQ26</f>
        <v>93.608999999999995</v>
      </c>
      <c r="BR14" s="375">
        <f t="shared" ref="BR14:BT14" si="11">BQ14+BR26</f>
        <v>93.608999999999995</v>
      </c>
      <c r="BS14" s="375">
        <f t="shared" si="11"/>
        <v>93.608999999999995</v>
      </c>
      <c r="BT14" s="375">
        <f t="shared" si="11"/>
        <v>93.608999999999995</v>
      </c>
      <c r="BU14" s="378">
        <f t="shared" si="1"/>
        <v>93.608999999999995</v>
      </c>
      <c r="BV14" s="375"/>
      <c r="BW14" s="381">
        <f t="shared" si="2"/>
        <v>93.608999999999995</v>
      </c>
      <c r="BX14" s="375">
        <f t="shared" ref="BX14:BZ14" si="12">BW14+BX26</f>
        <v>93.608999999999995</v>
      </c>
      <c r="BY14" s="375">
        <f t="shared" si="12"/>
        <v>93.608999999999995</v>
      </c>
      <c r="BZ14" s="375">
        <f t="shared" si="12"/>
        <v>93.608999999999995</v>
      </c>
      <c r="CA14" s="378">
        <f t="shared" si="4"/>
        <v>93.608999999999995</v>
      </c>
      <c r="CB14" s="375"/>
      <c r="CC14" s="381">
        <f t="shared" si="5"/>
        <v>93.608999999999995</v>
      </c>
      <c r="CD14" s="375">
        <f t="shared" si="6"/>
        <v>93.608999999999995</v>
      </c>
      <c r="CE14" s="375">
        <f t="shared" si="6"/>
        <v>93.608999999999995</v>
      </c>
      <c r="CF14" s="375">
        <f t="shared" si="6"/>
        <v>93.608999999999995</v>
      </c>
      <c r="CG14" s="378">
        <f t="shared" si="7"/>
        <v>93.608999999999995</v>
      </c>
      <c r="CH14" s="375"/>
      <c r="CI14" s="381">
        <f t="shared" si="8"/>
        <v>93.608999999999995</v>
      </c>
      <c r="CJ14" s="375">
        <f t="shared" si="9"/>
        <v>93.608999999999995</v>
      </c>
      <c r="CK14" s="375">
        <f t="shared" si="9"/>
        <v>93.608999999999995</v>
      </c>
      <c r="CL14" s="375">
        <f t="shared" si="9"/>
        <v>93.608999999999995</v>
      </c>
      <c r="CM14" s="378">
        <f t="shared" si="10"/>
        <v>93.608999999999995</v>
      </c>
    </row>
    <row r="15" spans="1:91" ht="12.75" hidden="1" customHeight="1" outlineLevel="1">
      <c r="A15" s="384" t="s">
        <v>735</v>
      </c>
      <c r="B15" s="374">
        <v>6.0000000000000001E-3</v>
      </c>
      <c r="C15" s="385">
        <v>44197</v>
      </c>
      <c r="D15" s="375"/>
      <c r="E15" s="375"/>
      <c r="F15" s="375"/>
      <c r="G15" s="377"/>
      <c r="H15" s="380"/>
      <c r="I15" s="380"/>
      <c r="J15" s="380"/>
      <c r="K15" s="380"/>
      <c r="L15" s="380"/>
      <c r="M15" s="377"/>
      <c r="N15" s="380"/>
      <c r="O15" s="386"/>
      <c r="P15" s="386"/>
      <c r="Q15" s="386"/>
      <c r="R15" s="386"/>
      <c r="S15" s="380"/>
      <c r="T15" s="380"/>
      <c r="U15" s="386"/>
      <c r="V15" s="386"/>
      <c r="W15" s="386"/>
      <c r="X15" s="386"/>
      <c r="Y15" s="380"/>
      <c r="Z15" s="380"/>
      <c r="AA15" s="386"/>
      <c r="AB15" s="386"/>
      <c r="AC15" s="386"/>
      <c r="AD15" s="444"/>
      <c r="AE15" s="465"/>
      <c r="AF15" s="375"/>
      <c r="AG15" s="2374"/>
      <c r="AH15" s="377"/>
      <c r="AI15" s="377"/>
      <c r="AJ15" s="405"/>
      <c r="AK15" s="378"/>
      <c r="AL15" s="375"/>
      <c r="AM15" s="2374"/>
      <c r="AN15" s="377"/>
      <c r="AO15" s="377"/>
      <c r="AP15" s="405"/>
      <c r="AQ15" s="378"/>
      <c r="AR15" s="375"/>
      <c r="AS15" s="466"/>
      <c r="AT15" s="1374"/>
      <c r="AU15" s="1374"/>
      <c r="AV15" s="1374"/>
      <c r="AW15" s="378"/>
      <c r="AX15" s="375"/>
      <c r="AY15" s="1706"/>
      <c r="AZ15" s="1374"/>
      <c r="BA15" s="1374"/>
      <c r="BB15" s="1374"/>
      <c r="BC15" s="2375"/>
      <c r="BD15" s="2376"/>
      <c r="BE15" s="1706"/>
      <c r="BF15" s="1374"/>
      <c r="BG15" s="1374"/>
      <c r="BH15" s="1374"/>
      <c r="BI15" s="378"/>
      <c r="BJ15" s="375"/>
      <c r="BK15" s="1706"/>
      <c r="BL15" s="1374"/>
      <c r="BM15" s="1374"/>
      <c r="BN15" s="1374"/>
      <c r="BO15" s="378"/>
      <c r="BP15" s="375"/>
      <c r="BQ15" s="381"/>
      <c r="BR15" s="375">
        <v>368.4</v>
      </c>
      <c r="BS15" s="375">
        <f t="shared" ref="BS15" si="13">BR15+BS27</f>
        <v>368.4</v>
      </c>
      <c r="BT15" s="375">
        <f t="shared" ref="BT15" si="14">BS15+BT27</f>
        <v>368.4</v>
      </c>
      <c r="BU15" s="378">
        <f t="shared" si="1"/>
        <v>368.4</v>
      </c>
      <c r="BV15" s="375"/>
      <c r="BW15" s="381">
        <f t="shared" si="2"/>
        <v>368.4</v>
      </c>
      <c r="BX15" s="375">
        <f t="shared" ref="BX15" si="15">BW15+BX27</f>
        <v>368.4</v>
      </c>
      <c r="BY15" s="375">
        <f t="shared" ref="BY15" si="16">BX15+BY27</f>
        <v>368.4</v>
      </c>
      <c r="BZ15" s="375">
        <f t="shared" ref="BZ15" si="17">BY15+BZ27</f>
        <v>368.4</v>
      </c>
      <c r="CA15" s="378">
        <f t="shared" si="4"/>
        <v>368.4</v>
      </c>
      <c r="CB15" s="375"/>
      <c r="CC15" s="381">
        <f t="shared" si="5"/>
        <v>368.4</v>
      </c>
      <c r="CD15" s="375">
        <f t="shared" ref="CD15" si="18">CC15+CD27</f>
        <v>368.4</v>
      </c>
      <c r="CE15" s="375">
        <f t="shared" ref="CE15" si="19">CD15+CE27</f>
        <v>368.4</v>
      </c>
      <c r="CF15" s="375">
        <f t="shared" ref="CF15" si="20">CE15+CF27</f>
        <v>368.4</v>
      </c>
      <c r="CG15" s="378">
        <f t="shared" si="7"/>
        <v>368.4</v>
      </c>
      <c r="CH15" s="375"/>
      <c r="CI15" s="381">
        <f t="shared" si="8"/>
        <v>368.4</v>
      </c>
      <c r="CJ15" s="375">
        <f t="shared" ref="CJ15" si="21">CI15+CJ27</f>
        <v>368.4</v>
      </c>
      <c r="CK15" s="375">
        <f t="shared" ref="CK15" si="22">CJ15+CK27</f>
        <v>368.4</v>
      </c>
      <c r="CL15" s="375">
        <f t="shared" ref="CL15" si="23">CK15+CL27</f>
        <v>368.4</v>
      </c>
      <c r="CM15" s="378">
        <f t="shared" si="10"/>
        <v>368.4</v>
      </c>
    </row>
    <row r="16" spans="1:91" ht="12.75" customHeight="1" collapsed="1">
      <c r="A16" s="387" t="s">
        <v>253</v>
      </c>
      <c r="B16" s="388"/>
      <c r="C16" s="388"/>
      <c r="D16" s="389"/>
      <c r="E16" s="389"/>
      <c r="F16" s="389"/>
      <c r="G16" s="437"/>
      <c r="H16" s="380"/>
      <c r="I16" s="380"/>
      <c r="J16" s="380"/>
      <c r="K16" s="380"/>
      <c r="L16" s="380"/>
      <c r="M16" s="437"/>
      <c r="N16" s="380"/>
      <c r="O16" s="437"/>
      <c r="P16" s="437"/>
      <c r="Q16" s="437"/>
      <c r="R16" s="437"/>
      <c r="S16" s="437"/>
      <c r="T16" s="380"/>
      <c r="U16" s="437"/>
      <c r="V16" s="437"/>
      <c r="W16" s="437"/>
      <c r="X16" s="437"/>
      <c r="Y16" s="437"/>
      <c r="Z16" s="380"/>
      <c r="AA16" s="437"/>
      <c r="AB16" s="437"/>
      <c r="AC16" s="437"/>
      <c r="AD16" s="445"/>
      <c r="AE16" s="459">
        <f>SUM(AE10:AE14)</f>
        <v>944.90800000000002</v>
      </c>
      <c r="AF16" s="389"/>
      <c r="AG16" s="390">
        <f>SUM(AG10:AG14)</f>
        <v>933.971</v>
      </c>
      <c r="AH16" s="391">
        <f>SUM(AH10:AH14)</f>
        <v>911.04300000000001</v>
      </c>
      <c r="AI16" s="391">
        <f>SUM(AI10:AI14)</f>
        <v>932.32999999999993</v>
      </c>
      <c r="AJ16" s="391">
        <f>SUM(AJ10:AJ14)</f>
        <v>940.596</v>
      </c>
      <c r="AK16" s="392">
        <f>SUM(AK10:AK14)</f>
        <v>940.596</v>
      </c>
      <c r="AL16" s="389"/>
      <c r="AM16" s="393">
        <f>SUM(AM10:AM14)</f>
        <v>1026.646</v>
      </c>
      <c r="AN16" s="391">
        <f>SUM(AN10:AN14)</f>
        <v>1004.073</v>
      </c>
      <c r="AO16" s="391">
        <f>SUM(AO10:AO14)</f>
        <v>935.91399999999999</v>
      </c>
      <c r="AP16" s="391">
        <f>SUM(AP10:AP14)</f>
        <v>934.72800000000007</v>
      </c>
      <c r="AQ16" s="392">
        <f>SUM(AQ10:AQ14)</f>
        <v>934.72800000000007</v>
      </c>
      <c r="AR16" s="389"/>
      <c r="AS16" s="393">
        <f>SUM(AS10:AS14)</f>
        <v>929.52300000000002</v>
      </c>
      <c r="AT16" s="391">
        <f>SUM(AT10:AT14)</f>
        <v>895.33299999999997</v>
      </c>
      <c r="AU16" s="391">
        <f>SUM(AU10:AU14)</f>
        <v>859.73500000000001</v>
      </c>
      <c r="AV16" s="1599">
        <f>SUM(AV10:AV14)</f>
        <v>1052.9670000000001</v>
      </c>
      <c r="AW16" s="1600">
        <f>SUM(AW10:AW14)</f>
        <v>1052.9670000000001</v>
      </c>
      <c r="AX16" s="389"/>
      <c r="AY16" s="393">
        <f>SUM(AY10:AY14)</f>
        <v>1015.749</v>
      </c>
      <c r="AZ16" s="391">
        <f>SUM(AZ10:AZ14)</f>
        <v>988.42599999999993</v>
      </c>
      <c r="BA16" s="391">
        <f>SUM(BA10:BA14)</f>
        <v>1028.376</v>
      </c>
      <c r="BB16" s="391">
        <f>SUM(BB10:BB14)</f>
        <v>1012.885</v>
      </c>
      <c r="BC16" s="392">
        <f>SUM(BC10:BC14)</f>
        <v>1012.885</v>
      </c>
      <c r="BD16" s="389"/>
      <c r="BE16" s="393">
        <f>SUM(BE10:BE14)</f>
        <v>1120.9649999999999</v>
      </c>
      <c r="BF16" s="391">
        <f>SUM(BF10:BF14)</f>
        <v>1058.0809999999999</v>
      </c>
      <c r="BG16" s="391">
        <f>SUM(BG10:BG14)</f>
        <v>1133.0850000000003</v>
      </c>
      <c r="BH16" s="391">
        <f>SUM(BH10:BH14)</f>
        <v>1046.4260000000002</v>
      </c>
      <c r="BI16" s="392">
        <f>SUM(BI10:BI14)</f>
        <v>1046.4260000000002</v>
      </c>
      <c r="BJ16" s="389"/>
      <c r="BK16" s="393">
        <f>SUM(BK10:BK14)</f>
        <v>1054.864</v>
      </c>
      <c r="BL16" s="391">
        <f>SUM(BL10:BL14)</f>
        <v>1091.6199999999999</v>
      </c>
      <c r="BM16" s="391">
        <f>SUM(BM10:BM14)</f>
        <v>1110.5629999999999</v>
      </c>
      <c r="BN16" s="391">
        <f>SUM(BN10:BN14)</f>
        <v>2006.1089999999999</v>
      </c>
      <c r="BO16" s="392">
        <f>SUM(BO10:BO14)</f>
        <v>2006.1089999999999</v>
      </c>
      <c r="BP16" s="389"/>
      <c r="BQ16" s="393">
        <f>SUM(BQ10:BQ15)</f>
        <v>1931.1089999999999</v>
      </c>
      <c r="BR16" s="391">
        <f t="shared" ref="BR16:BU16" si="24">SUM(BR10:BR15)</f>
        <v>2049.509</v>
      </c>
      <c r="BS16" s="391">
        <f t="shared" si="24"/>
        <v>1999.509</v>
      </c>
      <c r="BT16" s="391">
        <f t="shared" si="24"/>
        <v>1849.509</v>
      </c>
      <c r="BU16" s="392">
        <f t="shared" si="24"/>
        <v>1849.509</v>
      </c>
      <c r="BV16" s="389"/>
      <c r="BW16" s="393">
        <f>SUM(BW10:BW15)</f>
        <v>1749.509</v>
      </c>
      <c r="BX16" s="391">
        <f t="shared" ref="BX16" si="25">SUM(BX10:BX15)</f>
        <v>1649.509</v>
      </c>
      <c r="BY16" s="391">
        <f t="shared" ref="BY16" si="26">SUM(BY10:BY15)</f>
        <v>1549.509</v>
      </c>
      <c r="BZ16" s="391">
        <f t="shared" ref="BZ16" si="27">SUM(BZ10:BZ15)</f>
        <v>1549.509</v>
      </c>
      <c r="CA16" s="392">
        <f t="shared" ref="CA16" si="28">SUM(CA10:CA15)</f>
        <v>1549.509</v>
      </c>
      <c r="CB16" s="389"/>
      <c r="CC16" s="393">
        <f>SUM(CC10:CC15)</f>
        <v>1549.509</v>
      </c>
      <c r="CD16" s="391">
        <f t="shared" ref="CD16" si="29">SUM(CD10:CD15)</f>
        <v>1549.509</v>
      </c>
      <c r="CE16" s="391">
        <f t="shared" ref="CE16" si="30">SUM(CE10:CE15)</f>
        <v>1549.509</v>
      </c>
      <c r="CF16" s="391">
        <f t="shared" ref="CF16" si="31">SUM(CF10:CF15)</f>
        <v>1449.509</v>
      </c>
      <c r="CG16" s="392">
        <f t="shared" ref="CG16" si="32">SUM(CG10:CG15)</f>
        <v>1449.509</v>
      </c>
      <c r="CH16" s="389"/>
      <c r="CI16" s="393">
        <f>SUM(CI10:CI15)</f>
        <v>1349.509</v>
      </c>
      <c r="CJ16" s="391">
        <f t="shared" ref="CJ16" si="33">SUM(CJ10:CJ15)</f>
        <v>1249.509</v>
      </c>
      <c r="CK16" s="391">
        <f t="shared" ref="CK16" si="34">SUM(CK10:CK15)</f>
        <v>1149.509</v>
      </c>
      <c r="CL16" s="391">
        <f t="shared" ref="CL16" si="35">SUM(CL10:CL15)</f>
        <v>987.70900000000006</v>
      </c>
      <c r="CM16" s="392">
        <f t="shared" ref="CM16" si="36">SUM(CM10:CM15)</f>
        <v>987.70900000000006</v>
      </c>
    </row>
    <row r="17" spans="1:91" ht="12.75" customHeight="1">
      <c r="A17" s="394" t="s">
        <v>152</v>
      </c>
      <c r="B17" s="394"/>
      <c r="C17" s="394"/>
      <c r="D17" s="375"/>
      <c r="E17" s="375"/>
      <c r="F17" s="375"/>
      <c r="G17" s="377"/>
      <c r="H17" s="380"/>
      <c r="I17" s="380"/>
      <c r="J17" s="380"/>
      <c r="K17" s="380"/>
      <c r="L17" s="380"/>
      <c r="M17" s="377"/>
      <c r="N17" s="380"/>
      <c r="O17" s="377"/>
      <c r="P17" s="377"/>
      <c r="Q17" s="377"/>
      <c r="R17" s="377"/>
      <c r="S17" s="380"/>
      <c r="T17" s="380"/>
      <c r="U17" s="377"/>
      <c r="V17" s="377"/>
      <c r="W17" s="377"/>
      <c r="X17" s="377"/>
      <c r="Y17" s="380"/>
      <c r="Z17" s="380"/>
      <c r="AA17" s="377"/>
      <c r="AB17" s="377"/>
      <c r="AC17" s="377"/>
      <c r="AD17" s="443"/>
      <c r="AE17" s="458">
        <v>0</v>
      </c>
      <c r="AF17" s="375"/>
      <c r="AG17" s="395">
        <v>0</v>
      </c>
      <c r="AH17" s="377">
        <v>0</v>
      </c>
      <c r="AI17" s="377">
        <v>1.47</v>
      </c>
      <c r="AJ17" s="377">
        <v>1.772</v>
      </c>
      <c r="AK17" s="378">
        <f>AJ17</f>
        <v>1.772</v>
      </c>
      <c r="AL17" s="375"/>
      <c r="AM17" s="395">
        <v>7.3010000000000002</v>
      </c>
      <c r="AN17" s="377">
        <v>2.2149999999999999</v>
      </c>
      <c r="AO17" s="377">
        <v>2.6219999999999999</v>
      </c>
      <c r="AP17" s="377">
        <v>2.6240000000000001</v>
      </c>
      <c r="AQ17" s="378">
        <f>AP17</f>
        <v>2.6240000000000001</v>
      </c>
      <c r="AR17" s="375"/>
      <c r="AS17" s="395">
        <v>2.6259999999999999</v>
      </c>
      <c r="AT17" s="377">
        <v>1.0509999999999999</v>
      </c>
      <c r="AU17" s="377">
        <v>1.157</v>
      </c>
      <c r="AV17" s="621">
        <v>1.075</v>
      </c>
      <c r="AW17" s="378">
        <f>AV17</f>
        <v>1.075</v>
      </c>
      <c r="AX17" s="375"/>
      <c r="AY17" s="1689">
        <v>1.083</v>
      </c>
      <c r="AZ17" s="377">
        <v>1.974</v>
      </c>
      <c r="BA17" s="377">
        <v>1.107</v>
      </c>
      <c r="BB17" s="621">
        <v>1.123</v>
      </c>
      <c r="BC17" s="378">
        <f>BB17</f>
        <v>1.123</v>
      </c>
      <c r="BD17" s="375"/>
      <c r="BE17" s="1689">
        <v>1.135</v>
      </c>
      <c r="BF17" s="377">
        <v>1.107</v>
      </c>
      <c r="BG17" s="377">
        <v>1.1599999999999999</v>
      </c>
      <c r="BH17" s="621">
        <v>1.1719999999999999</v>
      </c>
      <c r="BI17" s="378">
        <f>BH17</f>
        <v>1.1719999999999999</v>
      </c>
      <c r="BJ17" s="375"/>
      <c r="BK17" s="1689">
        <v>2.1869999999999998</v>
      </c>
      <c r="BL17" s="377">
        <v>2.2250000000000001</v>
      </c>
      <c r="BM17" s="377">
        <v>0</v>
      </c>
      <c r="BN17" s="621">
        <f>217.306</f>
        <v>217.30600000000001</v>
      </c>
      <c r="BO17" s="378">
        <f>BN17</f>
        <v>217.30600000000001</v>
      </c>
      <c r="BP17" s="375"/>
      <c r="BQ17" s="381">
        <f>BO17</f>
        <v>217.30600000000001</v>
      </c>
      <c r="BR17" s="380">
        <f>BQ17</f>
        <v>217.30600000000001</v>
      </c>
      <c r="BS17" s="380">
        <f>BR17</f>
        <v>217.30600000000001</v>
      </c>
      <c r="BT17" s="380">
        <f>BS17</f>
        <v>217.30600000000001</v>
      </c>
      <c r="BU17" s="378">
        <f>BT17</f>
        <v>217.30600000000001</v>
      </c>
      <c r="BV17" s="375"/>
      <c r="BW17" s="381">
        <f>BU17</f>
        <v>217.30600000000001</v>
      </c>
      <c r="BX17" s="380">
        <f>BW17</f>
        <v>217.30600000000001</v>
      </c>
      <c r="BY17" s="380">
        <f>BX17</f>
        <v>217.30600000000001</v>
      </c>
      <c r="BZ17" s="380">
        <f>BY17</f>
        <v>217.30600000000001</v>
      </c>
      <c r="CA17" s="378">
        <f>BZ17</f>
        <v>217.30600000000001</v>
      </c>
      <c r="CB17" s="375"/>
      <c r="CC17" s="381">
        <f>CA17</f>
        <v>217.30600000000001</v>
      </c>
      <c r="CD17" s="380">
        <f>CC17</f>
        <v>217.30600000000001</v>
      </c>
      <c r="CE17" s="380">
        <f>CD17</f>
        <v>217.30600000000001</v>
      </c>
      <c r="CF17" s="380">
        <f>CE17</f>
        <v>217.30600000000001</v>
      </c>
      <c r="CG17" s="378">
        <f>CF17</f>
        <v>217.30600000000001</v>
      </c>
      <c r="CH17" s="375"/>
      <c r="CI17" s="381">
        <f>CG17</f>
        <v>217.30600000000001</v>
      </c>
      <c r="CJ17" s="380">
        <f>CI17</f>
        <v>217.30600000000001</v>
      </c>
      <c r="CK17" s="380">
        <f>CJ17</f>
        <v>217.30600000000001</v>
      </c>
      <c r="CL17" s="380">
        <f>CK17</f>
        <v>217.30600000000001</v>
      </c>
      <c r="CM17" s="378">
        <f>CL17</f>
        <v>217.30600000000001</v>
      </c>
    </row>
    <row r="18" spans="1:91" ht="12.75" customHeight="1">
      <c r="A18" s="396" t="s">
        <v>153</v>
      </c>
      <c r="B18" s="397"/>
      <c r="C18" s="397"/>
      <c r="D18" s="389"/>
      <c r="E18" s="389"/>
      <c r="F18" s="389"/>
      <c r="G18" s="437"/>
      <c r="H18" s="380"/>
      <c r="I18" s="380"/>
      <c r="J18" s="380"/>
      <c r="K18" s="380"/>
      <c r="L18" s="380"/>
      <c r="M18" s="437"/>
      <c r="N18" s="380"/>
      <c r="O18" s="437"/>
      <c r="P18" s="437"/>
      <c r="Q18" s="437"/>
      <c r="R18" s="437"/>
      <c r="S18" s="437"/>
      <c r="T18" s="380"/>
      <c r="U18" s="437"/>
      <c r="V18" s="437"/>
      <c r="W18" s="437"/>
      <c r="X18" s="437"/>
      <c r="Y18" s="437"/>
      <c r="Z18" s="380"/>
      <c r="AA18" s="437"/>
      <c r="AB18" s="437"/>
      <c r="AC18" s="437"/>
      <c r="AD18" s="445"/>
      <c r="AE18" s="459">
        <f>AE16-AE17</f>
        <v>944.90800000000002</v>
      </c>
      <c r="AF18" s="389"/>
      <c r="AG18" s="390">
        <f>AG16-AG17</f>
        <v>933.971</v>
      </c>
      <c r="AH18" s="391">
        <f>AH16-AH17</f>
        <v>911.04300000000001</v>
      </c>
      <c r="AI18" s="391">
        <f>AI16-AI17</f>
        <v>930.8599999999999</v>
      </c>
      <c r="AJ18" s="391">
        <f>AJ16-AJ17</f>
        <v>938.82399999999996</v>
      </c>
      <c r="AK18" s="392">
        <f>AK16-AK17</f>
        <v>938.82399999999996</v>
      </c>
      <c r="AL18" s="389"/>
      <c r="AM18" s="393">
        <f>AM16-AM17</f>
        <v>1019.3449999999999</v>
      </c>
      <c r="AN18" s="391">
        <f>AN16-AN17</f>
        <v>1001.8579999999999</v>
      </c>
      <c r="AO18" s="391">
        <f>AO16-AO17</f>
        <v>933.29200000000003</v>
      </c>
      <c r="AP18" s="391">
        <f>AP16-AP17</f>
        <v>932.10400000000004</v>
      </c>
      <c r="AQ18" s="392">
        <f>AQ16-AQ17</f>
        <v>932.10400000000004</v>
      </c>
      <c r="AR18" s="389"/>
      <c r="AS18" s="393">
        <f>AS16-AS17</f>
        <v>926.89700000000005</v>
      </c>
      <c r="AT18" s="391">
        <f>AT16-AT17</f>
        <v>894.28199999999993</v>
      </c>
      <c r="AU18" s="391">
        <f>AU16-AU17</f>
        <v>858.57799999999997</v>
      </c>
      <c r="AV18" s="1599">
        <f>AV16-AV17</f>
        <v>1051.8920000000001</v>
      </c>
      <c r="AW18" s="1600">
        <f>AW16-AW17</f>
        <v>1051.8920000000001</v>
      </c>
      <c r="AX18" s="389"/>
      <c r="AY18" s="393">
        <f>AY16-AY17</f>
        <v>1014.6660000000001</v>
      </c>
      <c r="AZ18" s="391">
        <f>AZ16-AZ17</f>
        <v>986.45199999999988</v>
      </c>
      <c r="BA18" s="391">
        <f>BA16-BA17</f>
        <v>1027.269</v>
      </c>
      <c r="BB18" s="391">
        <f>BB16-BB17</f>
        <v>1011.7619999999999</v>
      </c>
      <c r="BC18" s="392">
        <f>BC16-BC17</f>
        <v>1011.7619999999999</v>
      </c>
      <c r="BD18" s="389"/>
      <c r="BE18" s="393">
        <f>BE16-BE17</f>
        <v>1119.83</v>
      </c>
      <c r="BF18" s="391">
        <f>BF16-BF17</f>
        <v>1056.9739999999999</v>
      </c>
      <c r="BG18" s="391">
        <f>BG16-BG17</f>
        <v>1131.9250000000002</v>
      </c>
      <c r="BH18" s="391">
        <f>BH16-BH17</f>
        <v>1045.2540000000001</v>
      </c>
      <c r="BI18" s="392">
        <f>BI16-BI17</f>
        <v>1045.2540000000001</v>
      </c>
      <c r="BJ18" s="389"/>
      <c r="BK18" s="393">
        <f>BK16-BK17</f>
        <v>1052.6770000000001</v>
      </c>
      <c r="BL18" s="391">
        <f>BL16-BL17</f>
        <v>1089.395</v>
      </c>
      <c r="BM18" s="391">
        <f>BM16-BM17</f>
        <v>1110.5629999999999</v>
      </c>
      <c r="BN18" s="391">
        <f>BN16-BN17</f>
        <v>1788.8029999999999</v>
      </c>
      <c r="BO18" s="392">
        <f>BO16-BO17</f>
        <v>1788.8029999999999</v>
      </c>
      <c r="BP18" s="389"/>
      <c r="BQ18" s="393">
        <f>BQ16-BQ17</f>
        <v>1713.8029999999999</v>
      </c>
      <c r="BR18" s="391">
        <f>BR16-BR17</f>
        <v>1832.203</v>
      </c>
      <c r="BS18" s="391">
        <f>BS16-BS17</f>
        <v>1782.203</v>
      </c>
      <c r="BT18" s="391">
        <f>BT16-BT17</f>
        <v>1632.203</v>
      </c>
      <c r="BU18" s="392">
        <f>BU16-BU17</f>
        <v>1632.203</v>
      </c>
      <c r="BV18" s="389"/>
      <c r="BW18" s="393">
        <f>BW16-BW17</f>
        <v>1532.203</v>
      </c>
      <c r="BX18" s="391">
        <f>BX16-BX17</f>
        <v>1432.203</v>
      </c>
      <c r="BY18" s="391">
        <f>BY16-BY17</f>
        <v>1332.203</v>
      </c>
      <c r="BZ18" s="391">
        <f>BZ16-BZ17</f>
        <v>1332.203</v>
      </c>
      <c r="CA18" s="392">
        <f>CA16-CA17</f>
        <v>1332.203</v>
      </c>
      <c r="CB18" s="389"/>
      <c r="CC18" s="393">
        <f>CC16-CC17</f>
        <v>1332.203</v>
      </c>
      <c r="CD18" s="391">
        <f>CD16-CD17</f>
        <v>1332.203</v>
      </c>
      <c r="CE18" s="391">
        <f>CE16-CE17</f>
        <v>1332.203</v>
      </c>
      <c r="CF18" s="391">
        <f>CF16-CF17</f>
        <v>1232.203</v>
      </c>
      <c r="CG18" s="392">
        <f>CG16-CG17</f>
        <v>1232.203</v>
      </c>
      <c r="CH18" s="389"/>
      <c r="CI18" s="393">
        <f>CI16-CI17</f>
        <v>1132.203</v>
      </c>
      <c r="CJ18" s="391">
        <f>CJ16-CJ17</f>
        <v>1032.203</v>
      </c>
      <c r="CK18" s="391">
        <f>CK16-CK17</f>
        <v>932.20299999999997</v>
      </c>
      <c r="CL18" s="391">
        <f>CL16-CL17</f>
        <v>770.40300000000002</v>
      </c>
      <c r="CM18" s="392">
        <f>CM16-CM17</f>
        <v>770.40300000000002</v>
      </c>
    </row>
    <row r="19" spans="1:91" ht="12.75" hidden="1" customHeight="1" outlineLevel="1">
      <c r="A19" s="398" t="s">
        <v>154</v>
      </c>
      <c r="B19" s="399"/>
      <c r="C19" s="399"/>
      <c r="D19" s="380"/>
      <c r="E19" s="380"/>
      <c r="F19" s="380"/>
      <c r="G19" s="401"/>
      <c r="H19" s="380"/>
      <c r="I19" s="380"/>
      <c r="J19" s="380"/>
      <c r="K19" s="380"/>
      <c r="L19" s="380"/>
      <c r="M19" s="401"/>
      <c r="N19" s="380"/>
      <c r="O19" s="401"/>
      <c r="P19" s="401"/>
      <c r="Q19" s="401"/>
      <c r="R19" s="401"/>
      <c r="S19" s="401"/>
      <c r="T19" s="380"/>
      <c r="U19" s="401"/>
      <c r="V19" s="401"/>
      <c r="W19" s="401"/>
      <c r="X19" s="401"/>
      <c r="Y19" s="401"/>
      <c r="Z19" s="380"/>
      <c r="AA19" s="401"/>
      <c r="AB19" s="401"/>
      <c r="AC19" s="401"/>
      <c r="AD19" s="446"/>
      <c r="AE19" s="460">
        <f>AE16-BS!AE24-BS!AE30</f>
        <v>0</v>
      </c>
      <c r="AF19" s="380"/>
      <c r="AG19" s="403">
        <f>AG16-BS!AG24-BS!AG30</f>
        <v>0</v>
      </c>
      <c r="AH19" s="401">
        <f>AH16-BS!AH24-BS!AH30</f>
        <v>0</v>
      </c>
      <c r="AI19" s="401">
        <f>AI16-BS!AI24-BS!AI30</f>
        <v>0</v>
      </c>
      <c r="AJ19" s="837">
        <f>AJ16-BS!AJ24-BS!AJ30</f>
        <v>0</v>
      </c>
      <c r="AK19" s="402">
        <f>AK16-BS!AK24-BS!AK30</f>
        <v>0</v>
      </c>
      <c r="AL19" s="380"/>
      <c r="AM19" s="873">
        <f>AM16-BS!AM24-BS!AM30</f>
        <v>0</v>
      </c>
      <c r="AN19" s="401">
        <f>AN16-BS!AN24-BS!AN30</f>
        <v>0</v>
      </c>
      <c r="AO19" s="1025">
        <f>AO16-BS!AO24-BS!AO30</f>
        <v>0</v>
      </c>
      <c r="AP19" s="401">
        <f>AP16-BS!AP24-BS!AP30</f>
        <v>0</v>
      </c>
      <c r="AQ19" s="402">
        <f>AQ16-BS!AQ24-BS!AQ30</f>
        <v>0</v>
      </c>
      <c r="AR19" s="380"/>
      <c r="AS19" s="873">
        <f>AS16-BS!AS24-BS!AS30</f>
        <v>0</v>
      </c>
      <c r="AT19" s="1373">
        <f>AT16-BS!AT24-BS!AT30</f>
        <v>0</v>
      </c>
      <c r="AU19" s="1025">
        <f>AU16-BS!AU24-BS!AU30</f>
        <v>0</v>
      </c>
      <c r="AV19" s="401">
        <f>AV16-BS!AV24-BS!AV30</f>
        <v>0</v>
      </c>
      <c r="AW19" s="402">
        <f>AW16-BS!AW24-BS!AW30</f>
        <v>0</v>
      </c>
      <c r="AX19" s="380"/>
      <c r="AY19" s="400">
        <f>AY16-BS!AY24-BS!AY30</f>
        <v>0</v>
      </c>
      <c r="AZ19" s="1373">
        <f>AZ16-BS!AZ24-BS!AZ30</f>
        <v>0</v>
      </c>
      <c r="BA19" s="1373">
        <f>BA16-BS!BA24-BS!BA30</f>
        <v>0</v>
      </c>
      <c r="BB19" s="1373">
        <f>BB16-BS!BB24-BS!BB30</f>
        <v>0</v>
      </c>
      <c r="BC19" s="402">
        <f>BC16-BS!BC24-BS!BC30</f>
        <v>0</v>
      </c>
      <c r="BD19" s="380"/>
      <c r="BE19" s="1746">
        <f>BE16-BS!BE24-BS!BE30</f>
        <v>0</v>
      </c>
      <c r="BF19" s="1373">
        <f>BF16-BS!BF24-BS!BF30</f>
        <v>0</v>
      </c>
      <c r="BG19" s="1025">
        <f>BG16-BS!BG24-BS!BG30</f>
        <v>0</v>
      </c>
      <c r="BH19" s="1373">
        <f>BH16-BS!BH24-BS!BH30</f>
        <v>0</v>
      </c>
      <c r="BI19" s="402">
        <f>BI16-BS!BI24-BS!BI30</f>
        <v>0</v>
      </c>
      <c r="BJ19" s="380"/>
      <c r="BK19" s="1746">
        <f>BK16-BS!BK24-BS!BK30</f>
        <v>0</v>
      </c>
      <c r="BL19" s="1373">
        <f>BL16-BS!BL24-BS!BL30</f>
        <v>0</v>
      </c>
      <c r="BM19" s="1373">
        <f>BM16-BS!BM24-BS!BM30</f>
        <v>0</v>
      </c>
      <c r="BN19" s="1373">
        <f>BN16-BS!BN24-BS!BN30</f>
        <v>0</v>
      </c>
      <c r="BO19" s="402">
        <f>BO16-BS!BO24-BS!BO30</f>
        <v>0</v>
      </c>
      <c r="BP19" s="380"/>
      <c r="BQ19" s="400">
        <f>BQ16-BS!BQ24-BS!BQ30</f>
        <v>0</v>
      </c>
      <c r="BR19" s="401">
        <f>BR16-BS!BR24-BS!BR30</f>
        <v>0</v>
      </c>
      <c r="BS19" s="401">
        <f>BS16-BS!BS24-BS!BS30</f>
        <v>0</v>
      </c>
      <c r="BT19" s="401">
        <f>BT16-BS!BT24-BS!BT30</f>
        <v>0</v>
      </c>
      <c r="BU19" s="402">
        <f>BU16-BS!BU24-BS!BU30</f>
        <v>0</v>
      </c>
      <c r="BV19" s="380"/>
      <c r="BW19" s="400">
        <f>BW16-BS!BW24-BS!BW30</f>
        <v>0</v>
      </c>
      <c r="BX19" s="401">
        <f>BX16-BS!BX24-BS!BX30</f>
        <v>0</v>
      </c>
      <c r="BY19" s="401">
        <f>BY16-BS!BY24-BS!BY30</f>
        <v>0</v>
      </c>
      <c r="BZ19" s="401">
        <f>BZ16-BS!BZ24-BS!BZ30</f>
        <v>0</v>
      </c>
      <c r="CA19" s="402">
        <f>CA16-BS!CA24-BS!CA30</f>
        <v>0</v>
      </c>
      <c r="CB19" s="380"/>
      <c r="CC19" s="400">
        <f>CC16-BS!CC24-BS!CC30</f>
        <v>0</v>
      </c>
      <c r="CD19" s="401">
        <f>CD16-BS!CD24-BS!CD30</f>
        <v>0</v>
      </c>
      <c r="CE19" s="401">
        <f>CE16-BS!CE24-BS!CE30</f>
        <v>0</v>
      </c>
      <c r="CF19" s="401">
        <f>CF16-BS!CF24-BS!CF30</f>
        <v>0</v>
      </c>
      <c r="CG19" s="402">
        <f>CG16-BS!CG24-BS!CG30</f>
        <v>0</v>
      </c>
      <c r="CH19" s="380"/>
      <c r="CI19" s="400">
        <f>CI16-BS!CI24-BS!CI30</f>
        <v>0</v>
      </c>
      <c r="CJ19" s="401">
        <f>CJ16-BS!CJ24-BS!CJ30</f>
        <v>0</v>
      </c>
      <c r="CK19" s="401">
        <f>CK16-BS!CK24-BS!CK30</f>
        <v>0</v>
      </c>
      <c r="CL19" s="401">
        <f>CL16-BS!CL24-BS!CL30</f>
        <v>0</v>
      </c>
      <c r="CM19" s="402">
        <f>CM16-BS!CM24-BS!CM30</f>
        <v>0</v>
      </c>
    </row>
    <row r="20" spans="1:91" ht="12.75" customHeight="1" collapsed="1">
      <c r="A20" s="394"/>
      <c r="B20" s="394"/>
      <c r="C20" s="394"/>
      <c r="D20" s="375"/>
      <c r="E20" s="375"/>
      <c r="F20" s="375"/>
      <c r="G20" s="377"/>
      <c r="H20" s="380"/>
      <c r="I20" s="380"/>
      <c r="J20" s="380"/>
      <c r="K20" s="380"/>
      <c r="L20" s="380"/>
      <c r="M20" s="377"/>
      <c r="N20" s="380"/>
      <c r="O20" s="377"/>
      <c r="P20" s="377"/>
      <c r="Q20" s="377"/>
      <c r="R20" s="377"/>
      <c r="S20" s="380"/>
      <c r="T20" s="380"/>
      <c r="U20" s="377"/>
      <c r="V20" s="377"/>
      <c r="W20" s="377"/>
      <c r="X20" s="377"/>
      <c r="Y20" s="380"/>
      <c r="Z20" s="380"/>
      <c r="AA20" s="377"/>
      <c r="AB20" s="377"/>
      <c r="AC20" s="377"/>
      <c r="AD20" s="443"/>
      <c r="AE20" s="458"/>
      <c r="AF20" s="375"/>
      <c r="AG20" s="376"/>
      <c r="AH20" s="377"/>
      <c r="AI20" s="375"/>
      <c r="AJ20" s="375"/>
      <c r="AK20" s="378"/>
      <c r="AL20" s="375"/>
      <c r="AM20" s="381"/>
      <c r="AN20" s="375"/>
      <c r="AO20" s="375"/>
      <c r="AP20" s="375"/>
      <c r="AQ20" s="378"/>
      <c r="AR20" s="375"/>
      <c r="AS20" s="381"/>
      <c r="AT20" s="375"/>
      <c r="AU20" s="375"/>
      <c r="AV20" s="375"/>
      <c r="AW20" s="378"/>
      <c r="AX20" s="375"/>
      <c r="AY20" s="381"/>
      <c r="AZ20" s="375"/>
      <c r="BA20" s="375"/>
      <c r="BB20" s="375"/>
      <c r="BC20" s="378"/>
      <c r="BD20" s="375"/>
      <c r="BE20" s="381"/>
      <c r="BF20" s="375"/>
      <c r="BG20" s="375"/>
      <c r="BH20" s="375"/>
      <c r="BI20" s="378"/>
      <c r="BJ20" s="375"/>
      <c r="BK20" s="381"/>
      <c r="BL20" s="375"/>
      <c r="BM20" s="375"/>
      <c r="BN20" s="375"/>
      <c r="BO20" s="378"/>
      <c r="BP20" s="375"/>
      <c r="BQ20" s="381"/>
      <c r="BR20" s="375"/>
      <c r="BS20" s="375"/>
      <c r="BT20" s="375"/>
      <c r="BU20" s="378"/>
      <c r="BV20" s="375"/>
      <c r="BW20" s="381"/>
      <c r="BX20" s="375"/>
      <c r="BY20" s="375"/>
      <c r="BZ20" s="375"/>
      <c r="CA20" s="378"/>
      <c r="CB20" s="375"/>
      <c r="CC20" s="381"/>
      <c r="CD20" s="375"/>
      <c r="CE20" s="375"/>
      <c r="CF20" s="375"/>
      <c r="CG20" s="378"/>
      <c r="CH20" s="375"/>
      <c r="CI20" s="381"/>
      <c r="CJ20" s="375"/>
      <c r="CK20" s="375"/>
      <c r="CL20" s="375"/>
      <c r="CM20" s="378"/>
    </row>
    <row r="21" spans="1:91" ht="12.75" customHeight="1">
      <c r="A21" s="404" t="s">
        <v>155</v>
      </c>
      <c r="B21" s="404"/>
      <c r="C21" s="404"/>
      <c r="D21" s="375"/>
      <c r="E21" s="375"/>
      <c r="F21" s="375"/>
      <c r="G21" s="380"/>
      <c r="H21" s="380"/>
      <c r="I21" s="380"/>
      <c r="J21" s="380"/>
      <c r="K21" s="380"/>
      <c r="L21" s="380"/>
      <c r="M21" s="380"/>
      <c r="N21" s="380"/>
      <c r="O21" s="380"/>
      <c r="P21" s="380"/>
      <c r="Q21" s="380"/>
      <c r="R21" s="380"/>
      <c r="S21" s="380"/>
      <c r="T21" s="380"/>
      <c r="U21" s="380"/>
      <c r="V21" s="380"/>
      <c r="W21" s="380"/>
      <c r="X21" s="380"/>
      <c r="Y21" s="380"/>
      <c r="Z21" s="380"/>
      <c r="AA21" s="380"/>
      <c r="AB21" s="380"/>
      <c r="AC21" s="380"/>
      <c r="AD21" s="447"/>
      <c r="AE21" s="458"/>
      <c r="AF21" s="375"/>
      <c r="AG21" s="379"/>
      <c r="AH21" s="375"/>
      <c r="AI21" s="375"/>
      <c r="AJ21" s="375"/>
      <c r="AK21" s="378"/>
      <c r="AL21" s="375"/>
      <c r="AM21" s="381"/>
      <c r="AN21" s="375"/>
      <c r="AO21" s="375"/>
      <c r="AP21" s="375"/>
      <c r="AQ21" s="378"/>
      <c r="AR21" s="375"/>
      <c r="AS21" s="381"/>
      <c r="AT21" s="375"/>
      <c r="AU21" s="375"/>
      <c r="AV21" s="375"/>
      <c r="AW21" s="378"/>
      <c r="AX21" s="375"/>
      <c r="AY21" s="381"/>
      <c r="AZ21" s="375"/>
      <c r="BA21" s="375"/>
      <c r="BB21" s="375"/>
      <c r="BC21" s="378"/>
      <c r="BD21" s="375"/>
      <c r="BE21" s="381"/>
      <c r="BF21" s="375"/>
      <c r="BG21" s="375"/>
      <c r="BH21" s="375"/>
      <c r="BI21" s="378"/>
      <c r="BJ21" s="375"/>
      <c r="BK21" s="381"/>
      <c r="BL21" s="375"/>
      <c r="BM21" s="375"/>
      <c r="BN21" s="375"/>
      <c r="BO21" s="378"/>
      <c r="BP21" s="375"/>
      <c r="BQ21" s="381"/>
      <c r="BR21" s="375"/>
      <c r="BS21" s="375"/>
      <c r="BT21" s="375"/>
      <c r="BU21" s="378"/>
      <c r="BV21" s="375"/>
      <c r="BW21" s="381"/>
      <c r="BX21" s="375"/>
      <c r="BY21" s="375"/>
      <c r="BZ21" s="375"/>
      <c r="CA21" s="378"/>
      <c r="CB21" s="375"/>
      <c r="CC21" s="381"/>
      <c r="CD21" s="375"/>
      <c r="CE21" s="375"/>
      <c r="CF21" s="375"/>
      <c r="CG21" s="378"/>
      <c r="CH21" s="375"/>
      <c r="CI21" s="381"/>
      <c r="CJ21" s="375"/>
      <c r="CK21" s="375"/>
      <c r="CL21" s="375"/>
      <c r="CM21" s="378"/>
    </row>
    <row r="22" spans="1:91" ht="12.75" customHeight="1">
      <c r="A22" s="373" t="s">
        <v>166</v>
      </c>
      <c r="B22" s="373"/>
      <c r="C22" s="373"/>
      <c r="D22" s="375"/>
      <c r="E22" s="375"/>
      <c r="F22" s="375"/>
      <c r="G22" s="380"/>
      <c r="H22" s="380"/>
      <c r="I22" s="380"/>
      <c r="J22" s="380"/>
      <c r="K22" s="380"/>
      <c r="L22" s="380"/>
      <c r="M22" s="380"/>
      <c r="N22" s="380"/>
      <c r="O22" s="380"/>
      <c r="P22" s="380"/>
      <c r="Q22" s="380"/>
      <c r="R22" s="380"/>
      <c r="S22" s="380"/>
      <c r="T22" s="380"/>
      <c r="U22" s="380"/>
      <c r="V22" s="380"/>
      <c r="W22" s="380"/>
      <c r="X22" s="380"/>
      <c r="Y22" s="380"/>
      <c r="Z22" s="380"/>
      <c r="AA22" s="380"/>
      <c r="AB22" s="380"/>
      <c r="AC22" s="380"/>
      <c r="AD22" s="447"/>
      <c r="AE22" s="458">
        <f>AE10-274</f>
        <v>24</v>
      </c>
      <c r="AF22" s="375"/>
      <c r="AG22" s="379">
        <f>AG10-AE10</f>
        <v>-11</v>
      </c>
      <c r="AH22" s="375">
        <f t="shared" ref="AH22:AJ26" si="37">AH10-AG10</f>
        <v>-23</v>
      </c>
      <c r="AI22" s="375">
        <f t="shared" si="37"/>
        <v>-8</v>
      </c>
      <c r="AJ22" s="375">
        <f t="shared" si="37"/>
        <v>2</v>
      </c>
      <c r="AK22" s="378">
        <f>AK10-AE10</f>
        <v>-40</v>
      </c>
      <c r="AL22" s="375"/>
      <c r="AM22" s="379">
        <f>AM10-AK10</f>
        <v>78</v>
      </c>
      <c r="AN22" s="375">
        <f t="shared" ref="AN22:AP25" si="38">AN10-AM10</f>
        <v>-20</v>
      </c>
      <c r="AO22" s="375">
        <f t="shared" si="38"/>
        <v>-68</v>
      </c>
      <c r="AP22" s="375">
        <f t="shared" si="38"/>
        <v>149</v>
      </c>
      <c r="AQ22" s="378">
        <f>AQ10-AK10</f>
        <v>139</v>
      </c>
      <c r="AR22" s="375"/>
      <c r="AS22" s="379">
        <f>AS10-AQ10</f>
        <v>-5</v>
      </c>
      <c r="AT22" s="375">
        <f t="shared" ref="AT22:AV25" si="39">AT10-AS10</f>
        <v>-34</v>
      </c>
      <c r="AU22" s="375">
        <f t="shared" si="39"/>
        <v>-39</v>
      </c>
      <c r="AV22" s="375">
        <f t="shared" si="39"/>
        <v>197</v>
      </c>
      <c r="AW22" s="378">
        <f>AW10-AQ10</f>
        <v>119</v>
      </c>
      <c r="AX22" s="375"/>
      <c r="AY22" s="379">
        <f>AY10-AW10</f>
        <v>-37</v>
      </c>
      <c r="AZ22" s="375">
        <f t="shared" ref="AZ22:BB25" si="40">AZ10-AY10</f>
        <v>-28</v>
      </c>
      <c r="BA22" s="375">
        <f t="shared" si="40"/>
        <v>41</v>
      </c>
      <c r="BB22" s="375">
        <f t="shared" si="40"/>
        <v>-12.384000000000015</v>
      </c>
      <c r="BC22" s="378">
        <f>BC10-AW10</f>
        <v>-36.384000000000015</v>
      </c>
      <c r="BD22" s="375"/>
      <c r="BE22" s="379">
        <f>BE10-BC10</f>
        <v>108.18399999999997</v>
      </c>
      <c r="BF22" s="375">
        <f t="shared" ref="BF22:BH26" si="41">BF10-BE10</f>
        <v>-62.799999999999955</v>
      </c>
      <c r="BG22" s="375">
        <f t="shared" si="41"/>
        <v>-476.5</v>
      </c>
      <c r="BH22" s="375">
        <f t="shared" si="41"/>
        <v>-48.5</v>
      </c>
      <c r="BI22" s="378">
        <f>BI10-BC10</f>
        <v>-479.61599999999999</v>
      </c>
      <c r="BJ22" s="375"/>
      <c r="BK22" s="379">
        <f>BK10-BI10</f>
        <v>0</v>
      </c>
      <c r="BL22" s="375">
        <f t="shared" ref="BL22:BN26" si="42">BL10-BK10</f>
        <v>0</v>
      </c>
      <c r="BM22" s="375">
        <f t="shared" si="42"/>
        <v>0</v>
      </c>
      <c r="BN22" s="375">
        <f t="shared" si="42"/>
        <v>825</v>
      </c>
      <c r="BO22" s="378">
        <f>BO10-BI10</f>
        <v>825</v>
      </c>
      <c r="BP22" s="375"/>
      <c r="BQ22" s="406">
        <v>-75</v>
      </c>
      <c r="BR22" s="405">
        <v>-250</v>
      </c>
      <c r="BS22" s="405">
        <v>-50</v>
      </c>
      <c r="BT22" s="405">
        <v>-150</v>
      </c>
      <c r="BU22" s="378">
        <f>BU10-BO10</f>
        <v>-525</v>
      </c>
      <c r="BV22" s="375"/>
      <c r="BW22" s="406">
        <v>-100</v>
      </c>
      <c r="BX22" s="405">
        <v>-100</v>
      </c>
      <c r="BY22" s="405">
        <v>-100</v>
      </c>
      <c r="BZ22" s="405">
        <v>0</v>
      </c>
      <c r="CA22" s="378">
        <f>CA10-BU10</f>
        <v>-300</v>
      </c>
      <c r="CB22" s="375"/>
      <c r="CC22" s="406">
        <v>0</v>
      </c>
      <c r="CD22" s="405">
        <v>0</v>
      </c>
      <c r="CE22" s="405">
        <v>0</v>
      </c>
      <c r="CF22" s="405">
        <v>0</v>
      </c>
      <c r="CG22" s="378">
        <f>CG10-CA10</f>
        <v>0</v>
      </c>
      <c r="CH22" s="375"/>
      <c r="CI22" s="406">
        <v>0</v>
      </c>
      <c r="CJ22" s="405">
        <v>0</v>
      </c>
      <c r="CK22" s="405">
        <v>0</v>
      </c>
      <c r="CL22" s="405">
        <v>0</v>
      </c>
      <c r="CM22" s="378">
        <f>CM10-CG10</f>
        <v>0</v>
      </c>
    </row>
    <row r="23" spans="1:91" ht="12.75" customHeight="1">
      <c r="A23" s="382" t="s">
        <v>167</v>
      </c>
      <c r="B23" s="382"/>
      <c r="C23" s="382"/>
      <c r="D23" s="375"/>
      <c r="E23" s="375"/>
      <c r="F23" s="375"/>
      <c r="G23" s="380"/>
      <c r="H23" s="380"/>
      <c r="I23" s="380"/>
      <c r="J23" s="380"/>
      <c r="K23" s="380"/>
      <c r="L23" s="380"/>
      <c r="M23" s="380"/>
      <c r="N23" s="380"/>
      <c r="O23" s="380"/>
      <c r="P23" s="380"/>
      <c r="Q23" s="380"/>
      <c r="R23" s="380"/>
      <c r="S23" s="380"/>
      <c r="T23" s="380"/>
      <c r="U23" s="380"/>
      <c r="V23" s="380"/>
      <c r="W23" s="380"/>
      <c r="X23" s="380"/>
      <c r="Y23" s="380"/>
      <c r="Z23" s="380"/>
      <c r="AA23" s="380"/>
      <c r="AB23" s="380"/>
      <c r="AC23" s="380"/>
      <c r="AD23" s="447"/>
      <c r="AE23" s="458">
        <f>AE11-150</f>
        <v>0</v>
      </c>
      <c r="AF23" s="375"/>
      <c r="AG23" s="379">
        <f>AG11-AE11</f>
        <v>0</v>
      </c>
      <c r="AH23" s="375">
        <f t="shared" si="37"/>
        <v>0</v>
      </c>
      <c r="AI23" s="375">
        <f t="shared" si="37"/>
        <v>0</v>
      </c>
      <c r="AJ23" s="375">
        <f t="shared" si="37"/>
        <v>0</v>
      </c>
      <c r="AK23" s="378">
        <f>AK11-AE11</f>
        <v>0</v>
      </c>
      <c r="AL23" s="375"/>
      <c r="AM23" s="379">
        <f>AM11-AK11</f>
        <v>0</v>
      </c>
      <c r="AN23" s="375">
        <f t="shared" si="38"/>
        <v>0</v>
      </c>
      <c r="AO23" s="375">
        <f t="shared" si="38"/>
        <v>0</v>
      </c>
      <c r="AP23" s="375">
        <f t="shared" si="38"/>
        <v>-150</v>
      </c>
      <c r="AQ23" s="378">
        <f>AQ11-AK11</f>
        <v>-150</v>
      </c>
      <c r="AR23" s="375"/>
      <c r="AS23" s="379">
        <f>AS11-AQ11</f>
        <v>0</v>
      </c>
      <c r="AT23" s="375">
        <f t="shared" si="39"/>
        <v>0</v>
      </c>
      <c r="AU23" s="375">
        <f t="shared" si="39"/>
        <v>0</v>
      </c>
      <c r="AV23" s="375">
        <f t="shared" si="39"/>
        <v>0</v>
      </c>
      <c r="AW23" s="378">
        <f>AW11-AQ11</f>
        <v>0</v>
      </c>
      <c r="AX23" s="375"/>
      <c r="AY23" s="379">
        <f>AY11-AW11</f>
        <v>0</v>
      </c>
      <c r="AZ23" s="375">
        <f t="shared" si="40"/>
        <v>0</v>
      </c>
      <c r="BA23" s="375">
        <f t="shared" si="40"/>
        <v>0</v>
      </c>
      <c r="BB23" s="375">
        <f t="shared" si="40"/>
        <v>0</v>
      </c>
      <c r="BC23" s="378">
        <f>BC11-AW11</f>
        <v>0</v>
      </c>
      <c r="BD23" s="375"/>
      <c r="BE23" s="379">
        <f>BE11-BC11</f>
        <v>0</v>
      </c>
      <c r="BF23" s="375">
        <f t="shared" si="41"/>
        <v>0</v>
      </c>
      <c r="BG23" s="375">
        <f t="shared" si="41"/>
        <v>0</v>
      </c>
      <c r="BH23" s="375">
        <f t="shared" si="41"/>
        <v>-4.26</v>
      </c>
      <c r="BI23" s="378">
        <f>BI11-BC11</f>
        <v>-4.26</v>
      </c>
      <c r="BJ23" s="375"/>
      <c r="BK23" s="379">
        <f>BK11-BI11</f>
        <v>0.25999999999999979</v>
      </c>
      <c r="BL23" s="375">
        <f t="shared" si="42"/>
        <v>0.20000000000000018</v>
      </c>
      <c r="BM23" s="375">
        <f t="shared" si="42"/>
        <v>0.19999999999999973</v>
      </c>
      <c r="BN23" s="375">
        <f t="shared" si="42"/>
        <v>3.6</v>
      </c>
      <c r="BO23" s="378">
        <f>BO11-BI11</f>
        <v>4.26</v>
      </c>
      <c r="BP23" s="375"/>
      <c r="BQ23" s="406">
        <v>0</v>
      </c>
      <c r="BR23" s="405">
        <v>0</v>
      </c>
      <c r="BS23" s="405">
        <v>0</v>
      </c>
      <c r="BT23" s="405">
        <v>0</v>
      </c>
      <c r="BU23" s="378">
        <f>BU11-BO11</f>
        <v>0</v>
      </c>
      <c r="BV23" s="375"/>
      <c r="BW23" s="406">
        <v>0</v>
      </c>
      <c r="BX23" s="405">
        <v>0</v>
      </c>
      <c r="BY23" s="405">
        <v>0</v>
      </c>
      <c r="BZ23" s="405">
        <v>0</v>
      </c>
      <c r="CA23" s="378">
        <f>CA11-BU11</f>
        <v>0</v>
      </c>
      <c r="CB23" s="375"/>
      <c r="CC23" s="406">
        <v>0</v>
      </c>
      <c r="CD23" s="405">
        <v>0</v>
      </c>
      <c r="CE23" s="405">
        <v>0</v>
      </c>
      <c r="CF23" s="405">
        <v>0</v>
      </c>
      <c r="CG23" s="378">
        <f>CG11-CA11</f>
        <v>0</v>
      </c>
      <c r="CH23" s="375"/>
      <c r="CI23" s="406">
        <v>0</v>
      </c>
      <c r="CJ23" s="405">
        <v>0</v>
      </c>
      <c r="CK23" s="405">
        <v>0</v>
      </c>
      <c r="CL23" s="405">
        <v>0</v>
      </c>
      <c r="CM23" s="378">
        <f>CM11-CG11</f>
        <v>0</v>
      </c>
    </row>
    <row r="24" spans="1:91" ht="12.75" customHeight="1">
      <c r="A24" s="383" t="s">
        <v>168</v>
      </c>
      <c r="B24" s="383"/>
      <c r="C24" s="383"/>
      <c r="D24" s="375"/>
      <c r="E24" s="375"/>
      <c r="F24" s="375"/>
      <c r="G24" s="380"/>
      <c r="H24" s="380"/>
      <c r="I24" s="380"/>
      <c r="J24" s="380"/>
      <c r="K24" s="380"/>
      <c r="L24" s="380"/>
      <c r="M24" s="380"/>
      <c r="N24" s="380"/>
      <c r="O24" s="380"/>
      <c r="P24" s="380"/>
      <c r="Q24" s="380"/>
      <c r="R24" s="380"/>
      <c r="S24" s="380"/>
      <c r="T24" s="380"/>
      <c r="U24" s="380"/>
      <c r="V24" s="380"/>
      <c r="W24" s="380"/>
      <c r="X24" s="380"/>
      <c r="Y24" s="380"/>
      <c r="Z24" s="380"/>
      <c r="AA24" s="380"/>
      <c r="AB24" s="380"/>
      <c r="AC24" s="380"/>
      <c r="AD24" s="447"/>
      <c r="AE24" s="458">
        <f>AE12-0</f>
        <v>496.9</v>
      </c>
      <c r="AF24" s="375"/>
      <c r="AG24" s="379">
        <f>AG12-AE12</f>
        <v>0</v>
      </c>
      <c r="AH24" s="375">
        <f t="shared" si="37"/>
        <v>0</v>
      </c>
      <c r="AI24" s="375">
        <f t="shared" si="37"/>
        <v>0</v>
      </c>
      <c r="AJ24" s="375">
        <f t="shared" si="37"/>
        <v>0</v>
      </c>
      <c r="AK24" s="378">
        <f>AK12-AE12</f>
        <v>0</v>
      </c>
      <c r="AL24" s="375"/>
      <c r="AM24" s="379">
        <f>AM12-AK12</f>
        <v>0.30000000000001137</v>
      </c>
      <c r="AN24" s="375">
        <f t="shared" si="38"/>
        <v>0.10000000000002274</v>
      </c>
      <c r="AO24" s="375">
        <f t="shared" si="38"/>
        <v>-0.10000000000002274</v>
      </c>
      <c r="AP24" s="375">
        <f t="shared" si="38"/>
        <v>0.23200000000002774</v>
      </c>
      <c r="AQ24" s="378">
        <f>AQ12-AK12</f>
        <v>0.53200000000003911</v>
      </c>
      <c r="AR24" s="375"/>
      <c r="AS24" s="379">
        <f>AS12-AQ12</f>
        <v>6.7999999999983629E-2</v>
      </c>
      <c r="AT24" s="375">
        <f t="shared" si="39"/>
        <v>0</v>
      </c>
      <c r="AU24" s="375">
        <f t="shared" si="39"/>
        <v>0.10000000000002274</v>
      </c>
      <c r="AV24" s="375">
        <f t="shared" si="39"/>
        <v>9.9999999999965894E-2</v>
      </c>
      <c r="AW24" s="378">
        <f>AW12-AQ12</f>
        <v>0.26799999999997226</v>
      </c>
      <c r="AX24" s="375"/>
      <c r="AY24" s="379">
        <f>AY12-AW12</f>
        <v>0</v>
      </c>
      <c r="AZ24" s="375">
        <f t="shared" si="40"/>
        <v>0.10000000000002274</v>
      </c>
      <c r="BA24" s="375">
        <f t="shared" si="40"/>
        <v>9.9999999999965894E-2</v>
      </c>
      <c r="BB24" s="375">
        <f t="shared" si="40"/>
        <v>-2.8279999999999745</v>
      </c>
      <c r="BC24" s="378">
        <f>BC12-AW12</f>
        <v>-2.6279999999999859</v>
      </c>
      <c r="BD24" s="375"/>
      <c r="BE24" s="379">
        <f>BE12-BC12</f>
        <v>0.1279999999999859</v>
      </c>
      <c r="BF24" s="375">
        <f t="shared" si="41"/>
        <v>0.19999999999998863</v>
      </c>
      <c r="BG24" s="375">
        <f t="shared" si="41"/>
        <v>0.30000000000001137</v>
      </c>
      <c r="BH24" s="375">
        <f t="shared" si="41"/>
        <v>0.1330000000000382</v>
      </c>
      <c r="BI24" s="378">
        <f>BI12-BC12</f>
        <v>0.7610000000000241</v>
      </c>
      <c r="BJ24" s="375"/>
      <c r="BK24" s="379">
        <f>BK12-BI12</f>
        <v>0.16699999999997317</v>
      </c>
      <c r="BL24" s="375">
        <f t="shared" si="42"/>
        <v>0.19999999999998863</v>
      </c>
      <c r="BM24" s="375">
        <f t="shared" si="42"/>
        <v>0.19999999999998863</v>
      </c>
      <c r="BN24" s="375">
        <f t="shared" si="42"/>
        <v>-0.59999999999996589</v>
      </c>
      <c r="BO24" s="378">
        <f>BO12-BI12</f>
        <v>-3.3000000000015461E-2</v>
      </c>
      <c r="BP24" s="375"/>
      <c r="BQ24" s="406">
        <v>0</v>
      </c>
      <c r="BR24" s="405">
        <v>0</v>
      </c>
      <c r="BS24" s="405">
        <v>0</v>
      </c>
      <c r="BT24" s="405">
        <v>0</v>
      </c>
      <c r="BU24" s="378">
        <f>BU12-BO12</f>
        <v>0</v>
      </c>
      <c r="BV24" s="375"/>
      <c r="BW24" s="406">
        <v>0</v>
      </c>
      <c r="BX24" s="405">
        <v>0</v>
      </c>
      <c r="BY24" s="405">
        <v>0</v>
      </c>
      <c r="BZ24" s="405">
        <v>0</v>
      </c>
      <c r="CA24" s="378">
        <f>CA12-BU12</f>
        <v>0</v>
      </c>
      <c r="CB24" s="375"/>
      <c r="CC24" s="406">
        <v>0</v>
      </c>
      <c r="CD24" s="405">
        <v>0</v>
      </c>
      <c r="CE24" s="405">
        <v>0</v>
      </c>
      <c r="CF24" s="405">
        <v>0</v>
      </c>
      <c r="CG24" s="378">
        <f>CG12-CA12</f>
        <v>0</v>
      </c>
      <c r="CH24" s="375"/>
      <c r="CI24" s="406">
        <v>0</v>
      </c>
      <c r="CJ24" s="405">
        <v>0</v>
      </c>
      <c r="CK24" s="405">
        <v>0</v>
      </c>
      <c r="CL24" s="405">
        <v>0</v>
      </c>
      <c r="CM24" s="378">
        <f>CM12-CG12</f>
        <v>0</v>
      </c>
    </row>
    <row r="25" spans="1:91" ht="12.75" customHeight="1">
      <c r="A25" s="383" t="str">
        <f>A13</f>
        <v>1.875% Senior Unsecured Notes due 2026</v>
      </c>
      <c r="B25" s="383"/>
      <c r="C25" s="383"/>
      <c r="D25" s="375"/>
      <c r="E25" s="375"/>
      <c r="F25" s="375"/>
      <c r="G25" s="380"/>
      <c r="H25" s="380"/>
      <c r="I25" s="380"/>
      <c r="J25" s="380"/>
      <c r="K25" s="380"/>
      <c r="L25" s="380"/>
      <c r="M25" s="380"/>
      <c r="N25" s="380"/>
      <c r="O25" s="380"/>
      <c r="P25" s="380"/>
      <c r="Q25" s="380"/>
      <c r="R25" s="380"/>
      <c r="S25" s="380"/>
      <c r="T25" s="380"/>
      <c r="U25" s="380"/>
      <c r="V25" s="380"/>
      <c r="W25" s="380"/>
      <c r="X25" s="380"/>
      <c r="Y25" s="380"/>
      <c r="Z25" s="380"/>
      <c r="AA25" s="380"/>
      <c r="AB25" s="380"/>
      <c r="AC25" s="380"/>
      <c r="AD25" s="447"/>
      <c r="AE25" s="458">
        <f>AE13-0</f>
        <v>0</v>
      </c>
      <c r="AF25" s="375"/>
      <c r="AG25" s="379">
        <f>AG13-AE13</f>
        <v>0</v>
      </c>
      <c r="AH25" s="375">
        <f t="shared" si="37"/>
        <v>0</v>
      </c>
      <c r="AI25" s="375">
        <f t="shared" si="37"/>
        <v>0</v>
      </c>
      <c r="AJ25" s="375">
        <f t="shared" si="37"/>
        <v>0</v>
      </c>
      <c r="AK25" s="378">
        <f>AK13-AE13</f>
        <v>0</v>
      </c>
      <c r="AL25" s="375"/>
      <c r="AM25" s="379">
        <f>AM13-AK13</f>
        <v>0</v>
      </c>
      <c r="AN25" s="375">
        <f t="shared" si="38"/>
        <v>0</v>
      </c>
      <c r="AO25" s="375">
        <f t="shared" si="38"/>
        <v>0</v>
      </c>
      <c r="AP25" s="375">
        <f t="shared" si="38"/>
        <v>0</v>
      </c>
      <c r="AQ25" s="378">
        <f>AQ13-AK13</f>
        <v>0</v>
      </c>
      <c r="AR25" s="375"/>
      <c r="AS25" s="379">
        <f>AS13-AQ13</f>
        <v>0</v>
      </c>
      <c r="AT25" s="375">
        <f t="shared" si="39"/>
        <v>0</v>
      </c>
      <c r="AU25" s="375">
        <f t="shared" si="39"/>
        <v>0</v>
      </c>
      <c r="AV25" s="375">
        <f t="shared" si="39"/>
        <v>0</v>
      </c>
      <c r="AW25" s="378">
        <f>AW13-AQ13</f>
        <v>0</v>
      </c>
      <c r="AX25" s="375"/>
      <c r="AY25" s="379">
        <f>AY13-AW13</f>
        <v>0</v>
      </c>
      <c r="AZ25" s="375">
        <f t="shared" si="40"/>
        <v>0</v>
      </c>
      <c r="BA25" s="375">
        <f t="shared" si="40"/>
        <v>0</v>
      </c>
      <c r="BB25" s="375">
        <f t="shared" si="40"/>
        <v>0</v>
      </c>
      <c r="BC25" s="378">
        <f>BC13-AW13</f>
        <v>0</v>
      </c>
      <c r="BD25" s="375"/>
      <c r="BE25" s="379">
        <f>BE13-BC13</f>
        <v>0</v>
      </c>
      <c r="BF25" s="375">
        <f t="shared" si="41"/>
        <v>0</v>
      </c>
      <c r="BG25" s="375">
        <f t="shared" si="41"/>
        <v>551.6</v>
      </c>
      <c r="BH25" s="375">
        <f t="shared" si="41"/>
        <v>-33.821000000000026</v>
      </c>
      <c r="BI25" s="378">
        <f>BI13-BC13</f>
        <v>517.779</v>
      </c>
      <c r="BJ25" s="375"/>
      <c r="BK25" s="379">
        <f>BK13-BI13</f>
        <v>7.3210000000000264</v>
      </c>
      <c r="BL25" s="375">
        <f t="shared" si="42"/>
        <v>36.699999999999932</v>
      </c>
      <c r="BM25" s="375">
        <f t="shared" si="42"/>
        <v>19.700000000000045</v>
      </c>
      <c r="BN25" s="375">
        <f t="shared" si="42"/>
        <v>10.200000000000045</v>
      </c>
      <c r="BO25" s="378">
        <f>BO13-BI13</f>
        <v>73.921000000000049</v>
      </c>
      <c r="BP25" s="375"/>
      <c r="BQ25" s="406">
        <v>0</v>
      </c>
      <c r="BR25" s="405">
        <v>0</v>
      </c>
      <c r="BS25" s="405">
        <v>0</v>
      </c>
      <c r="BT25" s="405">
        <v>0</v>
      </c>
      <c r="BU25" s="378">
        <f>BU13-BO13</f>
        <v>0</v>
      </c>
      <c r="BV25" s="375"/>
      <c r="BW25" s="406">
        <v>0</v>
      </c>
      <c r="BX25" s="405">
        <v>0</v>
      </c>
      <c r="BY25" s="405">
        <v>0</v>
      </c>
      <c r="BZ25" s="405">
        <v>0</v>
      </c>
      <c r="CA25" s="378">
        <f>CA13-BU13</f>
        <v>0</v>
      </c>
      <c r="CB25" s="375"/>
      <c r="CC25" s="406">
        <v>0</v>
      </c>
      <c r="CD25" s="405">
        <v>0</v>
      </c>
      <c r="CE25" s="405">
        <v>0</v>
      </c>
      <c r="CF25" s="405">
        <v>-100</v>
      </c>
      <c r="CG25" s="378">
        <f>CG13-CA13</f>
        <v>-100</v>
      </c>
      <c r="CH25" s="375"/>
      <c r="CI25" s="406">
        <v>-100</v>
      </c>
      <c r="CJ25" s="405">
        <v>-100</v>
      </c>
      <c r="CK25" s="405">
        <v>-100</v>
      </c>
      <c r="CL25" s="405">
        <v>-161.80000000000001</v>
      </c>
      <c r="CM25" s="378">
        <f>CM13-CG13</f>
        <v>-461.8</v>
      </c>
    </row>
    <row r="26" spans="1:91" ht="12.75" customHeight="1">
      <c r="A26" s="384" t="s">
        <v>426</v>
      </c>
      <c r="B26" s="383"/>
      <c r="C26" s="383"/>
      <c r="D26" s="375"/>
      <c r="E26" s="375"/>
      <c r="F26" s="375"/>
      <c r="G26" s="380"/>
      <c r="H26" s="380"/>
      <c r="I26" s="380"/>
      <c r="J26" s="380"/>
      <c r="K26" s="380"/>
      <c r="L26" s="380"/>
      <c r="M26" s="380"/>
      <c r="N26" s="380"/>
      <c r="O26" s="380"/>
      <c r="P26" s="380"/>
      <c r="Q26" s="380"/>
      <c r="R26" s="380"/>
      <c r="S26" s="380"/>
      <c r="T26" s="380"/>
      <c r="U26" s="380"/>
      <c r="V26" s="380"/>
      <c r="W26" s="380"/>
      <c r="X26" s="380"/>
      <c r="Y26" s="380"/>
      <c r="Z26" s="380"/>
      <c r="AA26" s="380"/>
      <c r="AB26" s="380"/>
      <c r="AC26" s="380"/>
      <c r="AD26" s="447"/>
      <c r="AE26" s="458">
        <f>AE14-2.255</f>
        <v>-2.2469999999999999</v>
      </c>
      <c r="AF26" s="375"/>
      <c r="AG26" s="379">
        <f>AG14-AE14</f>
        <v>6.3E-2</v>
      </c>
      <c r="AH26" s="375">
        <f t="shared" si="37"/>
        <v>7.1999999999999995E-2</v>
      </c>
      <c r="AI26" s="375">
        <f t="shared" si="37"/>
        <v>29.286999999999999</v>
      </c>
      <c r="AJ26" s="375">
        <f t="shared" si="37"/>
        <v>6.2659999999999982</v>
      </c>
      <c r="AK26" s="378">
        <f>AK14-AE14</f>
        <v>35.687999999999995</v>
      </c>
      <c r="AL26" s="375"/>
      <c r="AM26" s="379">
        <f>AM14-AK14</f>
        <v>7.75</v>
      </c>
      <c r="AN26" s="375">
        <f t="shared" ref="AN26:AP26" si="43">AN14-AM14</f>
        <v>-2.6730000000000018</v>
      </c>
      <c r="AO26" s="375">
        <f t="shared" si="43"/>
        <v>-5.8999999999997499E-2</v>
      </c>
      <c r="AP26" s="375">
        <f t="shared" si="43"/>
        <v>-0.41799999999999926</v>
      </c>
      <c r="AQ26" s="378">
        <f>AQ14-AK14</f>
        <v>4.6000000000000014</v>
      </c>
      <c r="AR26" s="375"/>
      <c r="AS26" s="379">
        <f>AS14-AQ14</f>
        <v>-0.27300000000000324</v>
      </c>
      <c r="AT26" s="375">
        <f t="shared" ref="AT26:AV26" si="44">AT14-AS14</f>
        <v>-0.18999999999999773</v>
      </c>
      <c r="AU26" s="375">
        <f t="shared" si="44"/>
        <v>3.3019999999999996</v>
      </c>
      <c r="AV26" s="375">
        <f t="shared" si="44"/>
        <v>-3.8680000000000021</v>
      </c>
      <c r="AW26" s="378">
        <f>AW14-AQ14</f>
        <v>-1.0290000000000035</v>
      </c>
      <c r="AX26" s="375"/>
      <c r="AY26" s="379">
        <f>AY14-AW14</f>
        <v>-0.21799999999999642</v>
      </c>
      <c r="AZ26" s="375">
        <f t="shared" ref="AZ26:BB26" si="45">AZ14-AY14</f>
        <v>0.57700000000000529</v>
      </c>
      <c r="BA26" s="375">
        <f t="shared" si="45"/>
        <v>-1.1500000000000057</v>
      </c>
      <c r="BB26" s="375">
        <f t="shared" si="45"/>
        <v>-0.27899999999999636</v>
      </c>
      <c r="BC26" s="378">
        <f>BC14-AW14</f>
        <v>-1.0699999999999932</v>
      </c>
      <c r="BD26" s="375"/>
      <c r="BE26" s="379">
        <f>BE14-BC14</f>
        <v>-0.23200000000000642</v>
      </c>
      <c r="BF26" s="375">
        <f t="shared" si="41"/>
        <v>-0.28399999999999181</v>
      </c>
      <c r="BG26" s="375">
        <f t="shared" si="41"/>
        <v>-0.3960000000000079</v>
      </c>
      <c r="BH26" s="375">
        <f t="shared" si="41"/>
        <v>-0.21099999999999852</v>
      </c>
      <c r="BI26" s="378">
        <f>BI14-BC14</f>
        <v>-1.1230000000000047</v>
      </c>
      <c r="BJ26" s="375"/>
      <c r="BK26" s="379">
        <f>BK14-BI14</f>
        <v>0.68999999999999773</v>
      </c>
      <c r="BL26" s="375">
        <f t="shared" si="42"/>
        <v>-0.34399999999999409</v>
      </c>
      <c r="BM26" s="375">
        <f t="shared" si="42"/>
        <v>-1.1569999999999965</v>
      </c>
      <c r="BN26" s="375">
        <f t="shared" si="42"/>
        <v>57.345999999999989</v>
      </c>
      <c r="BO26" s="378">
        <f>BO14-BI14</f>
        <v>56.534999999999997</v>
      </c>
      <c r="BP26" s="375"/>
      <c r="BQ26" s="406">
        <v>0</v>
      </c>
      <c r="BR26" s="405">
        <v>0</v>
      </c>
      <c r="BS26" s="405">
        <v>0</v>
      </c>
      <c r="BT26" s="405">
        <v>0</v>
      </c>
      <c r="BU26" s="378">
        <f>BU14-BO14</f>
        <v>0</v>
      </c>
      <c r="BV26" s="375"/>
      <c r="BW26" s="406">
        <v>0</v>
      </c>
      <c r="BX26" s="405">
        <v>0</v>
      </c>
      <c r="BY26" s="405">
        <v>0</v>
      </c>
      <c r="BZ26" s="405">
        <v>0</v>
      </c>
      <c r="CA26" s="378">
        <f>CA14-BU14</f>
        <v>0</v>
      </c>
      <c r="CB26" s="375"/>
      <c r="CC26" s="406">
        <v>0</v>
      </c>
      <c r="CD26" s="405">
        <v>0</v>
      </c>
      <c r="CE26" s="405">
        <v>0</v>
      </c>
      <c r="CF26" s="405">
        <v>0</v>
      </c>
      <c r="CG26" s="378">
        <f>CG14-CA14</f>
        <v>0</v>
      </c>
      <c r="CH26" s="375"/>
      <c r="CI26" s="406">
        <v>0</v>
      </c>
      <c r="CJ26" s="405">
        <v>0</v>
      </c>
      <c r="CK26" s="405">
        <v>0</v>
      </c>
      <c r="CL26" s="405">
        <v>0</v>
      </c>
      <c r="CM26" s="378">
        <f>CM14-CG14</f>
        <v>0</v>
      </c>
    </row>
    <row r="27" spans="1:91" ht="12.75" customHeight="1">
      <c r="A27" s="384"/>
      <c r="B27" s="383"/>
      <c r="C27" s="383"/>
      <c r="D27" s="375"/>
      <c r="E27" s="375"/>
      <c r="F27" s="375"/>
      <c r="G27" s="380"/>
      <c r="H27" s="380"/>
      <c r="I27" s="380"/>
      <c r="J27" s="380"/>
      <c r="K27" s="380"/>
      <c r="L27" s="380"/>
      <c r="M27" s="380"/>
      <c r="N27" s="380"/>
      <c r="O27" s="380"/>
      <c r="P27" s="380"/>
      <c r="Q27" s="380"/>
      <c r="R27" s="380"/>
      <c r="S27" s="380"/>
      <c r="T27" s="380"/>
      <c r="U27" s="380"/>
      <c r="V27" s="380"/>
      <c r="W27" s="380"/>
      <c r="X27" s="380"/>
      <c r="Y27" s="380"/>
      <c r="Z27" s="380"/>
      <c r="AA27" s="380"/>
      <c r="AB27" s="380"/>
      <c r="AC27" s="380"/>
      <c r="AD27" s="447"/>
      <c r="AE27" s="458"/>
      <c r="AF27" s="375"/>
      <c r="AG27" s="379"/>
      <c r="AH27" s="375"/>
      <c r="AI27" s="375"/>
      <c r="AJ27" s="375"/>
      <c r="AK27" s="378"/>
      <c r="AL27" s="375"/>
      <c r="AM27" s="2376"/>
      <c r="AN27" s="375"/>
      <c r="AO27" s="375"/>
      <c r="AP27" s="375"/>
      <c r="AQ27" s="378"/>
      <c r="AR27" s="375"/>
      <c r="AS27" s="2376"/>
      <c r="AT27" s="375"/>
      <c r="AU27" s="375"/>
      <c r="AV27" s="375"/>
      <c r="AW27" s="378"/>
      <c r="AX27" s="375"/>
      <c r="AY27" s="2376"/>
      <c r="AZ27" s="375"/>
      <c r="BA27" s="375"/>
      <c r="BB27" s="375"/>
      <c r="BC27" s="378"/>
      <c r="BD27" s="375"/>
      <c r="BE27" s="2376"/>
      <c r="BF27" s="375"/>
      <c r="BG27" s="375"/>
      <c r="BH27" s="375"/>
      <c r="BI27" s="378"/>
      <c r="BJ27" s="375"/>
      <c r="BK27" s="2376"/>
      <c r="BL27" s="375"/>
      <c r="BM27" s="375"/>
      <c r="BN27" s="375"/>
      <c r="BO27" s="378"/>
      <c r="BP27" s="375"/>
      <c r="BQ27" s="2374"/>
      <c r="BR27" s="405">
        <v>0</v>
      </c>
      <c r="BS27" s="405">
        <v>0</v>
      </c>
      <c r="BT27" s="405">
        <v>0</v>
      </c>
      <c r="BU27" s="378">
        <v>0</v>
      </c>
      <c r="BV27" s="375"/>
      <c r="BW27" s="406">
        <v>0</v>
      </c>
      <c r="BX27" s="405">
        <v>0</v>
      </c>
      <c r="BY27" s="405">
        <v>0</v>
      </c>
      <c r="BZ27" s="405">
        <v>0</v>
      </c>
      <c r="CA27" s="378">
        <v>0</v>
      </c>
      <c r="CB27" s="375"/>
      <c r="CC27" s="406">
        <v>0</v>
      </c>
      <c r="CD27" s="405">
        <v>0</v>
      </c>
      <c r="CE27" s="405">
        <v>0</v>
      </c>
      <c r="CF27" s="405">
        <v>0</v>
      </c>
      <c r="CG27" s="378">
        <v>0</v>
      </c>
      <c r="CH27" s="375"/>
      <c r="CI27" s="406">
        <v>0</v>
      </c>
      <c r="CJ27" s="405">
        <v>0</v>
      </c>
      <c r="CK27" s="405">
        <v>0</v>
      </c>
      <c r="CL27" s="405">
        <v>0</v>
      </c>
      <c r="CM27" s="378">
        <v>0</v>
      </c>
    </row>
    <row r="28" spans="1:91" ht="12.75" customHeight="1">
      <c r="A28" s="387" t="s">
        <v>156</v>
      </c>
      <c r="B28" s="388"/>
      <c r="C28" s="388"/>
      <c r="D28" s="389"/>
      <c r="E28" s="389"/>
      <c r="F28" s="389"/>
      <c r="G28" s="437"/>
      <c r="H28" s="380"/>
      <c r="I28" s="380"/>
      <c r="J28" s="380"/>
      <c r="K28" s="380"/>
      <c r="L28" s="380"/>
      <c r="M28" s="437"/>
      <c r="N28" s="380"/>
      <c r="O28" s="437"/>
      <c r="P28" s="437"/>
      <c r="Q28" s="437"/>
      <c r="R28" s="437"/>
      <c r="S28" s="437"/>
      <c r="T28" s="380"/>
      <c r="U28" s="437"/>
      <c r="V28" s="437"/>
      <c r="W28" s="437"/>
      <c r="X28" s="437"/>
      <c r="Y28" s="437"/>
      <c r="Z28" s="380"/>
      <c r="AA28" s="437"/>
      <c r="AB28" s="437"/>
      <c r="AC28" s="437"/>
      <c r="AD28" s="445"/>
      <c r="AE28" s="459">
        <f>SUM(AE22:AE26)</f>
        <v>518.65300000000002</v>
      </c>
      <c r="AF28" s="389"/>
      <c r="AG28" s="390">
        <f>SUM(AG22:AG26)</f>
        <v>-10.936999999999999</v>
      </c>
      <c r="AH28" s="391">
        <f>SUM(AH22:AH26)</f>
        <v>-22.928000000000001</v>
      </c>
      <c r="AI28" s="391">
        <f>SUM(AI22:AI26)</f>
        <v>21.286999999999999</v>
      </c>
      <c r="AJ28" s="391">
        <f>SUM(AJ22:AJ26)</f>
        <v>8.2659999999999982</v>
      </c>
      <c r="AK28" s="392">
        <f>SUM(AK22:AK26)</f>
        <v>-4.3120000000000047</v>
      </c>
      <c r="AL28" s="389"/>
      <c r="AM28" s="393">
        <f>SUM(AM22:AM26)</f>
        <v>86.050000000000011</v>
      </c>
      <c r="AN28" s="391">
        <f>SUM(AN22:AN26)</f>
        <v>-22.572999999999979</v>
      </c>
      <c r="AO28" s="391">
        <f>SUM(AO22:AO26)</f>
        <v>-68.15900000000002</v>
      </c>
      <c r="AP28" s="391">
        <f>SUM(AP22:AP26)</f>
        <v>-1.1859999999999715</v>
      </c>
      <c r="AQ28" s="392">
        <f>SUM(AQ22:AQ26)</f>
        <v>-5.8679999999999595</v>
      </c>
      <c r="AR28" s="389"/>
      <c r="AS28" s="393">
        <f>SUM(AS22:AS26)</f>
        <v>-5.2050000000000196</v>
      </c>
      <c r="AT28" s="391">
        <f>SUM(AT22:AT26)</f>
        <v>-34.19</v>
      </c>
      <c r="AU28" s="391">
        <f>SUM(AU22:AU26)</f>
        <v>-35.597999999999978</v>
      </c>
      <c r="AV28" s="1599">
        <f>SUM(AV22:AV26)</f>
        <v>193.23199999999997</v>
      </c>
      <c r="AW28" s="1600">
        <f>SUM(AW22:AW26)</f>
        <v>118.23899999999998</v>
      </c>
      <c r="AX28" s="389"/>
      <c r="AY28" s="393">
        <f>SUM(AY22:AY26)</f>
        <v>-37.217999999999996</v>
      </c>
      <c r="AZ28" s="391">
        <f>SUM(AZ22:AZ26)</f>
        <v>-27.322999999999972</v>
      </c>
      <c r="BA28" s="391">
        <f>SUM(BA22:BA26)</f>
        <v>39.94999999999996</v>
      </c>
      <c r="BB28" s="391">
        <f>SUM(BB22:BB26)</f>
        <v>-15.490999999999985</v>
      </c>
      <c r="BC28" s="392">
        <f>SUM(BC22:BC26)</f>
        <v>-40.081999999999994</v>
      </c>
      <c r="BD28" s="389"/>
      <c r="BE28" s="393">
        <f>SUM(BE22:BE26)</f>
        <v>108.07999999999996</v>
      </c>
      <c r="BF28" s="391">
        <f>SUM(BF22:BF26)</f>
        <v>-62.883999999999958</v>
      </c>
      <c r="BG28" s="391">
        <f>SUM(BG22:BG26)</f>
        <v>75.004000000000019</v>
      </c>
      <c r="BH28" s="391">
        <f>SUM(BH22:BH26)</f>
        <v>-86.658999999999978</v>
      </c>
      <c r="BI28" s="392">
        <f>SUM(BI22:BI26)</f>
        <v>33.541000000000039</v>
      </c>
      <c r="BJ28" s="389"/>
      <c r="BK28" s="393">
        <f>SUM(BK22:BK26)</f>
        <v>8.4379999999999971</v>
      </c>
      <c r="BL28" s="391">
        <f>SUM(BL22:BL26)</f>
        <v>36.755999999999929</v>
      </c>
      <c r="BM28" s="391">
        <f>SUM(BM22:BM26)</f>
        <v>18.943000000000037</v>
      </c>
      <c r="BN28" s="391">
        <f>SUM(BN22:BN26)</f>
        <v>895.54600000000005</v>
      </c>
      <c r="BO28" s="392">
        <f>SUM(BO22:BO26)</f>
        <v>959.68299999999999</v>
      </c>
      <c r="BP28" s="389"/>
      <c r="BQ28" s="393">
        <f>SUM(BQ22:BQ27)</f>
        <v>-75</v>
      </c>
      <c r="BR28" s="391">
        <f t="shared" ref="BR28:BU28" si="46">SUM(BR22:BR27)</f>
        <v>-250</v>
      </c>
      <c r="BS28" s="391">
        <f t="shared" si="46"/>
        <v>-50</v>
      </c>
      <c r="BT28" s="391">
        <f t="shared" si="46"/>
        <v>-150</v>
      </c>
      <c r="BU28" s="392">
        <f t="shared" si="46"/>
        <v>-525</v>
      </c>
      <c r="BV28" s="389"/>
      <c r="BW28" s="393">
        <f>SUM(BW22:BW27)</f>
        <v>-100</v>
      </c>
      <c r="BX28" s="391">
        <f t="shared" ref="BX28" si="47">SUM(BX22:BX27)</f>
        <v>-100</v>
      </c>
      <c r="BY28" s="391">
        <f t="shared" ref="BY28" si="48">SUM(BY22:BY27)</f>
        <v>-100</v>
      </c>
      <c r="BZ28" s="391">
        <f t="shared" ref="BZ28" si="49">SUM(BZ22:BZ27)</f>
        <v>0</v>
      </c>
      <c r="CA28" s="392">
        <f t="shared" ref="CA28" si="50">SUM(CA22:CA27)</f>
        <v>-300</v>
      </c>
      <c r="CB28" s="389"/>
      <c r="CC28" s="393">
        <f>SUM(CC22:CC27)</f>
        <v>0</v>
      </c>
      <c r="CD28" s="391">
        <f t="shared" ref="CD28" si="51">SUM(CD22:CD27)</f>
        <v>0</v>
      </c>
      <c r="CE28" s="391">
        <f t="shared" ref="CE28" si="52">SUM(CE22:CE27)</f>
        <v>0</v>
      </c>
      <c r="CF28" s="391">
        <f t="shared" ref="CF28" si="53">SUM(CF22:CF27)</f>
        <v>-100</v>
      </c>
      <c r="CG28" s="392">
        <f t="shared" ref="CG28" si="54">SUM(CG22:CG27)</f>
        <v>-100</v>
      </c>
      <c r="CH28" s="389"/>
      <c r="CI28" s="393">
        <f>SUM(CI22:CI27)</f>
        <v>-100</v>
      </c>
      <c r="CJ28" s="391">
        <f t="shared" ref="CJ28" si="55">SUM(CJ22:CJ27)</f>
        <v>-100</v>
      </c>
      <c r="CK28" s="391">
        <f t="shared" ref="CK28" si="56">SUM(CK22:CK27)</f>
        <v>-100</v>
      </c>
      <c r="CL28" s="391">
        <f t="shared" ref="CL28" si="57">SUM(CL22:CL27)</f>
        <v>-161.80000000000001</v>
      </c>
      <c r="CM28" s="392">
        <f t="shared" ref="CM28" si="58">SUM(CM22:CM27)</f>
        <v>-461.8</v>
      </c>
    </row>
    <row r="29" spans="1:91" ht="12.75" customHeight="1">
      <c r="A29" s="394" t="s">
        <v>157</v>
      </c>
      <c r="B29" s="394"/>
      <c r="C29" s="394"/>
      <c r="D29" s="375"/>
      <c r="E29" s="375"/>
      <c r="F29" s="375"/>
      <c r="G29" s="380"/>
      <c r="H29" s="380"/>
      <c r="I29" s="380"/>
      <c r="J29" s="380"/>
      <c r="K29" s="380"/>
      <c r="L29" s="380"/>
      <c r="M29" s="380"/>
      <c r="N29" s="380"/>
      <c r="O29" s="380"/>
      <c r="P29" s="380"/>
      <c r="Q29" s="380"/>
      <c r="R29" s="380"/>
      <c r="S29" s="380"/>
      <c r="T29" s="380"/>
      <c r="U29" s="380"/>
      <c r="V29" s="380"/>
      <c r="W29" s="380"/>
      <c r="X29" s="380"/>
      <c r="Y29" s="380"/>
      <c r="Z29" s="380"/>
      <c r="AA29" s="380"/>
      <c r="AB29" s="380"/>
      <c r="AC29" s="380"/>
      <c r="AD29" s="447"/>
      <c r="AE29" s="458">
        <f>AE17-Y17</f>
        <v>0</v>
      </c>
      <c r="AF29" s="375"/>
      <c r="AG29" s="379">
        <f>AG17-AE17</f>
        <v>0</v>
      </c>
      <c r="AH29" s="375">
        <f t="shared" ref="AH29:AJ30" si="59">AH17-AG17</f>
        <v>0</v>
      </c>
      <c r="AI29" s="375">
        <f t="shared" si="59"/>
        <v>1.47</v>
      </c>
      <c r="AJ29" s="375">
        <f t="shared" si="59"/>
        <v>0.30200000000000005</v>
      </c>
      <c r="AK29" s="378">
        <f>AK17-AE17</f>
        <v>1.772</v>
      </c>
      <c r="AL29" s="375"/>
      <c r="AM29" s="379">
        <f>AM17-AK17</f>
        <v>5.5289999999999999</v>
      </c>
      <c r="AN29" s="375">
        <f t="shared" ref="AN29:AP30" si="60">AN17-AM17</f>
        <v>-5.0860000000000003</v>
      </c>
      <c r="AO29" s="375">
        <f t="shared" si="60"/>
        <v>0.40700000000000003</v>
      </c>
      <c r="AP29" s="375">
        <f t="shared" si="60"/>
        <v>2.0000000000002238E-3</v>
      </c>
      <c r="AQ29" s="378">
        <f>AQ17-AK17</f>
        <v>0.85200000000000009</v>
      </c>
      <c r="AR29" s="375"/>
      <c r="AS29" s="379">
        <f>AS17-AQ17</f>
        <v>1.9999999999997797E-3</v>
      </c>
      <c r="AT29" s="375">
        <f t="shared" ref="AT29:AV30" si="61">AT17-AS17</f>
        <v>-1.575</v>
      </c>
      <c r="AU29" s="375">
        <f t="shared" si="61"/>
        <v>0.10600000000000009</v>
      </c>
      <c r="AV29" s="375">
        <f t="shared" si="61"/>
        <v>-8.2000000000000073E-2</v>
      </c>
      <c r="AW29" s="378">
        <f>AW17-AQ17</f>
        <v>-1.5490000000000002</v>
      </c>
      <c r="AX29" s="375"/>
      <c r="AY29" s="379">
        <f>AY17-AW17</f>
        <v>8.0000000000000071E-3</v>
      </c>
      <c r="AZ29" s="375">
        <f t="shared" ref="AZ29:BB30" si="62">AZ17-AY17</f>
        <v>0.89100000000000001</v>
      </c>
      <c r="BA29" s="375">
        <f t="shared" si="62"/>
        <v>-0.86699999999999999</v>
      </c>
      <c r="BB29" s="375">
        <f t="shared" si="62"/>
        <v>1.6000000000000014E-2</v>
      </c>
      <c r="BC29" s="378">
        <f>BC17-AW17</f>
        <v>4.8000000000000043E-2</v>
      </c>
      <c r="BD29" s="375"/>
      <c r="BE29" s="379">
        <f>BE17-BC17</f>
        <v>1.2000000000000011E-2</v>
      </c>
      <c r="BF29" s="375">
        <f t="shared" ref="BF29:BG30" si="63">BF17-BE17</f>
        <v>-2.8000000000000025E-2</v>
      </c>
      <c r="BG29" s="375">
        <f t="shared" si="63"/>
        <v>5.2999999999999936E-2</v>
      </c>
      <c r="BH29" s="375">
        <f t="shared" ref="BH29:BH30" si="64">BH17-BG17</f>
        <v>1.2000000000000011E-2</v>
      </c>
      <c r="BI29" s="378">
        <f>BI17-BC17</f>
        <v>4.8999999999999932E-2</v>
      </c>
      <c r="BJ29" s="375"/>
      <c r="BK29" s="379">
        <f>BK17-BI17</f>
        <v>1.0149999999999999</v>
      </c>
      <c r="BL29" s="375">
        <f t="shared" ref="BL29:BM30" si="65">BL17-BK17</f>
        <v>3.8000000000000256E-2</v>
      </c>
      <c r="BM29" s="375">
        <f t="shared" si="65"/>
        <v>-2.2250000000000001</v>
      </c>
      <c r="BN29" s="375">
        <f t="shared" ref="BN29:BN30" si="66">BN17-BM17</f>
        <v>217.30600000000001</v>
      </c>
      <c r="BO29" s="378">
        <f>BO17-BI17</f>
        <v>216.13400000000001</v>
      </c>
      <c r="BP29" s="375"/>
      <c r="BQ29" s="379">
        <f>BQ17-BO17</f>
        <v>0</v>
      </c>
      <c r="BR29" s="375">
        <f t="shared" ref="BR29:BT30" si="67">BR17-BQ17</f>
        <v>0</v>
      </c>
      <c r="BS29" s="375">
        <f t="shared" si="67"/>
        <v>0</v>
      </c>
      <c r="BT29" s="375">
        <f t="shared" si="67"/>
        <v>0</v>
      </c>
      <c r="BU29" s="378">
        <f>BU17-BO17</f>
        <v>0</v>
      </c>
      <c r="BV29" s="375"/>
      <c r="BW29" s="379">
        <f>BW17-BU17</f>
        <v>0</v>
      </c>
      <c r="BX29" s="375">
        <f t="shared" ref="BX29:BZ30" si="68">BX17-BW17</f>
        <v>0</v>
      </c>
      <c r="BY29" s="375">
        <f t="shared" si="68"/>
        <v>0</v>
      </c>
      <c r="BZ29" s="375">
        <f t="shared" si="68"/>
        <v>0</v>
      </c>
      <c r="CA29" s="378">
        <f>CA17-BU17</f>
        <v>0</v>
      </c>
      <c r="CB29" s="375"/>
      <c r="CC29" s="379">
        <f>CC17-CA17</f>
        <v>0</v>
      </c>
      <c r="CD29" s="375">
        <f t="shared" ref="CD29:CD30" si="69">CD17-CC17</f>
        <v>0</v>
      </c>
      <c r="CE29" s="375">
        <f t="shared" ref="CE29:CE30" si="70">CE17-CD17</f>
        <v>0</v>
      </c>
      <c r="CF29" s="375">
        <f t="shared" ref="CF29:CF30" si="71">CF17-CE17</f>
        <v>0</v>
      </c>
      <c r="CG29" s="378">
        <f>CG17-CA17</f>
        <v>0</v>
      </c>
      <c r="CH29" s="375"/>
      <c r="CI29" s="379">
        <f>CI17-CG17</f>
        <v>0</v>
      </c>
      <c r="CJ29" s="375">
        <f t="shared" ref="CJ29:CJ30" si="72">CJ17-CI17</f>
        <v>0</v>
      </c>
      <c r="CK29" s="375">
        <f t="shared" ref="CK29:CK30" si="73">CK17-CJ17</f>
        <v>0</v>
      </c>
      <c r="CL29" s="375">
        <f t="shared" ref="CL29:CL30" si="74">CL17-CK17</f>
        <v>0</v>
      </c>
      <c r="CM29" s="378">
        <f>CM17-CG17</f>
        <v>0</v>
      </c>
    </row>
    <row r="30" spans="1:91" ht="12.75" customHeight="1">
      <c r="A30" s="396" t="s">
        <v>158</v>
      </c>
      <c r="B30" s="397"/>
      <c r="C30" s="397"/>
      <c r="D30" s="389"/>
      <c r="E30" s="389"/>
      <c r="F30" s="389"/>
      <c r="G30" s="437"/>
      <c r="H30" s="380"/>
      <c r="I30" s="380"/>
      <c r="J30" s="380"/>
      <c r="K30" s="380"/>
      <c r="L30" s="380"/>
      <c r="M30" s="437"/>
      <c r="N30" s="380"/>
      <c r="O30" s="437"/>
      <c r="P30" s="437"/>
      <c r="Q30" s="437"/>
      <c r="R30" s="437"/>
      <c r="S30" s="437"/>
      <c r="T30" s="380"/>
      <c r="U30" s="437"/>
      <c r="V30" s="437"/>
      <c r="W30" s="437"/>
      <c r="X30" s="437"/>
      <c r="Y30" s="437"/>
      <c r="Z30" s="380"/>
      <c r="AA30" s="437"/>
      <c r="AB30" s="437"/>
      <c r="AC30" s="437"/>
      <c r="AD30" s="445"/>
      <c r="AE30" s="459">
        <f>AE18-Y18</f>
        <v>944.90800000000002</v>
      </c>
      <c r="AF30" s="389"/>
      <c r="AG30" s="390">
        <f>AG18-AE18</f>
        <v>-10.937000000000012</v>
      </c>
      <c r="AH30" s="391">
        <f t="shared" si="59"/>
        <v>-22.927999999999997</v>
      </c>
      <c r="AI30" s="391">
        <f t="shared" si="59"/>
        <v>19.816999999999894</v>
      </c>
      <c r="AJ30" s="391">
        <f t="shared" si="59"/>
        <v>7.9640000000000555</v>
      </c>
      <c r="AK30" s="392">
        <f>AK18-AE18</f>
        <v>-6.08400000000006</v>
      </c>
      <c r="AL30" s="389"/>
      <c r="AM30" s="393">
        <f>AM18-AK18</f>
        <v>80.520999999999958</v>
      </c>
      <c r="AN30" s="391">
        <f t="shared" si="60"/>
        <v>-17.486999999999966</v>
      </c>
      <c r="AO30" s="391">
        <f t="shared" si="60"/>
        <v>-68.565999999999917</v>
      </c>
      <c r="AP30" s="391">
        <f t="shared" si="60"/>
        <v>-1.1879999999999882</v>
      </c>
      <c r="AQ30" s="392">
        <f>AQ18-AK18</f>
        <v>-6.7199999999999136</v>
      </c>
      <c r="AR30" s="389"/>
      <c r="AS30" s="393">
        <f>AS18-AQ18</f>
        <v>-5.2069999999999936</v>
      </c>
      <c r="AT30" s="391">
        <f t="shared" si="61"/>
        <v>-32.615000000000123</v>
      </c>
      <c r="AU30" s="391">
        <f t="shared" si="61"/>
        <v>-35.703999999999951</v>
      </c>
      <c r="AV30" s="1599">
        <f t="shared" si="61"/>
        <v>193.31400000000008</v>
      </c>
      <c r="AW30" s="1600">
        <f>AW18-AQ18</f>
        <v>119.78800000000001</v>
      </c>
      <c r="AX30" s="389"/>
      <c r="AY30" s="393">
        <f>AY18-AW18</f>
        <v>-37.225999999999999</v>
      </c>
      <c r="AZ30" s="391">
        <f t="shared" si="62"/>
        <v>-28.214000000000169</v>
      </c>
      <c r="BA30" s="391">
        <f t="shared" si="62"/>
        <v>40.817000000000121</v>
      </c>
      <c r="BB30" s="391">
        <f t="shared" si="62"/>
        <v>-15.507000000000062</v>
      </c>
      <c r="BC30" s="392">
        <f>BC18-AW18</f>
        <v>-40.130000000000109</v>
      </c>
      <c r="BD30" s="389"/>
      <c r="BE30" s="393">
        <f>BE18-BC18</f>
        <v>108.06799999999998</v>
      </c>
      <c r="BF30" s="391">
        <f t="shared" si="63"/>
        <v>-62.855999999999995</v>
      </c>
      <c r="BG30" s="391">
        <f t="shared" si="63"/>
        <v>74.951000000000249</v>
      </c>
      <c r="BH30" s="391">
        <f t="shared" si="64"/>
        <v>-86.671000000000049</v>
      </c>
      <c r="BI30" s="392">
        <f>BI18-BC18</f>
        <v>33.492000000000189</v>
      </c>
      <c r="BJ30" s="389"/>
      <c r="BK30" s="393">
        <f>BK18-BI18</f>
        <v>7.4230000000000018</v>
      </c>
      <c r="BL30" s="391">
        <f t="shared" si="65"/>
        <v>36.717999999999847</v>
      </c>
      <c r="BM30" s="391">
        <f t="shared" si="65"/>
        <v>21.167999999999893</v>
      </c>
      <c r="BN30" s="391">
        <f t="shared" si="66"/>
        <v>678.24</v>
      </c>
      <c r="BO30" s="392">
        <f>BO18-BI18</f>
        <v>743.54899999999975</v>
      </c>
      <c r="BP30" s="389"/>
      <c r="BQ30" s="393">
        <f>BQ18-BO18</f>
        <v>-75</v>
      </c>
      <c r="BR30" s="391">
        <f t="shared" si="67"/>
        <v>118.40000000000009</v>
      </c>
      <c r="BS30" s="391">
        <f t="shared" si="67"/>
        <v>-50</v>
      </c>
      <c r="BT30" s="391">
        <f t="shared" si="67"/>
        <v>-150</v>
      </c>
      <c r="BU30" s="392">
        <f>BU18-BO18</f>
        <v>-156.59999999999991</v>
      </c>
      <c r="BV30" s="389"/>
      <c r="BW30" s="393">
        <f>BW18-BU18</f>
        <v>-100</v>
      </c>
      <c r="BX30" s="391">
        <f t="shared" si="68"/>
        <v>-100</v>
      </c>
      <c r="BY30" s="391">
        <f t="shared" si="68"/>
        <v>-100</v>
      </c>
      <c r="BZ30" s="391">
        <f t="shared" si="68"/>
        <v>0</v>
      </c>
      <c r="CA30" s="392">
        <f>CA18-BU18</f>
        <v>-300</v>
      </c>
      <c r="CB30" s="389"/>
      <c r="CC30" s="393">
        <f>CC18-CA18</f>
        <v>0</v>
      </c>
      <c r="CD30" s="391">
        <f t="shared" si="69"/>
        <v>0</v>
      </c>
      <c r="CE30" s="391">
        <f t="shared" si="70"/>
        <v>0</v>
      </c>
      <c r="CF30" s="391">
        <f t="shared" si="71"/>
        <v>-100</v>
      </c>
      <c r="CG30" s="392">
        <f>CG18-CA18</f>
        <v>-100</v>
      </c>
      <c r="CH30" s="389"/>
      <c r="CI30" s="393">
        <f>CI18-CG18</f>
        <v>-100</v>
      </c>
      <c r="CJ30" s="391">
        <f t="shared" si="72"/>
        <v>-100</v>
      </c>
      <c r="CK30" s="391">
        <f t="shared" si="73"/>
        <v>-100</v>
      </c>
      <c r="CL30" s="391">
        <f t="shared" si="74"/>
        <v>-161.79999999999995</v>
      </c>
      <c r="CM30" s="392">
        <f>CM18-CG18</f>
        <v>-461.79999999999995</v>
      </c>
    </row>
    <row r="31" spans="1:91" ht="12.75" customHeight="1">
      <c r="A31" s="394"/>
      <c r="B31" s="394"/>
      <c r="C31" s="394"/>
      <c r="D31" s="407"/>
      <c r="E31" s="407"/>
      <c r="F31" s="407"/>
      <c r="G31" s="438"/>
      <c r="H31" s="438"/>
      <c r="I31" s="438"/>
      <c r="J31" s="438"/>
      <c r="K31" s="438"/>
      <c r="L31" s="438"/>
      <c r="M31" s="438"/>
      <c r="N31" s="438"/>
      <c r="O31" s="438"/>
      <c r="P31" s="438"/>
      <c r="Q31" s="438"/>
      <c r="R31" s="438"/>
      <c r="S31" s="438"/>
      <c r="T31" s="438"/>
      <c r="U31" s="438"/>
      <c r="V31" s="438"/>
      <c r="W31" s="438"/>
      <c r="X31" s="438"/>
      <c r="Y31" s="438"/>
      <c r="Z31" s="438"/>
      <c r="AA31" s="438"/>
      <c r="AB31" s="438"/>
      <c r="AC31" s="438"/>
      <c r="AD31" s="448"/>
      <c r="AE31" s="461"/>
      <c r="AF31" s="407"/>
      <c r="AG31" s="408"/>
      <c r="AH31" s="407"/>
      <c r="AI31" s="407"/>
      <c r="AJ31" s="407"/>
      <c r="AK31" s="409"/>
      <c r="AL31" s="407"/>
      <c r="AM31" s="408"/>
      <c r="AN31" s="407"/>
      <c r="AO31" s="407"/>
      <c r="AP31" s="407"/>
      <c r="AQ31" s="409"/>
      <c r="AR31" s="407"/>
      <c r="AS31" s="408"/>
      <c r="AT31" s="407"/>
      <c r="AU31" s="407"/>
      <c r="AV31" s="407"/>
      <c r="AW31" s="409"/>
      <c r="AX31" s="407"/>
      <c r="AY31" s="408"/>
      <c r="AZ31" s="407"/>
      <c r="BA31" s="407"/>
      <c r="BB31" s="407"/>
      <c r="BC31" s="409"/>
      <c r="BD31" s="407"/>
      <c r="BE31" s="408"/>
      <c r="BF31" s="407"/>
      <c r="BG31" s="407"/>
      <c r="BH31" s="407"/>
      <c r="BI31" s="409"/>
      <c r="BJ31" s="407"/>
      <c r="BK31" s="408"/>
      <c r="BL31" s="407"/>
      <c r="BM31" s="407"/>
      <c r="BN31" s="407"/>
      <c r="BO31" s="409"/>
      <c r="BP31" s="407"/>
      <c r="BQ31" s="408"/>
      <c r="BR31" s="407"/>
      <c r="BS31" s="407"/>
      <c r="BT31" s="407"/>
      <c r="BU31" s="409"/>
      <c r="BV31" s="407"/>
      <c r="BW31" s="408"/>
      <c r="BX31" s="407"/>
      <c r="BY31" s="407"/>
      <c r="BZ31" s="407"/>
      <c r="CA31" s="409"/>
      <c r="CB31" s="407"/>
      <c r="CC31" s="408"/>
      <c r="CD31" s="407"/>
      <c r="CE31" s="407"/>
      <c r="CF31" s="407"/>
      <c r="CG31" s="409"/>
      <c r="CH31" s="407"/>
      <c r="CI31" s="408"/>
      <c r="CJ31" s="407"/>
      <c r="CK31" s="407"/>
      <c r="CL31" s="407"/>
      <c r="CM31" s="409"/>
    </row>
    <row r="32" spans="1:91" ht="12.75" customHeight="1">
      <c r="A32" s="410" t="s">
        <v>159</v>
      </c>
      <c r="B32" s="411"/>
      <c r="C32" s="411"/>
      <c r="D32" s="412"/>
      <c r="E32" s="412"/>
      <c r="F32" s="412"/>
      <c r="G32" s="380"/>
      <c r="H32" s="438"/>
      <c r="I32" s="438"/>
      <c r="J32" s="438"/>
      <c r="K32" s="438"/>
      <c r="L32" s="438"/>
      <c r="M32" s="380"/>
      <c r="N32" s="438"/>
      <c r="O32" s="380"/>
      <c r="P32" s="380"/>
      <c r="Q32" s="380"/>
      <c r="R32" s="380"/>
      <c r="S32" s="380"/>
      <c r="T32" s="439"/>
      <c r="U32" s="380"/>
      <c r="V32" s="380"/>
      <c r="W32" s="380"/>
      <c r="X32" s="380"/>
      <c r="Y32" s="380"/>
      <c r="Z32" s="439"/>
      <c r="AA32" s="380"/>
      <c r="AB32" s="380"/>
      <c r="AC32" s="380"/>
      <c r="AD32" s="447"/>
      <c r="AE32" s="462">
        <f>-SUMPRODUCT(AE10:AE14,$B$10:$B$14)/4</f>
        <v>-10.137559999999999</v>
      </c>
      <c r="AF32" s="412"/>
      <c r="AG32" s="413">
        <f>-SUMPRODUCT(AG10:AG14,$B$10:$B$14)/4</f>
        <v>-10.076157499999999</v>
      </c>
      <c r="AH32" s="414">
        <f>-SUMPRODUCT(AH10:AH14,$B$10:$B$14)/4</f>
        <v>-9.9473224999999985</v>
      </c>
      <c r="AI32" s="414">
        <f>-SUMPRODUCT(AI10:AI14,$B$10:$B$14)/4</f>
        <v>-10.121974999999999</v>
      </c>
      <c r="AJ32" s="414">
        <f>-SUMPRODUCT(AJ10:AJ14,$B$10:$B$14)/4</f>
        <v>-10.18022</v>
      </c>
      <c r="AK32" s="415">
        <f>SUM(AG32:AJ32)</f>
        <v>-40.325674999999997</v>
      </c>
      <c r="AL32" s="412"/>
      <c r="AM32" s="413">
        <f>-SUMPRODUCT(AM10:AM14,$B$10:$B$14)/4</f>
        <v>-10.680845</v>
      </c>
      <c r="AN32" s="414">
        <f>-SUMPRODUCT(AN10:AN14,$B$10:$B$14)/4</f>
        <v>-10.549547500000001</v>
      </c>
      <c r="AO32" s="414">
        <f>-SUMPRODUCT(AO10:AO14,$B$10:$B$14)/4</f>
        <v>-10.165355</v>
      </c>
      <c r="AP32" s="414">
        <f>-SUMPRODUCT(AP10:AP14,$B$10:$B$14)/4</f>
        <v>-8.7532449999999997</v>
      </c>
      <c r="AQ32" s="415">
        <f>SUM(AM32:AP32)</f>
        <v>-40.148992499999999</v>
      </c>
      <c r="AR32" s="412"/>
      <c r="AS32" s="413">
        <f>-SUMPRODUCT(AS10:AS14,$B$10:$B$14)/4</f>
        <v>-8.7239225000000005</v>
      </c>
      <c r="AT32" s="414">
        <f>-SUMPRODUCT(AT10:AT14,$B$10:$B$14)/4</f>
        <v>-8.5312474999999992</v>
      </c>
      <c r="AU32" s="414">
        <f>-SUMPRODUCT(AU10:AU14,$B$10:$B$14)/4</f>
        <v>-8.3378875000000008</v>
      </c>
      <c r="AV32" s="414">
        <f>-SUMPRODUCT(AV10:AV14,$B$10:$B$14)/4</f>
        <v>-9.4182525000000012</v>
      </c>
      <c r="AW32" s="415">
        <f>SUM(AS32:AV32)</f>
        <v>-35.011310000000002</v>
      </c>
      <c r="AX32" s="412"/>
      <c r="AY32" s="413">
        <f>-SUMPRODUCT(AY10:AY14,$B$10:$B$14)/4</f>
        <v>-9.2084925000000002</v>
      </c>
      <c r="AZ32" s="414">
        <f>-SUMPRODUCT(AZ10:AZ14,$B$10:$B$14)/4</f>
        <v>-9.0565700000000007</v>
      </c>
      <c r="BA32" s="414">
        <f>-SUMPRODUCT(BA10:BA14,$B$10:$B$14)/4</f>
        <v>-9.2798200000000008</v>
      </c>
      <c r="BB32" s="414">
        <f>-SUMPRODUCT(BB10:BB14,$B$10:$B$14)/4</f>
        <v>-9.172717500000001</v>
      </c>
      <c r="BC32" s="415">
        <f>SUM(AY32:BB32)</f>
        <v>-36.717600000000004</v>
      </c>
      <c r="BD32" s="412"/>
      <c r="BE32" s="413">
        <f>-SUMPRODUCT(BE10:BE14,$B$10:$B$14)/4</f>
        <v>-9.7811125000000008</v>
      </c>
      <c r="BF32" s="414">
        <f>-SUMPRODUCT(BF10:BF14,$B$10:$B$14)/4</f>
        <v>-9.4282324999999982</v>
      </c>
      <c r="BG32" s="414">
        <f>-SUMPRODUCT(BG10:BG14,$B$10:$B$14)/4</f>
        <v>-9.3343249999999998</v>
      </c>
      <c r="BH32" s="414">
        <f>-SUMPRODUCT(BH10:BH14,$B$10:$B$14)/4</f>
        <v>-8.8391565625000013</v>
      </c>
      <c r="BI32" s="415">
        <f>SUM(BE32:BH32)</f>
        <v>-37.3828265625</v>
      </c>
      <c r="BJ32" s="412"/>
      <c r="BK32" s="413">
        <f>-(SUMPRODUCT(BK10:BK14,$B$10:$B$14)/4)-1.5</f>
        <v>-10.38463625</v>
      </c>
      <c r="BL32" s="414">
        <f t="shared" ref="BL32:BN32" si="75">-(SUMPRODUCT(BL10:BL14,$B$10:$B$14)/4)-1.5</f>
        <v>-10.559587499999999</v>
      </c>
      <c r="BM32" s="414">
        <f t="shared" si="75"/>
        <v>-10.648753750000001</v>
      </c>
      <c r="BN32" s="414">
        <f t="shared" si="75"/>
        <v>-15.813786250000001</v>
      </c>
      <c r="BO32" s="415">
        <f>SUM(BK32:BN32)</f>
        <v>-47.406763750000003</v>
      </c>
      <c r="BP32" s="412"/>
      <c r="BQ32" s="413">
        <f>-(SUMPRODUCT(BQ10:BQ15,$B$10:$B$15)/4)-1.5</f>
        <v>-15.391911250000001</v>
      </c>
      <c r="BR32" s="414">
        <f t="shared" ref="BR32:BT32" si="76">-(SUMPRODUCT(BR10:BR14,$B$10:$B$14)/4)-1.5</f>
        <v>-13.985661250000001</v>
      </c>
      <c r="BS32" s="414">
        <f t="shared" si="76"/>
        <v>-13.704411250000001</v>
      </c>
      <c r="BT32" s="414">
        <f t="shared" si="76"/>
        <v>-12.860661250000001</v>
      </c>
      <c r="BU32" s="415">
        <f>SUM(BQ32:BT32)</f>
        <v>-55.942645000000006</v>
      </c>
      <c r="BV32" s="412"/>
      <c r="BW32" s="413">
        <f>-(SUMPRODUCT(BW10:BW14,$B$10:$B$14)/4)-1.5</f>
        <v>-12.298161250000001</v>
      </c>
      <c r="BX32" s="414">
        <f t="shared" ref="BX32:BZ32" si="77">-(SUMPRODUCT(BX10:BX14,$B$10:$B$14)/4)-1.5</f>
        <v>-11.735661250000001</v>
      </c>
      <c r="BY32" s="414">
        <f t="shared" si="77"/>
        <v>-11.173161250000001</v>
      </c>
      <c r="BZ32" s="414">
        <f t="shared" si="77"/>
        <v>-11.173161250000001</v>
      </c>
      <c r="CA32" s="415">
        <f>SUM(BW32:BZ32)</f>
        <v>-46.380145000000006</v>
      </c>
      <c r="CB32" s="412"/>
      <c r="CC32" s="413">
        <f>-(SUMPRODUCT(CC10:CC14,$B$10:$B$14)/4)-1.5</f>
        <v>-11.173161250000001</v>
      </c>
      <c r="CD32" s="414">
        <f t="shared" ref="CD32:CF32" si="78">-(SUMPRODUCT(CD10:CD14,$B$10:$B$14)/4)-1.5</f>
        <v>-11.173161250000001</v>
      </c>
      <c r="CE32" s="414">
        <f t="shared" si="78"/>
        <v>-11.173161250000001</v>
      </c>
      <c r="CF32" s="414">
        <f t="shared" si="78"/>
        <v>-10.704411250000001</v>
      </c>
      <c r="CG32" s="415">
        <f>SUM(CC32:CF32)</f>
        <v>-44.223895000000006</v>
      </c>
      <c r="CH32" s="412"/>
      <c r="CI32" s="413">
        <f>-(SUMPRODUCT(CI10:CI14,$B$10:$B$14)/4)-1.5</f>
        <v>-10.235661250000001</v>
      </c>
      <c r="CJ32" s="414">
        <f t="shared" ref="CJ32:CL32" si="79">-(SUMPRODUCT(CJ10:CJ14,$B$10:$B$14)/4)-1.5</f>
        <v>-9.7669112499999997</v>
      </c>
      <c r="CK32" s="414">
        <f t="shared" si="79"/>
        <v>-9.2981612499999997</v>
      </c>
      <c r="CL32" s="414">
        <f t="shared" si="79"/>
        <v>-8.5397237500000003</v>
      </c>
      <c r="CM32" s="415">
        <f>SUM(CI32:CL32)</f>
        <v>-37.840457499999999</v>
      </c>
    </row>
    <row r="33" spans="1:91" ht="12.75" customHeight="1">
      <c r="A33" s="410" t="s">
        <v>160</v>
      </c>
      <c r="B33" s="411"/>
      <c r="C33" s="411"/>
      <c r="D33" s="782"/>
      <c r="E33" s="782"/>
      <c r="F33" s="782"/>
      <c r="G33" s="386"/>
      <c r="H33" s="386"/>
      <c r="I33" s="386"/>
      <c r="J33" s="386"/>
      <c r="K33" s="386"/>
      <c r="L33" s="386"/>
      <c r="M33" s="386"/>
      <c r="N33" s="386"/>
      <c r="O33" s="386"/>
      <c r="P33" s="386"/>
      <c r="Q33" s="386"/>
      <c r="R33" s="386"/>
      <c r="S33" s="386"/>
      <c r="T33" s="386"/>
      <c r="U33" s="386"/>
      <c r="V33" s="386"/>
      <c r="W33" s="386"/>
      <c r="X33" s="386"/>
      <c r="Y33" s="386"/>
      <c r="Z33" s="386"/>
      <c r="AA33" s="386"/>
      <c r="AB33" s="386"/>
      <c r="AC33" s="386"/>
      <c r="AD33" s="444"/>
      <c r="AE33" s="783">
        <f>-IS!AE27</f>
        <v>-24.783000000000001</v>
      </c>
      <c r="AF33" s="782"/>
      <c r="AG33" s="784">
        <f>-IS!AG27</f>
        <v>-11.436999999999999</v>
      </c>
      <c r="AH33" s="782">
        <f>-IS!AH27</f>
        <v>-11.339</v>
      </c>
      <c r="AI33" s="782">
        <f>-IS!AI27</f>
        <v>-11.36</v>
      </c>
      <c r="AJ33" s="782">
        <f>-IS!AJ27</f>
        <v>-11.651</v>
      </c>
      <c r="AK33" s="785">
        <f>-IS!AK27</f>
        <v>-45.786999999999992</v>
      </c>
      <c r="AL33" s="782"/>
      <c r="AM33" s="784">
        <f>-IS!AM27</f>
        <v>-11.693</v>
      </c>
      <c r="AN33" s="782">
        <f>-IS!AN27</f>
        <v>-11.913</v>
      </c>
      <c r="AO33" s="782">
        <f>-IS!AO27</f>
        <v>-11.704000000000001</v>
      </c>
      <c r="AP33" s="782">
        <f>-IS!AP27</f>
        <v>-14.614000000000001</v>
      </c>
      <c r="AQ33" s="785">
        <f>-IS!AQ27</f>
        <v>-49.924000000000007</v>
      </c>
      <c r="AR33" s="782"/>
      <c r="AS33" s="784">
        <f>-IS!AS27</f>
        <v>-9.2189999999999994</v>
      </c>
      <c r="AT33" s="782">
        <f>-IS!AT27</f>
        <v>-9.0790000000000006</v>
      </c>
      <c r="AU33" s="782">
        <f>-IS!AU27</f>
        <v>-8.9090000000000007</v>
      </c>
      <c r="AV33" s="782">
        <f>-IS!AV27</f>
        <v>-9.0630000000000006</v>
      </c>
      <c r="AW33" s="785">
        <f>-IS!AW27</f>
        <v>-36.270000000000003</v>
      </c>
      <c r="AX33" s="782"/>
      <c r="AY33" s="784">
        <f>-IS!AY27</f>
        <v>-9.3879999999999999</v>
      </c>
      <c r="AZ33" s="782">
        <f>-IS!AZ27</f>
        <v>-9.3019999999999996</v>
      </c>
      <c r="BA33" s="782">
        <f>-IS!BA27</f>
        <v>-9.8740000000000006</v>
      </c>
      <c r="BB33" s="782">
        <f>-IS!BB27</f>
        <v>-9.4329999999999998</v>
      </c>
      <c r="BC33" s="785">
        <f>-IS!BC27</f>
        <v>-37.997</v>
      </c>
      <c r="BD33" s="782"/>
      <c r="BE33" s="784">
        <f>-IS!BE27</f>
        <v>-9.8409999999999993</v>
      </c>
      <c r="BF33" s="782">
        <f>-IS!BF27</f>
        <v>-9.9390000000000001</v>
      </c>
      <c r="BG33" s="782">
        <f>-IS!BG27</f>
        <v>-10.997999999999999</v>
      </c>
      <c r="BH33" s="782">
        <f>-IS!BH27</f>
        <v>-10.75</v>
      </c>
      <c r="BI33" s="785">
        <f>-IS!BI27</f>
        <v>-41.527999999999999</v>
      </c>
      <c r="BJ33" s="782"/>
      <c r="BK33" s="784">
        <f>-IS!BK27</f>
        <v>-10.864000000000001</v>
      </c>
      <c r="BL33" s="782">
        <f>-IS!BL27</f>
        <v>-10.672000000000001</v>
      </c>
      <c r="BM33" s="782">
        <f>-IS!BM27</f>
        <v>-10.974</v>
      </c>
      <c r="BN33" s="782">
        <f>-IS!BN27</f>
        <v>-11.43</v>
      </c>
      <c r="BO33" s="785">
        <f>-IS!BO27</f>
        <v>-43.940000000000005</v>
      </c>
      <c r="BP33" s="782"/>
      <c r="BQ33" s="784">
        <f>-IS!BQ27</f>
        <v>-15.391911250000001</v>
      </c>
      <c r="BR33" s="782">
        <f>-IS!BR27</f>
        <v>-13.985661250000001</v>
      </c>
      <c r="BS33" s="782">
        <f>-IS!BS27</f>
        <v>-13.704411250000001</v>
      </c>
      <c r="BT33" s="782">
        <f>-IS!BT27</f>
        <v>-12.860661250000001</v>
      </c>
      <c r="BU33" s="785">
        <f>-IS!BU27</f>
        <v>-55.942645000000006</v>
      </c>
      <c r="BV33" s="782"/>
      <c r="BW33" s="784">
        <f>-IS!BW27</f>
        <v>-12.298161250000001</v>
      </c>
      <c r="BX33" s="782">
        <f>-IS!BX27</f>
        <v>-11.735661250000001</v>
      </c>
      <c r="BY33" s="782">
        <f>-IS!BY27</f>
        <v>-11.173161250000001</v>
      </c>
      <c r="BZ33" s="782">
        <f>-IS!BZ27</f>
        <v>-11.173161250000001</v>
      </c>
      <c r="CA33" s="785">
        <f>-IS!CA27</f>
        <v>-46.380145000000006</v>
      </c>
      <c r="CB33" s="782"/>
      <c r="CC33" s="784">
        <f>-IS!CC27</f>
        <v>-11.173161250000001</v>
      </c>
      <c r="CD33" s="782">
        <f>-IS!CD27</f>
        <v>-11.173161250000001</v>
      </c>
      <c r="CE33" s="782">
        <f>-IS!CE27</f>
        <v>-11.173161250000001</v>
      </c>
      <c r="CF33" s="782">
        <f>-IS!CF27</f>
        <v>-10.704411250000001</v>
      </c>
      <c r="CG33" s="785">
        <f>-IS!CG27</f>
        <v>-44.223895000000006</v>
      </c>
      <c r="CH33" s="782"/>
      <c r="CI33" s="784">
        <f>-IS!CI27</f>
        <v>-10.235661250000001</v>
      </c>
      <c r="CJ33" s="782">
        <f>-IS!CJ27</f>
        <v>-9.7669112499999997</v>
      </c>
      <c r="CK33" s="782">
        <f>-IS!CK27</f>
        <v>-9.2981612499999997</v>
      </c>
      <c r="CL33" s="782">
        <f>-IS!CL27</f>
        <v>-8.5397237500000003</v>
      </c>
      <c r="CM33" s="785">
        <f>-IS!CM27</f>
        <v>-37.840457499999999</v>
      </c>
    </row>
    <row r="34" spans="1:91" ht="12.75" customHeight="1">
      <c r="A34" s="228"/>
      <c r="B34" s="228"/>
      <c r="C34" s="228"/>
      <c r="D34" s="228"/>
      <c r="E34" s="228"/>
      <c r="F34" s="228"/>
      <c r="G34" s="353"/>
      <c r="H34" s="353"/>
      <c r="I34" s="353"/>
      <c r="J34" s="353"/>
      <c r="K34" s="353"/>
      <c r="L34" s="353"/>
      <c r="M34" s="353"/>
      <c r="N34" s="353"/>
      <c r="O34" s="353"/>
      <c r="P34" s="353"/>
      <c r="Q34" s="353"/>
      <c r="R34" s="353"/>
      <c r="S34" s="353"/>
      <c r="T34" s="353"/>
      <c r="U34" s="353"/>
      <c r="V34" s="353"/>
      <c r="W34" s="353"/>
      <c r="X34" s="353"/>
      <c r="Y34" s="353"/>
      <c r="Z34" s="353"/>
      <c r="AA34" s="353"/>
      <c r="AB34" s="353"/>
      <c r="AC34" s="353"/>
      <c r="AD34" s="452"/>
      <c r="AE34" s="463"/>
      <c r="AF34" s="226"/>
      <c r="AG34" s="226"/>
      <c r="AH34" s="226"/>
      <c r="AI34" s="226"/>
      <c r="AJ34" s="226"/>
      <c r="AK34" s="226"/>
      <c r="AL34" s="226"/>
      <c r="AM34" s="226"/>
      <c r="AN34" s="226"/>
      <c r="AO34" s="226"/>
      <c r="AP34" s="226"/>
      <c r="AQ34" s="226"/>
      <c r="AR34" s="226"/>
      <c r="AS34" s="226"/>
      <c r="AT34" s="226"/>
      <c r="AU34" s="226"/>
      <c r="AV34" s="226"/>
      <c r="AW34" s="226"/>
      <c r="AX34" s="226"/>
      <c r="AY34" s="226"/>
      <c r="AZ34" s="226"/>
      <c r="BA34" s="226"/>
      <c r="BB34" s="226"/>
      <c r="BC34" s="226"/>
      <c r="BD34" s="226"/>
      <c r="BE34" s="226"/>
      <c r="BF34" s="226"/>
      <c r="BG34" s="226"/>
      <c r="BH34" s="226"/>
      <c r="BI34" s="226"/>
      <c r="BJ34" s="226"/>
      <c r="BK34" s="226"/>
      <c r="BL34" s="226"/>
      <c r="BM34" s="226"/>
      <c r="BN34" s="226"/>
      <c r="BO34" s="226"/>
      <c r="BP34" s="226"/>
      <c r="BQ34" s="226"/>
      <c r="BR34" s="226"/>
      <c r="BS34" s="226"/>
      <c r="BT34" s="226"/>
      <c r="BU34" s="226"/>
      <c r="BV34" s="226"/>
      <c r="BW34" s="226"/>
      <c r="BX34" s="226"/>
      <c r="BY34" s="226"/>
      <c r="BZ34" s="226"/>
      <c r="CA34" s="226"/>
      <c r="CB34" s="226"/>
      <c r="CC34" s="226"/>
      <c r="CD34" s="226"/>
      <c r="CE34" s="226"/>
      <c r="CF34" s="226"/>
      <c r="CG34" s="226"/>
      <c r="CH34" s="226"/>
      <c r="CI34" s="226"/>
      <c r="CJ34" s="226"/>
      <c r="CK34" s="226"/>
      <c r="CL34" s="226"/>
      <c r="CM34" s="226"/>
    </row>
    <row r="35" spans="1:91" ht="12.75" customHeight="1">
      <c r="A35" s="416" t="s">
        <v>161</v>
      </c>
      <c r="B35" s="417"/>
      <c r="C35" s="417"/>
      <c r="D35" s="786"/>
      <c r="E35" s="786"/>
      <c r="F35" s="786"/>
      <c r="G35" s="787"/>
      <c r="H35" s="788"/>
      <c r="I35" s="788"/>
      <c r="J35" s="788"/>
      <c r="K35" s="788"/>
      <c r="L35" s="788"/>
      <c r="M35" s="787"/>
      <c r="N35" s="788"/>
      <c r="O35" s="787"/>
      <c r="P35" s="787"/>
      <c r="Q35" s="787"/>
      <c r="R35" s="787"/>
      <c r="S35" s="787"/>
      <c r="T35" s="788"/>
      <c r="U35" s="787"/>
      <c r="V35" s="787"/>
      <c r="W35" s="787"/>
      <c r="X35" s="787"/>
      <c r="Y35" s="787"/>
      <c r="Z35" s="788"/>
      <c r="AA35" s="787"/>
      <c r="AB35" s="787"/>
      <c r="AC35" s="787"/>
      <c r="AD35" s="789"/>
      <c r="AE35" s="790">
        <f>BS!Y10</f>
        <v>420.08600000000001</v>
      </c>
      <c r="AF35" s="791"/>
      <c r="AG35" s="792">
        <f>BS!AD10</f>
        <v>142.34200000000004</v>
      </c>
      <c r="AH35" s="793">
        <f>BS!AG10</f>
        <v>144.75700000000001</v>
      </c>
      <c r="AI35" s="793">
        <f>BS!AH10</f>
        <v>171.40299999999999</v>
      </c>
      <c r="AJ35" s="794">
        <f>BS!AI10</f>
        <v>170.828</v>
      </c>
      <c r="AK35" s="790">
        <f>AG35</f>
        <v>142.34200000000004</v>
      </c>
      <c r="AL35" s="791"/>
      <c r="AM35" s="792">
        <f>BS!AJ10</f>
        <v>171.44399999999999</v>
      </c>
      <c r="AN35" s="793">
        <f>BS!AM10</f>
        <v>125.871</v>
      </c>
      <c r="AO35" s="793">
        <f>BS!AN10</f>
        <v>112.47</v>
      </c>
      <c r="AP35" s="794">
        <f>BS!AO10</f>
        <v>132.303</v>
      </c>
      <c r="AQ35" s="790">
        <f>AM35</f>
        <v>171.44399999999999</v>
      </c>
      <c r="AR35" s="791"/>
      <c r="AS35" s="792">
        <f>BS!AP10</f>
        <v>173.24199999999999</v>
      </c>
      <c r="AT35" s="793">
        <f>BS!AS10</f>
        <v>224.113</v>
      </c>
      <c r="AU35" s="793">
        <f>BS!AT10</f>
        <v>205.25800000000001</v>
      </c>
      <c r="AV35" s="793">
        <f>BS!AU10</f>
        <v>203.68299999999999</v>
      </c>
      <c r="AW35" s="790">
        <f>AS35</f>
        <v>173.24199999999999</v>
      </c>
      <c r="AX35" s="791"/>
      <c r="AY35" s="792">
        <f>BS!AV10</f>
        <v>174.821</v>
      </c>
      <c r="AZ35" s="793">
        <f>BS!AY10</f>
        <v>168.92400000000001</v>
      </c>
      <c r="BA35" s="793">
        <f>BS!AZ10</f>
        <v>192.17</v>
      </c>
      <c r="BB35" s="793">
        <f>BS!BA10</f>
        <v>195.066</v>
      </c>
      <c r="BC35" s="790">
        <f>AY35</f>
        <v>174.821</v>
      </c>
      <c r="BD35" s="791"/>
      <c r="BE35" s="792">
        <f>BS!BB10</f>
        <v>237.93199999999999</v>
      </c>
      <c r="BF35" s="793">
        <f>BS!BE10</f>
        <v>210.73099999999999</v>
      </c>
      <c r="BG35" s="793">
        <f>BS!BF10</f>
        <v>248.083</v>
      </c>
      <c r="BH35" s="793">
        <f>BS!BG10</f>
        <v>311.66300000000001</v>
      </c>
      <c r="BI35" s="790">
        <f>BE35</f>
        <v>237.93199999999999</v>
      </c>
      <c r="BJ35" s="791"/>
      <c r="BK35" s="792">
        <f>BS!BH10</f>
        <v>359.26499999999999</v>
      </c>
      <c r="BL35" s="793">
        <f>BS!BK10</f>
        <v>288.32900000000001</v>
      </c>
      <c r="BM35" s="793">
        <f>BS!BL10</f>
        <v>616.30799999999999</v>
      </c>
      <c r="BN35" s="794">
        <f>BS!BM10</f>
        <v>709.48800000000006</v>
      </c>
      <c r="BO35" s="790">
        <f>BK35</f>
        <v>359.26499999999999</v>
      </c>
      <c r="BP35" s="791"/>
      <c r="BQ35" s="792">
        <f>BS!BN10</f>
        <v>202.13399999999999</v>
      </c>
      <c r="BR35" s="793">
        <f>BS!BQ10</f>
        <v>255.20448090663058</v>
      </c>
      <c r="BS35" s="793">
        <f>BS!BR10</f>
        <v>430.69340058408403</v>
      </c>
      <c r="BT35" s="794">
        <f>BS!BS10</f>
        <v>485.50787212989223</v>
      </c>
      <c r="BU35" s="790">
        <f>BQ35</f>
        <v>202.13399999999999</v>
      </c>
      <c r="BV35" s="791"/>
      <c r="BW35" s="792">
        <f>BS!BT10</f>
        <v>452.65784870023589</v>
      </c>
      <c r="BX35" s="793">
        <f>BS!BW10</f>
        <v>424.42425199596994</v>
      </c>
      <c r="BY35" s="793">
        <f>BS!BX10</f>
        <v>377.46428275559299</v>
      </c>
      <c r="BZ35" s="794">
        <f>BS!BY10</f>
        <v>386.91606490056881</v>
      </c>
      <c r="CA35" s="790">
        <f>BW35</f>
        <v>452.65784870023589</v>
      </c>
      <c r="CB35" s="791"/>
      <c r="CC35" s="792">
        <f>BS!BZ10</f>
        <v>502.35963436609313</v>
      </c>
      <c r="CD35" s="793">
        <f>BS!CC10</f>
        <v>598.9721282458911</v>
      </c>
      <c r="CE35" s="793">
        <f>BS!CD10</f>
        <v>679.95017940829098</v>
      </c>
      <c r="CF35" s="794">
        <f>BS!CE10</f>
        <v>827.31103714077506</v>
      </c>
      <c r="CG35" s="790">
        <f>CC35</f>
        <v>502.35963436609313</v>
      </c>
      <c r="CH35" s="791"/>
      <c r="CI35" s="792">
        <f>BS!CF10</f>
        <v>874.80801740136087</v>
      </c>
      <c r="CJ35" s="793">
        <f>BS!CI10</f>
        <v>919.19826955712983</v>
      </c>
      <c r="CK35" s="793">
        <f>BS!CJ10</f>
        <v>925.32758228587011</v>
      </c>
      <c r="CL35" s="794">
        <f>BS!CK10</f>
        <v>999.78557469135114</v>
      </c>
      <c r="CM35" s="790">
        <f>CI35</f>
        <v>874.80801740136087</v>
      </c>
    </row>
    <row r="36" spans="1:91" ht="12.75" customHeight="1">
      <c r="A36" s="418" t="s">
        <v>164</v>
      </c>
      <c r="B36" s="353"/>
      <c r="C36" s="353"/>
      <c r="D36" s="788"/>
      <c r="E36" s="788"/>
      <c r="F36" s="788"/>
      <c r="G36" s="787"/>
      <c r="H36" s="788"/>
      <c r="I36" s="788"/>
      <c r="J36" s="788"/>
      <c r="K36" s="788"/>
      <c r="L36" s="788"/>
      <c r="M36" s="787"/>
      <c r="N36" s="788"/>
      <c r="O36" s="787"/>
      <c r="P36" s="787"/>
      <c r="Q36" s="787"/>
      <c r="R36" s="787"/>
      <c r="S36" s="787"/>
      <c r="T36" s="788"/>
      <c r="U36" s="787"/>
      <c r="V36" s="787"/>
      <c r="W36" s="787"/>
      <c r="X36" s="787"/>
      <c r="Y36" s="787"/>
      <c r="Z36" s="788"/>
      <c r="AA36" s="787"/>
      <c r="AB36" s="787"/>
      <c r="AC36" s="787"/>
      <c r="AD36" s="789"/>
      <c r="AE36" s="795">
        <f>-IS!AE26</f>
        <v>1.8839999999999999</v>
      </c>
      <c r="AF36" s="796"/>
      <c r="AG36" s="797">
        <f>-IS!AG26</f>
        <v>0.21</v>
      </c>
      <c r="AH36" s="798">
        <f>-IS!AH26</f>
        <v>0.15</v>
      </c>
      <c r="AI36" s="798">
        <f>-IS!AI26</f>
        <v>7.3999999999999996E-2</v>
      </c>
      <c r="AJ36" s="798">
        <f>-IS!AJ26</f>
        <v>0.313</v>
      </c>
      <c r="AK36" s="419">
        <f>SUM(AG36:AJ36)</f>
        <v>0.747</v>
      </c>
      <c r="AL36" s="227"/>
      <c r="AM36" s="797">
        <f>-IS!AM26</f>
        <v>0.105</v>
      </c>
      <c r="AN36" s="798">
        <f>-IS!AN26</f>
        <v>6.4000000000000001E-2</v>
      </c>
      <c r="AO36" s="798">
        <f>-IS!AO26</f>
        <v>0.11899999999999999</v>
      </c>
      <c r="AP36" s="798">
        <f>-IS!AP26</f>
        <v>0.36199999999999999</v>
      </c>
      <c r="AQ36" s="419">
        <f>SUM(AM36:AP36)</f>
        <v>0.64999999999999991</v>
      </c>
      <c r="AR36" s="227"/>
      <c r="AS36" s="797">
        <f>-IS!AS26</f>
        <v>9.4E-2</v>
      </c>
      <c r="AT36" s="798">
        <f>-IS!AT26</f>
        <v>0.151</v>
      </c>
      <c r="AU36" s="798">
        <f>-IS!AU26</f>
        <v>0.13</v>
      </c>
      <c r="AV36" s="798">
        <f>-IS!AV26</f>
        <v>0.29199999999999998</v>
      </c>
      <c r="AW36" s="419">
        <f>SUM(AS36:AV36)</f>
        <v>0.66700000000000004</v>
      </c>
      <c r="AX36" s="227"/>
      <c r="AY36" s="797">
        <f>-IS!AY26</f>
        <v>0.20899999999999999</v>
      </c>
      <c r="AZ36" s="798">
        <f>-IS!AZ26</f>
        <v>0.13200000000000001</v>
      </c>
      <c r="BA36" s="798">
        <f>-IS!BA26</f>
        <v>0.14699999999999999</v>
      </c>
      <c r="BB36" s="798">
        <f>-IS!BB26</f>
        <v>0.185</v>
      </c>
      <c r="BC36" s="419">
        <f>SUM(AY36:BB36)</f>
        <v>0.67300000000000004</v>
      </c>
      <c r="BD36" s="227"/>
      <c r="BE36" s="797">
        <f>-IS!BE26</f>
        <v>0.11</v>
      </c>
      <c r="BF36" s="798">
        <f>-IS!BF26</f>
        <v>0.127</v>
      </c>
      <c r="BG36" s="798">
        <f>-IS!BG26</f>
        <v>0.124</v>
      </c>
      <c r="BH36" s="798">
        <f>-IS!BH26</f>
        <v>0.34100000000000003</v>
      </c>
      <c r="BI36" s="419">
        <f>SUM(BE36:BH36)</f>
        <v>0.70199999999999996</v>
      </c>
      <c r="BJ36" s="227"/>
      <c r="BK36" s="797">
        <f>-IS!BK26</f>
        <v>0.22</v>
      </c>
      <c r="BL36" s="798">
        <f>-IS!BL26</f>
        <v>0.49</v>
      </c>
      <c r="BM36" s="798">
        <f>-IS!BM26</f>
        <v>0.80200000000000005</v>
      </c>
      <c r="BN36" s="798">
        <f>-IS!BN26</f>
        <v>1.0589999999999999</v>
      </c>
      <c r="BO36" s="419">
        <f>SUM(BK36:BN36)</f>
        <v>2.5709999999999997</v>
      </c>
      <c r="BP36" s="227"/>
      <c r="BQ36" s="420">
        <f>BQ35*BQ37/4</f>
        <v>0.75800249999999991</v>
      </c>
      <c r="BR36" s="421">
        <f>BR35*BR37/4</f>
        <v>0.95701680339986461</v>
      </c>
      <c r="BS36" s="421">
        <f>BS35*BS37/4</f>
        <v>1.6151002521903151</v>
      </c>
      <c r="BT36" s="421">
        <f>BT35*BT37/4</f>
        <v>1.8206545204870959</v>
      </c>
      <c r="BU36" s="419">
        <f>SUM(BQ36:BT36)</f>
        <v>5.1507740760772762</v>
      </c>
      <c r="BV36" s="227"/>
      <c r="BW36" s="420">
        <f>BW35*BW37/4</f>
        <v>1.6974669326258844</v>
      </c>
      <c r="BX36" s="421">
        <f>BX35*BX37/4</f>
        <v>1.5915909449848873</v>
      </c>
      <c r="BY36" s="421">
        <f>BY35*BY37/4</f>
        <v>1.4154910603334736</v>
      </c>
      <c r="BZ36" s="421">
        <f>BZ35*BZ37/4</f>
        <v>1.450935243377133</v>
      </c>
      <c r="CA36" s="419">
        <f>SUM(BW36:BZ36)</f>
        <v>6.1554841813213788</v>
      </c>
      <c r="CB36" s="227"/>
      <c r="CC36" s="420">
        <f>CC35*CC37/4</f>
        <v>1.8838486288728491</v>
      </c>
      <c r="CD36" s="421">
        <f>CD35*CD37/4</f>
        <v>13.246498990053361</v>
      </c>
      <c r="CE36" s="421">
        <f>CE35*CE37/4</f>
        <v>15.037359736914128</v>
      </c>
      <c r="CF36" s="421">
        <f>CF35*CF37/4</f>
        <v>18.296301782920988</v>
      </c>
      <c r="CG36" s="419">
        <f>SUM(CC36:CF36)</f>
        <v>48.464009138761327</v>
      </c>
      <c r="CH36" s="227"/>
      <c r="CI36" s="420">
        <f>CI35*CI37/4</f>
        <v>19.346715769453173</v>
      </c>
      <c r="CJ36" s="421">
        <f>CJ35*CJ37/4</f>
        <v>3.4469935108392367</v>
      </c>
      <c r="CK36" s="421">
        <f>CK35*CK37/4</f>
        <v>3.4699784335720127</v>
      </c>
      <c r="CL36" s="421">
        <f>CL35*CL37/4</f>
        <v>3.7491959050925665</v>
      </c>
      <c r="CM36" s="419">
        <f>SUM(CI36:CL36)</f>
        <v>30.012883618956991</v>
      </c>
    </row>
    <row r="37" spans="1:91" ht="12.75" customHeight="1">
      <c r="A37" s="422" t="s">
        <v>165</v>
      </c>
      <c r="B37" s="423"/>
      <c r="C37" s="423"/>
      <c r="D37" s="423"/>
      <c r="E37" s="423"/>
      <c r="F37" s="423"/>
      <c r="G37" s="454"/>
      <c r="H37" s="353"/>
      <c r="I37" s="353"/>
      <c r="J37" s="353"/>
      <c r="K37" s="353"/>
      <c r="L37" s="353"/>
      <c r="M37" s="454"/>
      <c r="N37" s="353"/>
      <c r="O37" s="454"/>
      <c r="P37" s="453"/>
      <c r="Q37" s="453"/>
      <c r="R37" s="456"/>
      <c r="S37" s="453"/>
      <c r="T37" s="353"/>
      <c r="U37" s="454"/>
      <c r="V37" s="453"/>
      <c r="W37" s="453"/>
      <c r="X37" s="454"/>
      <c r="Y37" s="453"/>
      <c r="Z37" s="353"/>
      <c r="AA37" s="454"/>
      <c r="AB37" s="453"/>
      <c r="AC37" s="453"/>
      <c r="AD37" s="455"/>
      <c r="AE37" s="427">
        <f>AE36/AE35</f>
        <v>4.4847959703489286E-3</v>
      </c>
      <c r="AF37" s="424"/>
      <c r="AG37" s="425">
        <f>(AG36*4)/AG35</f>
        <v>5.9012800157367444E-3</v>
      </c>
      <c r="AH37" s="426">
        <f>(AH36*4)/AH35</f>
        <v>4.1448772770919535E-3</v>
      </c>
      <c r="AI37" s="426">
        <f>(AI36*4)/AI35</f>
        <v>1.7269242662030419E-3</v>
      </c>
      <c r="AJ37" s="840">
        <f>(AJ36*4)/AJ35</f>
        <v>7.3290092958999695E-3</v>
      </c>
      <c r="AK37" s="427">
        <f>AK36/AK35</f>
        <v>5.2479240139944629E-3</v>
      </c>
      <c r="AL37" s="424"/>
      <c r="AM37" s="425">
        <f>(AM36*4)/AM35</f>
        <v>2.4497795198432141E-3</v>
      </c>
      <c r="AN37" s="426">
        <f>(AN36*4)/AN35</f>
        <v>2.0338282845135101E-3</v>
      </c>
      <c r="AO37" s="426">
        <f>(AO36*4)/AO35</f>
        <v>4.2322397083666757E-3</v>
      </c>
      <c r="AP37" s="426">
        <f>(AP36*4)/AP35</f>
        <v>1.0944574197108153E-2</v>
      </c>
      <c r="AQ37" s="427">
        <f>AQ36/AQ35</f>
        <v>3.7913254473764023E-3</v>
      </c>
      <c r="AR37" s="424"/>
      <c r="AS37" s="425">
        <f>(AS36*4)/AS35</f>
        <v>2.170374389582203E-3</v>
      </c>
      <c r="AT37" s="426">
        <f>(AT36*4)/AT35</f>
        <v>2.6950690053678277E-3</v>
      </c>
      <c r="AU37" s="426">
        <f>(AU36*4)/AU35</f>
        <v>2.533396993052646E-3</v>
      </c>
      <c r="AV37" s="426">
        <f>(AV36*4)/AV35</f>
        <v>5.7344010054840118E-3</v>
      </c>
      <c r="AW37" s="427">
        <f>AW36/AW35</f>
        <v>3.8501056325833233E-3</v>
      </c>
      <c r="AX37" s="424"/>
      <c r="AY37" s="425">
        <f>(AY36*4)/AY35</f>
        <v>4.7820341949765758E-3</v>
      </c>
      <c r="AZ37" s="426">
        <f>(AZ36*4)/AZ35</f>
        <v>3.1256659799673227E-3</v>
      </c>
      <c r="BA37" s="426">
        <f>(BA36*4)/BA35</f>
        <v>3.0597908102201177E-3</v>
      </c>
      <c r="BB37" s="426">
        <f>(BB36*4)/BB35</f>
        <v>3.7935878113048915E-3</v>
      </c>
      <c r="BC37" s="427">
        <f>BC36/BC35</f>
        <v>3.8496519296880812E-3</v>
      </c>
      <c r="BD37" s="424"/>
      <c r="BE37" s="425">
        <f>(BE36*4)/BE35</f>
        <v>1.8492678580434747E-3</v>
      </c>
      <c r="BF37" s="426">
        <f>(BF36*4)/BF35</f>
        <v>2.4106562394711744E-3</v>
      </c>
      <c r="BG37" s="426">
        <f>(BG36*4)/BG35</f>
        <v>1.9993308691042917E-3</v>
      </c>
      <c r="BH37" s="426">
        <f>(BH36*4)/BH35</f>
        <v>4.3765220767303147E-3</v>
      </c>
      <c r="BI37" s="427">
        <f>BI36/BI35</f>
        <v>2.9504228098784528E-3</v>
      </c>
      <c r="BJ37" s="424"/>
      <c r="BK37" s="425">
        <f>(BK36*4)/BK35</f>
        <v>2.4494453954601756E-3</v>
      </c>
      <c r="BL37" s="426">
        <f>(BL36*4)/BL35</f>
        <v>6.7977900245899643E-3</v>
      </c>
      <c r="BM37" s="426">
        <f>(BM36*4)/BM35</f>
        <v>5.205189612985715E-3</v>
      </c>
      <c r="BN37" s="426">
        <f>(BN36*4)/BN35</f>
        <v>5.9705026723496368E-3</v>
      </c>
      <c r="BO37" s="427">
        <f>BO36/BO35</f>
        <v>7.1562773996910354E-3</v>
      </c>
      <c r="BP37" s="424"/>
      <c r="BQ37" s="467">
        <v>1.4999999999999999E-2</v>
      </c>
      <c r="BR37" s="468">
        <v>1.4999999999999999E-2</v>
      </c>
      <c r="BS37" s="468">
        <v>1.4999999999999999E-2</v>
      </c>
      <c r="BT37" s="468">
        <v>1.4999999999999999E-2</v>
      </c>
      <c r="BU37" s="427">
        <f>BU36/BU35</f>
        <v>2.548197767855619E-2</v>
      </c>
      <c r="BV37" s="424"/>
      <c r="BW37" s="467">
        <v>1.4999999999999999E-2</v>
      </c>
      <c r="BX37" s="468">
        <v>1.4999999999999999E-2</v>
      </c>
      <c r="BY37" s="468">
        <v>1.4999999999999999E-2</v>
      </c>
      <c r="BZ37" s="468">
        <v>1.4999999999999999E-2</v>
      </c>
      <c r="CA37" s="427">
        <f>CA36/CA35</f>
        <v>1.3598536287388517E-2</v>
      </c>
      <c r="CB37" s="424"/>
      <c r="CC37" s="467">
        <v>1.4999999999999999E-2</v>
      </c>
      <c r="CD37" s="468">
        <v>8.8461538461538466E-2</v>
      </c>
      <c r="CE37" s="468">
        <v>8.8461538461538466E-2</v>
      </c>
      <c r="CF37" s="468">
        <v>8.8461538461538466E-2</v>
      </c>
      <c r="CG37" s="427">
        <f>CG36/CG35</f>
        <v>9.6472737503912026E-2</v>
      </c>
      <c r="CH37" s="424"/>
      <c r="CI37" s="467">
        <v>8.8461538461538466E-2</v>
      </c>
      <c r="CJ37" s="468">
        <v>1.4999999999999999E-2</v>
      </c>
      <c r="CK37" s="468">
        <v>1.4999999999999999E-2</v>
      </c>
      <c r="CL37" s="468">
        <v>1.4999999999999999E-2</v>
      </c>
      <c r="CM37" s="427">
        <f>CM36/CM35</f>
        <v>3.430796588731664E-2</v>
      </c>
    </row>
    <row r="38" spans="1:91">
      <c r="A38" s="211"/>
      <c r="B38" s="211"/>
      <c r="C38" s="211"/>
      <c r="D38" s="211"/>
      <c r="E38" s="211"/>
      <c r="F38" s="211"/>
      <c r="G38" s="168"/>
      <c r="H38" s="168"/>
      <c r="I38" s="168"/>
      <c r="J38" s="168"/>
      <c r="K38" s="168"/>
      <c r="L38" s="168"/>
      <c r="M38" s="168"/>
      <c r="N38" s="168"/>
      <c r="O38" s="168"/>
      <c r="P38" s="168"/>
      <c r="Q38" s="168"/>
      <c r="R38" s="168"/>
      <c r="S38" s="168"/>
      <c r="T38" s="168"/>
      <c r="U38" s="168"/>
      <c r="V38" s="168"/>
      <c r="W38" s="168"/>
      <c r="X38" s="168"/>
      <c r="Y38" s="168"/>
      <c r="Z38" s="168"/>
      <c r="AA38" s="168"/>
      <c r="AB38" s="168"/>
      <c r="AC38" s="168"/>
      <c r="AD38" s="168"/>
    </row>
    <row r="39" spans="1:91" ht="12.75" customHeight="1">
      <c r="A39" s="428"/>
      <c r="B39" s="429"/>
      <c r="C39" s="429"/>
      <c r="D39" s="430"/>
      <c r="E39" s="430"/>
      <c r="F39" s="430"/>
      <c r="G39" s="431"/>
      <c r="H39" s="432"/>
      <c r="I39" s="432"/>
      <c r="J39" s="432"/>
      <c r="K39" s="432"/>
      <c r="L39" s="432"/>
      <c r="M39" s="431"/>
      <c r="N39" s="432"/>
      <c r="O39" s="431"/>
      <c r="P39" s="431"/>
      <c r="Q39" s="431"/>
      <c r="R39" s="431"/>
      <c r="S39" s="431"/>
      <c r="T39" s="432"/>
      <c r="U39" s="431"/>
      <c r="V39" s="431"/>
      <c r="W39" s="431"/>
      <c r="X39" s="431"/>
      <c r="Y39" s="431"/>
      <c r="Z39" s="432"/>
      <c r="AA39" s="431"/>
      <c r="AB39" s="431"/>
      <c r="AC39" s="431"/>
      <c r="AD39" s="431"/>
      <c r="AE39" s="431"/>
      <c r="AF39" s="432"/>
      <c r="AG39" s="431"/>
      <c r="AH39" s="431"/>
      <c r="AI39" s="431"/>
      <c r="AJ39" s="431"/>
      <c r="AK39" s="431"/>
      <c r="AL39" s="430"/>
      <c r="AM39" s="1364"/>
      <c r="AN39" s="431"/>
      <c r="AO39" s="431"/>
      <c r="AP39" s="431"/>
      <c r="AQ39" s="431"/>
      <c r="AR39" s="430"/>
      <c r="AS39" s="1365"/>
      <c r="AT39" s="431"/>
      <c r="AU39" s="431"/>
      <c r="AV39" s="431"/>
      <c r="AW39" s="431"/>
      <c r="AX39" s="430"/>
      <c r="AY39" s="431"/>
      <c r="AZ39" s="431"/>
      <c r="BA39" s="431"/>
      <c r="BB39" s="431"/>
      <c r="BC39" s="431"/>
      <c r="BD39" s="430"/>
      <c r="BE39" s="431"/>
      <c r="BF39" s="431"/>
      <c r="BG39" s="431"/>
      <c r="BH39" s="431"/>
      <c r="BI39" s="431"/>
      <c r="BJ39" s="430"/>
      <c r="BK39" s="431"/>
      <c r="BL39" s="431"/>
      <c r="BM39" s="431"/>
      <c r="BN39" s="431"/>
      <c r="BO39" s="431"/>
      <c r="BP39" s="430"/>
      <c r="BQ39" s="431"/>
      <c r="BR39" s="431"/>
      <c r="BS39" s="431"/>
      <c r="BT39" s="431"/>
      <c r="BU39" s="431"/>
      <c r="BV39" s="430"/>
      <c r="BW39" s="431"/>
      <c r="BX39" s="431"/>
      <c r="BY39" s="431"/>
      <c r="BZ39" s="431"/>
      <c r="CA39" s="431"/>
      <c r="CB39" s="430"/>
      <c r="CC39" s="431"/>
      <c r="CD39" s="431"/>
      <c r="CE39" s="431"/>
      <c r="CF39" s="431"/>
      <c r="CG39" s="431"/>
      <c r="CH39" s="430"/>
      <c r="CI39" s="431"/>
      <c r="CJ39" s="431"/>
      <c r="CK39" s="431"/>
      <c r="CL39" s="431"/>
      <c r="CM39" s="431"/>
    </row>
    <row r="40" spans="1:91" ht="12.75" hidden="1" customHeight="1" outlineLevel="1">
      <c r="A40" s="75" t="s">
        <v>132</v>
      </c>
      <c r="B40" s="99"/>
      <c r="C40" s="99"/>
      <c r="D40" s="99"/>
      <c r="E40" s="99"/>
      <c r="F40" s="99"/>
      <c r="G40" s="99"/>
      <c r="H40" s="99"/>
      <c r="I40" s="99"/>
      <c r="J40" s="99"/>
      <c r="K40" s="99"/>
      <c r="L40" s="76"/>
      <c r="M40" s="99"/>
      <c r="N40" s="99"/>
      <c r="O40" s="77"/>
      <c r="P40" s="77"/>
      <c r="Q40" s="77"/>
      <c r="R40" s="77"/>
      <c r="S40" s="76"/>
      <c r="T40" s="99"/>
      <c r="U40" s="76"/>
      <c r="V40" s="76"/>
      <c r="W40" s="76"/>
      <c r="X40" s="76"/>
      <c r="Y40" s="76"/>
      <c r="Z40" s="99"/>
      <c r="AA40" s="76"/>
      <c r="AB40" s="76"/>
      <c r="AC40" s="76"/>
      <c r="AD40" s="76"/>
      <c r="AE40" s="76"/>
      <c r="AF40" s="99"/>
      <c r="AG40" s="76"/>
      <c r="AH40" s="76"/>
      <c r="AI40" s="76"/>
      <c r="AJ40" s="76"/>
      <c r="AK40" s="76"/>
      <c r="AL40" s="99"/>
      <c r="AM40" s="76"/>
      <c r="AN40" s="76"/>
      <c r="AO40" s="76"/>
      <c r="AP40" s="76"/>
      <c r="AQ40" s="76"/>
      <c r="AR40" s="99"/>
      <c r="AS40" s="76"/>
      <c r="AT40" s="76"/>
      <c r="AU40" s="76"/>
      <c r="AV40" s="76"/>
      <c r="AW40" s="76"/>
      <c r="AX40" s="99"/>
      <c r="AY40" s="76"/>
      <c r="AZ40" s="76"/>
      <c r="BA40" s="76"/>
      <c r="BB40" s="76"/>
      <c r="BC40" s="76"/>
      <c r="BD40" s="99"/>
      <c r="BE40" s="76"/>
      <c r="BF40" s="76"/>
      <c r="BG40" s="76"/>
      <c r="BH40" s="76"/>
      <c r="BI40" s="76"/>
      <c r="BJ40" s="99"/>
      <c r="BK40" s="76"/>
      <c r="BL40" s="76"/>
      <c r="BM40" s="76"/>
      <c r="BN40" s="76"/>
      <c r="BO40" s="76"/>
      <c r="BP40" s="99"/>
      <c r="BQ40" s="76"/>
      <c r="BR40" s="76"/>
      <c r="BS40" s="76"/>
      <c r="BT40" s="76"/>
      <c r="BU40" s="76"/>
      <c r="BV40" s="99"/>
      <c r="BW40" s="76"/>
      <c r="BX40" s="76"/>
      <c r="BY40" s="76"/>
      <c r="BZ40" s="76"/>
      <c r="CA40" s="76"/>
      <c r="CB40" s="99"/>
      <c r="CC40" s="76"/>
      <c r="CD40" s="76"/>
      <c r="CE40" s="76"/>
      <c r="CF40" s="76"/>
      <c r="CG40" s="76"/>
      <c r="CH40" s="99"/>
      <c r="CI40" s="76"/>
      <c r="CJ40" s="76"/>
      <c r="CK40" s="76"/>
      <c r="CL40" s="76"/>
      <c r="CM40" s="76"/>
    </row>
    <row r="41" spans="1:91" s="211" customFormat="1" ht="12.75" hidden="1" customHeight="1" outlineLevel="1">
      <c r="A41" s="823" t="s">
        <v>253</v>
      </c>
      <c r="B41" s="824"/>
      <c r="C41" s="824"/>
      <c r="D41" s="824"/>
      <c r="E41" s="824"/>
      <c r="F41" s="824"/>
      <c r="G41" s="824"/>
      <c r="H41" s="824"/>
      <c r="I41" s="824"/>
      <c r="J41" s="824"/>
      <c r="K41" s="824"/>
      <c r="L41" s="557"/>
      <c r="M41" s="824"/>
      <c r="N41" s="824"/>
      <c r="O41" s="557"/>
      <c r="P41" s="557"/>
      <c r="Q41" s="557"/>
      <c r="R41" s="557"/>
      <c r="S41" s="557"/>
      <c r="T41" s="824"/>
      <c r="U41" s="557"/>
      <c r="V41" s="557"/>
      <c r="W41" s="557"/>
      <c r="X41" s="825">
        <f>X42+X43</f>
        <v>426.255</v>
      </c>
      <c r="Y41" s="80"/>
      <c r="Z41" s="824"/>
      <c r="AA41" s="825">
        <f>AA42+AA43</f>
        <v>424</v>
      </c>
      <c r="AB41" s="825">
        <f>AB42+AB43</f>
        <v>424</v>
      </c>
      <c r="AC41" s="825">
        <f>AC42+AC43</f>
        <v>424</v>
      </c>
      <c r="AD41" s="825">
        <f>AD42+AD43</f>
        <v>424</v>
      </c>
      <c r="AE41" s="825">
        <f>AE42+AE43</f>
        <v>424</v>
      </c>
      <c r="AF41" s="824"/>
      <c r="AG41" s="825">
        <f>AG42+AG43</f>
        <v>424</v>
      </c>
      <c r="AH41" s="825">
        <f>AH42+AH43</f>
        <v>424</v>
      </c>
      <c r="AI41" s="825">
        <f>AI42+AI43</f>
        <v>150</v>
      </c>
      <c r="AJ41" s="825">
        <f>AJ42+AJ43</f>
        <v>150</v>
      </c>
      <c r="AK41" s="825">
        <f>AK42+AK43</f>
        <v>424</v>
      </c>
      <c r="AL41" s="824"/>
      <c r="AM41" s="825">
        <f>AM42+AM43</f>
        <v>424</v>
      </c>
      <c r="AN41" s="825">
        <f>AN42+AN43</f>
        <v>424</v>
      </c>
      <c r="AO41" s="825">
        <f>AO42+AO43</f>
        <v>424</v>
      </c>
      <c r="AP41" s="825">
        <f>AP42+AP43</f>
        <v>424</v>
      </c>
      <c r="AQ41" s="825">
        <f>AQ42+AQ43</f>
        <v>424</v>
      </c>
      <c r="AR41" s="824"/>
      <c r="AS41" s="825">
        <f>AS42+AS43</f>
        <v>424</v>
      </c>
      <c r="AT41" s="825">
        <f>AT42+AT43</f>
        <v>424</v>
      </c>
      <c r="AU41" s="825">
        <f>AU42+AU43</f>
        <v>424</v>
      </c>
      <c r="AV41" s="825">
        <f>AV42+AV43</f>
        <v>424</v>
      </c>
      <c r="AW41" s="826">
        <f>AW42+AW43</f>
        <v>424</v>
      </c>
      <c r="AX41" s="824"/>
      <c r="AY41" s="825">
        <f>AY42+AY43</f>
        <v>424</v>
      </c>
      <c r="AZ41" s="825">
        <f>AZ42+AZ43</f>
        <v>424</v>
      </c>
      <c r="BA41" s="825">
        <f>BA42+BA43</f>
        <v>424</v>
      </c>
      <c r="BB41" s="825">
        <f>BB42+BB43</f>
        <v>424</v>
      </c>
      <c r="BC41" s="826">
        <f>BC42+BC43</f>
        <v>424</v>
      </c>
      <c r="BD41" s="824"/>
      <c r="BE41" s="825">
        <f>BE42+BE43</f>
        <v>424</v>
      </c>
      <c r="BF41" s="80"/>
      <c r="BG41" s="80"/>
      <c r="BH41" s="80"/>
      <c r="BI41" s="826">
        <f>BI42+BI43</f>
        <v>424</v>
      </c>
      <c r="BJ41" s="824"/>
      <c r="BK41" s="80"/>
      <c r="BL41" s="80"/>
      <c r="BM41" s="80"/>
      <c r="BN41" s="80"/>
      <c r="BO41" s="826">
        <f>BO42+BO43</f>
        <v>424</v>
      </c>
      <c r="BP41" s="824"/>
      <c r="BQ41" s="80"/>
      <c r="BR41" s="80"/>
      <c r="BS41" s="80"/>
      <c r="BT41" s="80"/>
      <c r="BU41" s="826">
        <f>BU42+BU43</f>
        <v>424</v>
      </c>
      <c r="BV41" s="824"/>
      <c r="BW41" s="80"/>
      <c r="BX41" s="80"/>
      <c r="BY41" s="80"/>
      <c r="BZ41" s="80"/>
      <c r="CA41" s="826">
        <f>CA42+CA43</f>
        <v>424</v>
      </c>
      <c r="CB41" s="824"/>
      <c r="CC41" s="80"/>
      <c r="CD41" s="80"/>
      <c r="CE41" s="80"/>
      <c r="CF41" s="80"/>
      <c r="CG41" s="826">
        <f>CG42+CG43</f>
        <v>424</v>
      </c>
      <c r="CH41" s="824"/>
      <c r="CI41" s="80"/>
      <c r="CJ41" s="80"/>
      <c r="CK41" s="80"/>
      <c r="CL41" s="80"/>
      <c r="CM41" s="826">
        <f>CM42+CM43</f>
        <v>424</v>
      </c>
    </row>
    <row r="42" spans="1:91" s="211" customFormat="1" ht="12.75" hidden="1" customHeight="1" outlineLevel="1">
      <c r="A42" s="67" t="s">
        <v>324</v>
      </c>
      <c r="B42" s="66"/>
      <c r="C42" s="66"/>
      <c r="D42" s="66"/>
      <c r="E42" s="66"/>
      <c r="F42" s="66"/>
      <c r="G42" s="66"/>
      <c r="H42" s="66"/>
      <c r="I42" s="66"/>
      <c r="J42" s="66"/>
      <c r="K42" s="66"/>
      <c r="L42" s="78"/>
      <c r="M42" s="66"/>
      <c r="N42" s="66"/>
      <c r="O42" s="66"/>
      <c r="P42" s="66"/>
      <c r="Q42" s="66"/>
      <c r="R42" s="66"/>
      <c r="S42" s="69"/>
      <c r="T42" s="66"/>
      <c r="U42" s="79"/>
      <c r="V42" s="79"/>
      <c r="W42" s="79"/>
      <c r="X42" s="64">
        <v>424</v>
      </c>
      <c r="Y42" s="79"/>
      <c r="Z42" s="66"/>
      <c r="AA42" s="59">
        <f>AA53+AA58</f>
        <v>424</v>
      </c>
      <c r="AB42" s="59">
        <f>AB53+AB58</f>
        <v>424</v>
      </c>
      <c r="AC42" s="59">
        <f>AC53+AC58</f>
        <v>424</v>
      </c>
      <c r="AD42" s="59">
        <f>AD53+AD58</f>
        <v>424</v>
      </c>
      <c r="AE42" s="59">
        <f>AE53+AE58</f>
        <v>424</v>
      </c>
      <c r="AF42" s="66"/>
      <c r="AG42" s="59">
        <f>AG53+AG58</f>
        <v>424</v>
      </c>
      <c r="AH42" s="59">
        <f>AH53+AH58</f>
        <v>424</v>
      </c>
      <c r="AI42" s="59">
        <f>AI53+AI58</f>
        <v>150</v>
      </c>
      <c r="AJ42" s="59">
        <f>AJ53+AJ58</f>
        <v>150</v>
      </c>
      <c r="AK42" s="59">
        <f>AK53+AK58</f>
        <v>424</v>
      </c>
      <c r="AL42" s="66"/>
      <c r="AM42" s="59">
        <f>AM53+AM58</f>
        <v>424</v>
      </c>
      <c r="AN42" s="59">
        <f>AN53+AN58</f>
        <v>424</v>
      </c>
      <c r="AO42" s="59">
        <f>AO53+AO58</f>
        <v>424</v>
      </c>
      <c r="AP42" s="59">
        <f>AP53+AP58</f>
        <v>424</v>
      </c>
      <c r="AQ42" s="59">
        <f>AQ53+AQ58</f>
        <v>424</v>
      </c>
      <c r="AR42" s="66"/>
      <c r="AS42" s="59">
        <f>AS53+AS58</f>
        <v>424</v>
      </c>
      <c r="AT42" s="59">
        <f>AT53+AT58</f>
        <v>424</v>
      </c>
      <c r="AU42" s="59">
        <f>AU53+AU58</f>
        <v>424</v>
      </c>
      <c r="AV42" s="59">
        <f>AV53+AV58</f>
        <v>424</v>
      </c>
      <c r="AW42" s="60">
        <f>AW53+AW58</f>
        <v>424</v>
      </c>
      <c r="AX42" s="66"/>
      <c r="AY42" s="440">
        <f>AY53+AY58</f>
        <v>424</v>
      </c>
      <c r="AZ42" s="59">
        <f>AZ53+AZ58</f>
        <v>424</v>
      </c>
      <c r="BA42" s="59">
        <f>BA53+BA58</f>
        <v>424</v>
      </c>
      <c r="BB42" s="59">
        <f>BB53+BB58</f>
        <v>424</v>
      </c>
      <c r="BC42" s="60">
        <f>BC53+BC58</f>
        <v>424</v>
      </c>
      <c r="BD42" s="66"/>
      <c r="BE42" s="440">
        <f>BE53+BE58</f>
        <v>424</v>
      </c>
      <c r="BF42" s="79"/>
      <c r="BG42" s="79"/>
      <c r="BH42" s="79"/>
      <c r="BI42" s="60">
        <f>BI53+BI58</f>
        <v>424</v>
      </c>
      <c r="BJ42" s="66"/>
      <c r="BK42" s="79"/>
      <c r="BL42" s="79"/>
      <c r="BM42" s="79"/>
      <c r="BN42" s="79"/>
      <c r="BO42" s="60">
        <f>BO53+BO58</f>
        <v>424</v>
      </c>
      <c r="BP42" s="66"/>
      <c r="BQ42" s="79"/>
      <c r="BR42" s="79"/>
      <c r="BS42" s="79"/>
      <c r="BT42" s="79"/>
      <c r="BU42" s="60">
        <f>BU53+BU58</f>
        <v>424</v>
      </c>
      <c r="BV42" s="66"/>
      <c r="BW42" s="79"/>
      <c r="BX42" s="79"/>
      <c r="BY42" s="79"/>
      <c r="BZ42" s="79"/>
      <c r="CA42" s="60">
        <f>CA53+CA58</f>
        <v>424</v>
      </c>
      <c r="CB42" s="66"/>
      <c r="CC42" s="79"/>
      <c r="CD42" s="79"/>
      <c r="CE42" s="79"/>
      <c r="CF42" s="79"/>
      <c r="CG42" s="60">
        <f>CG53+CG58</f>
        <v>424</v>
      </c>
      <c r="CH42" s="66"/>
      <c r="CI42" s="79"/>
      <c r="CJ42" s="79"/>
      <c r="CK42" s="79"/>
      <c r="CL42" s="79"/>
      <c r="CM42" s="60">
        <f>CM53+CM58</f>
        <v>424</v>
      </c>
    </row>
    <row r="43" spans="1:91" s="211" customFormat="1" ht="12.75" hidden="1" customHeight="1" outlineLevel="1">
      <c r="A43" s="67" t="s">
        <v>325</v>
      </c>
      <c r="B43" s="1722"/>
      <c r="C43" s="66"/>
      <c r="D43" s="66"/>
      <c r="E43" s="66"/>
      <c r="F43" s="66"/>
      <c r="G43" s="66"/>
      <c r="H43" s="66"/>
      <c r="I43" s="66"/>
      <c r="J43" s="66"/>
      <c r="K43" s="66"/>
      <c r="L43" s="78"/>
      <c r="M43" s="66"/>
      <c r="N43" s="66"/>
      <c r="O43" s="66"/>
      <c r="P43" s="66"/>
      <c r="Q43" s="66"/>
      <c r="R43" s="66"/>
      <c r="S43" s="69"/>
      <c r="T43" s="66"/>
      <c r="U43" s="79"/>
      <c r="V43" s="79"/>
      <c r="W43" s="79"/>
      <c r="X43" s="59">
        <f>X46</f>
        <v>2.2549999999999999</v>
      </c>
      <c r="Y43" s="79"/>
      <c r="Z43" s="66"/>
      <c r="AA43" s="66">
        <f>AA46</f>
        <v>0</v>
      </c>
      <c r="AB43" s="66">
        <f>AB46</f>
        <v>0</v>
      </c>
      <c r="AC43" s="66">
        <f>AC46</f>
        <v>0</v>
      </c>
      <c r="AD43" s="66">
        <f>AD46</f>
        <v>0</v>
      </c>
      <c r="AE43" s="69">
        <f>AE46</f>
        <v>0</v>
      </c>
      <c r="AF43" s="66"/>
      <c r="AG43" s="66">
        <f>AG46</f>
        <v>0</v>
      </c>
      <c r="AH43" s="66">
        <f>AH46</f>
        <v>0</v>
      </c>
      <c r="AI43" s="66">
        <f>AI46</f>
        <v>0</v>
      </c>
      <c r="AJ43" s="66">
        <f>AJ46</f>
        <v>0</v>
      </c>
      <c r="AK43" s="69">
        <f>AK46</f>
        <v>0</v>
      </c>
      <c r="AL43" s="66"/>
      <c r="AM43" s="66">
        <f>AM46</f>
        <v>0</v>
      </c>
      <c r="AN43" s="66">
        <f>AN46</f>
        <v>0</v>
      </c>
      <c r="AO43" s="66">
        <f>AO46</f>
        <v>0</v>
      </c>
      <c r="AP43" s="66">
        <f>AP46</f>
        <v>0</v>
      </c>
      <c r="AQ43" s="69">
        <f>AQ46</f>
        <v>0</v>
      </c>
      <c r="AR43" s="66"/>
      <c r="AS43" s="66">
        <f>AS46</f>
        <v>0</v>
      </c>
      <c r="AT43" s="66">
        <f>AT46</f>
        <v>0</v>
      </c>
      <c r="AU43" s="66">
        <f>AU46</f>
        <v>0</v>
      </c>
      <c r="AV43" s="66">
        <f>AV46</f>
        <v>0</v>
      </c>
      <c r="AW43" s="87">
        <f>AW46</f>
        <v>0</v>
      </c>
      <c r="AX43" s="66"/>
      <c r="AY43" s="1688">
        <f>AY46</f>
        <v>0</v>
      </c>
      <c r="AZ43" s="66">
        <f>AZ46</f>
        <v>0</v>
      </c>
      <c r="BA43" s="66">
        <f>BA46</f>
        <v>0</v>
      </c>
      <c r="BB43" s="66">
        <f>BB46</f>
        <v>0</v>
      </c>
      <c r="BC43" s="87">
        <f>BC46</f>
        <v>0</v>
      </c>
      <c r="BD43" s="66"/>
      <c r="BE43" s="1688">
        <f>BE46</f>
        <v>0</v>
      </c>
      <c r="BF43" s="79"/>
      <c r="BG43" s="79"/>
      <c r="BH43" s="79"/>
      <c r="BI43" s="87">
        <f>BI46</f>
        <v>0</v>
      </c>
      <c r="BJ43" s="66"/>
      <c r="BK43" s="79"/>
      <c r="BL43" s="79"/>
      <c r="BM43" s="79"/>
      <c r="BN43" s="79"/>
      <c r="BO43" s="87">
        <f>BO46</f>
        <v>0</v>
      </c>
      <c r="BP43" s="66"/>
      <c r="BQ43" s="79"/>
      <c r="BR43" s="79"/>
      <c r="BS43" s="79"/>
      <c r="BT43" s="79"/>
      <c r="BU43" s="87">
        <f>BU46</f>
        <v>0</v>
      </c>
      <c r="BV43" s="66"/>
      <c r="BW43" s="79"/>
      <c r="BX43" s="79"/>
      <c r="BY43" s="79"/>
      <c r="BZ43" s="79"/>
      <c r="CA43" s="87">
        <f>CA46</f>
        <v>0</v>
      </c>
      <c r="CB43" s="66"/>
      <c r="CC43" s="79"/>
      <c r="CD43" s="79"/>
      <c r="CE43" s="79"/>
      <c r="CF43" s="79"/>
      <c r="CG43" s="87">
        <f>CG46</f>
        <v>0</v>
      </c>
      <c r="CH43" s="66"/>
      <c r="CI43" s="79"/>
      <c r="CJ43" s="79"/>
      <c r="CK43" s="79"/>
      <c r="CL43" s="79"/>
      <c r="CM43" s="87">
        <f>CM46</f>
        <v>0</v>
      </c>
    </row>
    <row r="44" spans="1:91" s="211" customFormat="1" ht="12.75" hidden="1" customHeight="1" outlineLevel="1">
      <c r="A44" s="100" t="s">
        <v>326</v>
      </c>
      <c r="B44" s="1723"/>
      <c r="C44" s="101"/>
      <c r="D44" s="101"/>
      <c r="E44" s="101"/>
      <c r="F44" s="101"/>
      <c r="G44" s="101"/>
      <c r="H44" s="101"/>
      <c r="I44" s="101"/>
      <c r="J44" s="101"/>
      <c r="K44" s="101"/>
      <c r="L44" s="78"/>
      <c r="M44" s="101"/>
      <c r="N44" s="101"/>
      <c r="O44" s="66"/>
      <c r="P44" s="66"/>
      <c r="Q44" s="66"/>
      <c r="R44" s="66"/>
      <c r="S44" s="69"/>
      <c r="T44" s="101"/>
      <c r="U44" s="79"/>
      <c r="V44" s="79"/>
      <c r="W44" s="79"/>
      <c r="X44" s="36"/>
      <c r="Y44" s="79"/>
      <c r="Z44" s="101"/>
      <c r="AA44" s="59">
        <f>(X41+AA41)/2</f>
        <v>425.1275</v>
      </c>
      <c r="AB44" s="59">
        <f>(AA41+AB41)/2</f>
        <v>424</v>
      </c>
      <c r="AC44" s="59">
        <f>(AB41+AC41)/2</f>
        <v>424</v>
      </c>
      <c r="AD44" s="59">
        <f>(AC41+AD41)/2</f>
        <v>424</v>
      </c>
      <c r="AE44" s="79"/>
      <c r="AF44" s="101"/>
      <c r="AG44" s="59">
        <f>(AD41+AG41)/2</f>
        <v>424</v>
      </c>
      <c r="AH44" s="59">
        <f>(AG41+AH41)/2</f>
        <v>424</v>
      </c>
      <c r="AI44" s="59">
        <f>(AH41+AI41)/2</f>
        <v>287</v>
      </c>
      <c r="AJ44" s="59">
        <f>(AI41+AJ41)/2</f>
        <v>150</v>
      </c>
      <c r="AK44" s="59">
        <f>(AJ41+AK41)/2</f>
        <v>287</v>
      </c>
      <c r="AL44" s="101"/>
      <c r="AM44" s="440">
        <f>(AJ41+AM41)/2</f>
        <v>287</v>
      </c>
      <c r="AN44" s="59">
        <f>(AM41+AN41)/2</f>
        <v>424</v>
      </c>
      <c r="AO44" s="59">
        <f>(AN41+AO41)/2</f>
        <v>424</v>
      </c>
      <c r="AP44" s="59">
        <f>(AO41+AP41)/2</f>
        <v>424</v>
      </c>
      <c r="AQ44" s="59">
        <f>(AP41+AQ41)/2</f>
        <v>424</v>
      </c>
      <c r="AR44" s="101"/>
      <c r="AS44" s="440">
        <f>(AP41+AS41)/2</f>
        <v>424</v>
      </c>
      <c r="AT44" s="59">
        <f>(AS41+AT41)/2</f>
        <v>424</v>
      </c>
      <c r="AU44" s="59">
        <f>(AT41+AU41)/2</f>
        <v>424</v>
      </c>
      <c r="AV44" s="59">
        <f>(AU41+AV41)/2</f>
        <v>424</v>
      </c>
      <c r="AW44" s="85"/>
      <c r="AX44" s="101"/>
      <c r="AY44" s="440">
        <f>(AV41+AY41)/2</f>
        <v>424</v>
      </c>
      <c r="AZ44" s="59">
        <f>(AY41+AZ41)/2</f>
        <v>424</v>
      </c>
      <c r="BA44" s="59">
        <f>(AZ41+BA41)/2</f>
        <v>424</v>
      </c>
      <c r="BB44" s="59">
        <f>(BA41+BB41)/2</f>
        <v>424</v>
      </c>
      <c r="BC44" s="85"/>
      <c r="BD44" s="101"/>
      <c r="BE44" s="440">
        <f>(BB41+BE41)/2</f>
        <v>424</v>
      </c>
      <c r="BF44" s="79"/>
      <c r="BG44" s="79"/>
      <c r="BH44" s="79"/>
      <c r="BI44" s="85"/>
      <c r="BJ44" s="101"/>
      <c r="BK44" s="79"/>
      <c r="BL44" s="79"/>
      <c r="BM44" s="79"/>
      <c r="BN44" s="79"/>
      <c r="BO44" s="85"/>
      <c r="BP44" s="101"/>
      <c r="BQ44" s="79"/>
      <c r="BR44" s="79"/>
      <c r="BS44" s="79"/>
      <c r="BT44" s="79"/>
      <c r="BU44" s="85"/>
      <c r="BV44" s="101"/>
      <c r="BW44" s="79"/>
      <c r="BX44" s="79"/>
      <c r="BY44" s="79"/>
      <c r="BZ44" s="79"/>
      <c r="CA44" s="85"/>
      <c r="CB44" s="101"/>
      <c r="CC44" s="79"/>
      <c r="CD44" s="79"/>
      <c r="CE44" s="79"/>
      <c r="CF44" s="79"/>
      <c r="CG44" s="85"/>
      <c r="CH44" s="101"/>
      <c r="CI44" s="79"/>
      <c r="CJ44" s="79"/>
      <c r="CK44" s="79"/>
      <c r="CL44" s="79"/>
      <c r="CM44" s="85"/>
    </row>
    <row r="45" spans="1:91" s="211" customFormat="1" ht="12.75" hidden="1" customHeight="1" outlineLevel="1">
      <c r="A45" s="100"/>
      <c r="B45" s="101"/>
      <c r="C45" s="101"/>
      <c r="D45" s="101"/>
      <c r="E45" s="101"/>
      <c r="F45" s="101"/>
      <c r="G45" s="101"/>
      <c r="H45" s="101"/>
      <c r="I45" s="101"/>
      <c r="J45" s="101"/>
      <c r="K45" s="101"/>
      <c r="L45" s="78"/>
      <c r="M45" s="101"/>
      <c r="N45" s="101"/>
      <c r="O45" s="66"/>
      <c r="P45" s="66"/>
      <c r="Q45" s="66"/>
      <c r="R45" s="66"/>
      <c r="S45" s="69"/>
      <c r="T45" s="101"/>
      <c r="U45" s="79"/>
      <c r="V45" s="79"/>
      <c r="W45" s="79"/>
      <c r="X45" s="59"/>
      <c r="Y45" s="79"/>
      <c r="Z45" s="101"/>
      <c r="AA45" s="79"/>
      <c r="AB45" s="92"/>
      <c r="AC45" s="79"/>
      <c r="AD45" s="79"/>
      <c r="AE45" s="79"/>
      <c r="AF45" s="101"/>
      <c r="AG45" s="79"/>
      <c r="AH45" s="92"/>
      <c r="AI45" s="79"/>
      <c r="AJ45" s="79"/>
      <c r="AK45" s="79"/>
      <c r="AL45" s="101"/>
      <c r="AM45" s="79"/>
      <c r="AN45" s="79"/>
      <c r="AO45" s="79"/>
      <c r="AP45" s="79"/>
      <c r="AQ45" s="79"/>
      <c r="AR45" s="101"/>
      <c r="AS45" s="79"/>
      <c r="AT45" s="79"/>
      <c r="AU45" s="79"/>
      <c r="AV45" s="79"/>
      <c r="AW45" s="85"/>
      <c r="AX45" s="101"/>
      <c r="AY45" s="79"/>
      <c r="AZ45" s="79"/>
      <c r="BA45" s="79"/>
      <c r="BB45" s="79"/>
      <c r="BC45" s="85"/>
      <c r="BD45" s="101"/>
      <c r="BE45" s="79"/>
      <c r="BF45" s="79"/>
      <c r="BG45" s="79"/>
      <c r="BH45" s="79"/>
      <c r="BI45" s="85"/>
      <c r="BJ45" s="101"/>
      <c r="BK45" s="79"/>
      <c r="BL45" s="79"/>
      <c r="BM45" s="79"/>
      <c r="BN45" s="79"/>
      <c r="BO45" s="85"/>
      <c r="BP45" s="101"/>
      <c r="BQ45" s="79"/>
      <c r="BR45" s="79"/>
      <c r="BS45" s="79"/>
      <c r="BT45" s="79"/>
      <c r="BU45" s="85"/>
      <c r="BV45" s="101"/>
      <c r="BW45" s="79"/>
      <c r="BX45" s="79"/>
      <c r="BY45" s="79"/>
      <c r="BZ45" s="79"/>
      <c r="CA45" s="85"/>
      <c r="CB45" s="101"/>
      <c r="CC45" s="79"/>
      <c r="CD45" s="79"/>
      <c r="CE45" s="79"/>
      <c r="CF45" s="79"/>
      <c r="CG45" s="85"/>
      <c r="CH45" s="101"/>
      <c r="CI45" s="79"/>
      <c r="CJ45" s="79"/>
      <c r="CK45" s="79"/>
      <c r="CL45" s="79"/>
      <c r="CM45" s="85"/>
    </row>
    <row r="46" spans="1:91" s="211" customFormat="1" ht="12.75" hidden="1" customHeight="1" outlineLevel="1">
      <c r="A46" s="67" t="s">
        <v>327</v>
      </c>
      <c r="B46" s="66"/>
      <c r="C46" s="66"/>
      <c r="D46" s="66"/>
      <c r="E46" s="66"/>
      <c r="F46" s="66"/>
      <c r="G46" s="66"/>
      <c r="H46" s="66"/>
      <c r="I46" s="66"/>
      <c r="J46" s="66"/>
      <c r="K46" s="66"/>
      <c r="L46" s="78"/>
      <c r="M46" s="66"/>
      <c r="N46" s="66"/>
      <c r="O46" s="66"/>
      <c r="P46" s="66"/>
      <c r="Q46" s="66"/>
      <c r="R46" s="66"/>
      <c r="S46" s="69"/>
      <c r="T46" s="66"/>
      <c r="U46" s="79"/>
      <c r="V46" s="79"/>
      <c r="W46" s="79"/>
      <c r="X46" s="64">
        <v>2.2549999999999999</v>
      </c>
      <c r="Y46" s="79"/>
      <c r="Z46" s="66"/>
      <c r="AA46" s="64">
        <v>0</v>
      </c>
      <c r="AB46" s="59">
        <f>AA46</f>
        <v>0</v>
      </c>
      <c r="AC46" s="59">
        <f>AB46</f>
        <v>0</v>
      </c>
      <c r="AD46" s="59">
        <f>AC46</f>
        <v>0</v>
      </c>
      <c r="AE46" s="69">
        <f>AD46</f>
        <v>0</v>
      </c>
      <c r="AF46" s="66"/>
      <c r="AG46" s="64">
        <v>0</v>
      </c>
      <c r="AH46" s="59">
        <f>AG46</f>
        <v>0</v>
      </c>
      <c r="AI46" s="59">
        <f>AH46</f>
        <v>0</v>
      </c>
      <c r="AJ46" s="59">
        <f>AI46</f>
        <v>0</v>
      </c>
      <c r="AK46" s="69">
        <f>AE46</f>
        <v>0</v>
      </c>
      <c r="AL46" s="66"/>
      <c r="AM46" s="59">
        <f>AK46</f>
        <v>0</v>
      </c>
      <c r="AN46" s="59">
        <f>AM46</f>
        <v>0</v>
      </c>
      <c r="AO46" s="59">
        <f>AN46</f>
        <v>0</v>
      </c>
      <c r="AP46" s="59">
        <f>AO46</f>
        <v>0</v>
      </c>
      <c r="AQ46" s="69">
        <f>AK46</f>
        <v>0</v>
      </c>
      <c r="AR46" s="66"/>
      <c r="AS46" s="59">
        <f>AQ46</f>
        <v>0</v>
      </c>
      <c r="AT46" s="59">
        <f>AS46</f>
        <v>0</v>
      </c>
      <c r="AU46" s="59">
        <f>AT46</f>
        <v>0</v>
      </c>
      <c r="AV46" s="59">
        <f>AU46</f>
        <v>0</v>
      </c>
      <c r="AW46" s="87">
        <f>AQ46</f>
        <v>0</v>
      </c>
      <c r="AX46" s="66"/>
      <c r="AY46" s="440">
        <f>AW46</f>
        <v>0</v>
      </c>
      <c r="AZ46" s="59">
        <f>AY46</f>
        <v>0</v>
      </c>
      <c r="BA46" s="59">
        <f>AZ46</f>
        <v>0</v>
      </c>
      <c r="BB46" s="59">
        <f>BA46</f>
        <v>0</v>
      </c>
      <c r="BC46" s="87">
        <f>AW46</f>
        <v>0</v>
      </c>
      <c r="BD46" s="66"/>
      <c r="BE46" s="440">
        <f>BC46</f>
        <v>0</v>
      </c>
      <c r="BF46" s="79"/>
      <c r="BG46" s="79"/>
      <c r="BH46" s="79"/>
      <c r="BI46" s="87">
        <f>BC46</f>
        <v>0</v>
      </c>
      <c r="BJ46" s="66"/>
      <c r="BK46" s="79"/>
      <c r="BL46" s="79"/>
      <c r="BM46" s="79"/>
      <c r="BN46" s="79"/>
      <c r="BO46" s="87">
        <f>BI46</f>
        <v>0</v>
      </c>
      <c r="BP46" s="66"/>
      <c r="BQ46" s="79"/>
      <c r="BR46" s="79"/>
      <c r="BS46" s="79"/>
      <c r="BT46" s="79"/>
      <c r="BU46" s="87">
        <f>BO46</f>
        <v>0</v>
      </c>
      <c r="BV46" s="66"/>
      <c r="BW46" s="79"/>
      <c r="BX46" s="79"/>
      <c r="BY46" s="79"/>
      <c r="BZ46" s="79"/>
      <c r="CA46" s="87">
        <f>BU46</f>
        <v>0</v>
      </c>
      <c r="CB46" s="66"/>
      <c r="CC46" s="79"/>
      <c r="CD46" s="79"/>
      <c r="CE46" s="79"/>
      <c r="CF46" s="79"/>
      <c r="CG46" s="87">
        <f>CA46</f>
        <v>0</v>
      </c>
      <c r="CH46" s="66"/>
      <c r="CI46" s="79"/>
      <c r="CJ46" s="79"/>
      <c r="CK46" s="79"/>
      <c r="CL46" s="79"/>
      <c r="CM46" s="87">
        <f>CG46</f>
        <v>0</v>
      </c>
    </row>
    <row r="47" spans="1:91" s="211" customFormat="1" ht="12.75" hidden="1" customHeight="1" outlineLevel="1">
      <c r="A47" s="67"/>
      <c r="B47" s="66"/>
      <c r="C47" s="66"/>
      <c r="D47" s="66"/>
      <c r="E47" s="66"/>
      <c r="F47" s="66"/>
      <c r="G47" s="66"/>
      <c r="H47" s="66"/>
      <c r="I47" s="66"/>
      <c r="J47" s="66"/>
      <c r="K47" s="66"/>
      <c r="L47" s="78"/>
      <c r="M47" s="66"/>
      <c r="N47" s="66"/>
      <c r="O47" s="66"/>
      <c r="P47" s="66"/>
      <c r="Q47" s="66"/>
      <c r="R47" s="66"/>
      <c r="S47" s="69"/>
      <c r="T47" s="66"/>
      <c r="U47" s="79"/>
      <c r="V47" s="79"/>
      <c r="W47" s="79"/>
      <c r="X47" s="79"/>
      <c r="Y47" s="79"/>
      <c r="Z47" s="66"/>
      <c r="AA47" s="79"/>
      <c r="AB47" s="92"/>
      <c r="AC47" s="79"/>
      <c r="AD47" s="79"/>
      <c r="AE47" s="79"/>
      <c r="AF47" s="66"/>
      <c r="AG47" s="79"/>
      <c r="AH47" s="92"/>
      <c r="AI47" s="79"/>
      <c r="AJ47" s="79"/>
      <c r="AK47" s="79"/>
      <c r="AL47" s="66"/>
      <c r="AM47" s="79"/>
      <c r="AN47" s="79"/>
      <c r="AO47" s="79"/>
      <c r="AP47" s="79"/>
      <c r="AQ47" s="79"/>
      <c r="AR47" s="66"/>
      <c r="AS47" s="79"/>
      <c r="AT47" s="79"/>
      <c r="AU47" s="79"/>
      <c r="AV47" s="79"/>
      <c r="AW47" s="85"/>
      <c r="AX47" s="66"/>
      <c r="AY47" s="79"/>
      <c r="AZ47" s="79"/>
      <c r="BA47" s="79"/>
      <c r="BB47" s="79"/>
      <c r="BC47" s="85"/>
      <c r="BD47" s="66"/>
      <c r="BE47" s="79"/>
      <c r="BF47" s="79"/>
      <c r="BG47" s="79"/>
      <c r="BH47" s="79"/>
      <c r="BI47" s="85"/>
      <c r="BJ47" s="66"/>
      <c r="BK47" s="79"/>
      <c r="BL47" s="79"/>
      <c r="BM47" s="79"/>
      <c r="BN47" s="79"/>
      <c r="BO47" s="85"/>
      <c r="BP47" s="66"/>
      <c r="BQ47" s="79"/>
      <c r="BR47" s="79"/>
      <c r="BS47" s="79"/>
      <c r="BT47" s="79"/>
      <c r="BU47" s="85"/>
      <c r="BV47" s="66"/>
      <c r="BW47" s="79"/>
      <c r="BX47" s="79"/>
      <c r="BY47" s="79"/>
      <c r="BZ47" s="79"/>
      <c r="CA47" s="85"/>
      <c r="CB47" s="66"/>
      <c r="CC47" s="79"/>
      <c r="CD47" s="79"/>
      <c r="CE47" s="79"/>
      <c r="CF47" s="79"/>
      <c r="CG47" s="85"/>
      <c r="CH47" s="66"/>
      <c r="CI47" s="79"/>
      <c r="CJ47" s="79"/>
      <c r="CK47" s="79"/>
      <c r="CL47" s="79"/>
      <c r="CM47" s="85"/>
    </row>
    <row r="48" spans="1:91" s="211" customFormat="1" ht="12.75" hidden="1" customHeight="1" outlineLevel="1">
      <c r="A48" s="67" t="s">
        <v>28</v>
      </c>
      <c r="B48" s="66"/>
      <c r="C48" s="66"/>
      <c r="D48" s="66"/>
      <c r="E48" s="66"/>
      <c r="F48" s="66"/>
      <c r="G48" s="66"/>
      <c r="H48" s="66"/>
      <c r="I48" s="66"/>
      <c r="J48" s="66"/>
      <c r="K48" s="66"/>
      <c r="L48" s="78"/>
      <c r="M48" s="66"/>
      <c r="N48" s="66"/>
      <c r="O48" s="66"/>
      <c r="P48" s="66"/>
      <c r="Q48" s="66"/>
      <c r="R48" s="66"/>
      <c r="S48" s="69"/>
      <c r="T48" s="66"/>
      <c r="U48" s="79"/>
      <c r="V48" s="79"/>
      <c r="W48" s="79"/>
      <c r="X48" s="79"/>
      <c r="Y48" s="79"/>
      <c r="Z48" s="66"/>
      <c r="AA48" s="79"/>
      <c r="AB48" s="92"/>
      <c r="AC48" s="79"/>
      <c r="AD48" s="59">
        <v>500</v>
      </c>
      <c r="AE48" s="59">
        <f>AD48</f>
        <v>500</v>
      </c>
      <c r="AF48" s="66"/>
      <c r="AG48" s="79"/>
      <c r="AH48" s="92"/>
      <c r="AI48" s="59">
        <v>500</v>
      </c>
      <c r="AJ48" s="59">
        <v>500</v>
      </c>
      <c r="AK48" s="59">
        <f>AE48-AK50</f>
        <v>500</v>
      </c>
      <c r="AL48" s="66"/>
      <c r="AM48" s="59">
        <v>500</v>
      </c>
      <c r="AN48" s="59">
        <v>500</v>
      </c>
      <c r="AO48" s="59">
        <v>500</v>
      </c>
      <c r="AP48" s="59">
        <v>500</v>
      </c>
      <c r="AQ48" s="59">
        <f>AK48-AQ50</f>
        <v>500</v>
      </c>
      <c r="AR48" s="66"/>
      <c r="AS48" s="59">
        <v>500</v>
      </c>
      <c r="AT48" s="59">
        <v>500</v>
      </c>
      <c r="AU48" s="59">
        <v>500</v>
      </c>
      <c r="AV48" s="59">
        <v>500</v>
      </c>
      <c r="AW48" s="60">
        <f>AQ48-AW50</f>
        <v>500</v>
      </c>
      <c r="AX48" s="66"/>
      <c r="AY48" s="59">
        <v>500</v>
      </c>
      <c r="AZ48" s="59">
        <v>500</v>
      </c>
      <c r="BA48" s="59">
        <v>500</v>
      </c>
      <c r="BB48" s="59">
        <v>500</v>
      </c>
      <c r="BC48" s="60">
        <f>AW48-BC50</f>
        <v>500</v>
      </c>
      <c r="BD48" s="66"/>
      <c r="BE48" s="59">
        <v>500</v>
      </c>
      <c r="BF48" s="59">
        <v>500</v>
      </c>
      <c r="BG48" s="59">
        <v>500</v>
      </c>
      <c r="BH48" s="59">
        <v>500</v>
      </c>
      <c r="BI48" s="60">
        <f>BC48-BI50</f>
        <v>500</v>
      </c>
      <c r="BJ48" s="66"/>
      <c r="BK48" s="59">
        <v>500</v>
      </c>
      <c r="BL48" s="59">
        <v>500</v>
      </c>
      <c r="BM48" s="59">
        <v>500</v>
      </c>
      <c r="BN48" s="59">
        <v>500</v>
      </c>
      <c r="BO48" s="60">
        <f>BI48-BO50</f>
        <v>500</v>
      </c>
      <c r="BP48" s="66"/>
      <c r="BQ48" s="59">
        <v>500</v>
      </c>
      <c r="BR48" s="59">
        <v>500</v>
      </c>
      <c r="BS48" s="59">
        <v>500</v>
      </c>
      <c r="BT48" s="59">
        <v>500</v>
      </c>
      <c r="BU48" s="60">
        <f>BO48-BU50</f>
        <v>500</v>
      </c>
      <c r="BV48" s="66"/>
      <c r="BW48" s="59">
        <v>500</v>
      </c>
      <c r="BX48" s="59">
        <v>500</v>
      </c>
      <c r="BY48" s="59">
        <v>500</v>
      </c>
      <c r="BZ48" s="59">
        <v>500</v>
      </c>
      <c r="CA48" s="60">
        <f>BU48-CA50</f>
        <v>500</v>
      </c>
      <c r="CB48" s="66"/>
      <c r="CC48" s="59">
        <v>500</v>
      </c>
      <c r="CD48" s="59">
        <v>500</v>
      </c>
      <c r="CE48" s="59">
        <v>500</v>
      </c>
      <c r="CF48" s="59">
        <v>500</v>
      </c>
      <c r="CG48" s="60">
        <f>CA48-CG50</f>
        <v>500</v>
      </c>
      <c r="CH48" s="66"/>
      <c r="CI48" s="59">
        <v>500</v>
      </c>
      <c r="CJ48" s="59">
        <v>500</v>
      </c>
      <c r="CK48" s="59">
        <v>500</v>
      </c>
      <c r="CL48" s="59">
        <v>500</v>
      </c>
      <c r="CM48" s="60">
        <f>CG48-CM50</f>
        <v>500</v>
      </c>
    </row>
    <row r="49" spans="1:91" s="211" customFormat="1" ht="12.75" hidden="1" customHeight="1" outlineLevel="1">
      <c r="A49" s="86" t="s">
        <v>329</v>
      </c>
      <c r="B49" s="66"/>
      <c r="C49" s="66"/>
      <c r="D49" s="66"/>
      <c r="E49" s="66"/>
      <c r="F49" s="66"/>
      <c r="G49" s="66"/>
      <c r="H49" s="66"/>
      <c r="I49" s="66"/>
      <c r="J49" s="66"/>
      <c r="K49" s="66"/>
      <c r="L49" s="78"/>
      <c r="M49" s="66"/>
      <c r="N49" s="66"/>
      <c r="O49" s="66"/>
      <c r="P49" s="66"/>
      <c r="Q49" s="66"/>
      <c r="R49" s="66"/>
      <c r="S49" s="69"/>
      <c r="T49" s="66"/>
      <c r="U49" s="79"/>
      <c r="V49" s="79"/>
      <c r="W49" s="79"/>
      <c r="X49" s="79"/>
      <c r="Y49" s="79"/>
      <c r="Z49" s="66"/>
      <c r="AA49" s="79"/>
      <c r="AB49" s="92"/>
      <c r="AC49" s="79"/>
      <c r="AD49" s="82">
        <v>0.05</v>
      </c>
      <c r="AE49" s="79">
        <f>AVERAGE(AA49:AD49)</f>
        <v>0.05</v>
      </c>
      <c r="AF49" s="66"/>
      <c r="AG49" s="79"/>
      <c r="AH49" s="92"/>
      <c r="AI49" s="82">
        <v>0.05</v>
      </c>
      <c r="AJ49" s="82">
        <v>0.05</v>
      </c>
      <c r="AK49" s="79">
        <f>AE49</f>
        <v>0.05</v>
      </c>
      <c r="AL49" s="66"/>
      <c r="AM49" s="82">
        <v>0.05</v>
      </c>
      <c r="AN49" s="82">
        <v>0.05</v>
      </c>
      <c r="AO49" s="82">
        <v>0.05</v>
      </c>
      <c r="AP49" s="82">
        <v>0.05</v>
      </c>
      <c r="AQ49" s="79">
        <f>AK49</f>
        <v>0.05</v>
      </c>
      <c r="AR49" s="66"/>
      <c r="AS49" s="82">
        <v>0.05</v>
      </c>
      <c r="AT49" s="82">
        <v>0.05</v>
      </c>
      <c r="AU49" s="82">
        <v>0.05</v>
      </c>
      <c r="AV49" s="82">
        <v>0.05</v>
      </c>
      <c r="AW49" s="85">
        <f>AQ49</f>
        <v>0.05</v>
      </c>
      <c r="AX49" s="66"/>
      <c r="AY49" s="82">
        <v>0.05</v>
      </c>
      <c r="AZ49" s="82">
        <v>0.05</v>
      </c>
      <c r="BA49" s="82">
        <v>0.05</v>
      </c>
      <c r="BB49" s="82">
        <v>0.05</v>
      </c>
      <c r="BC49" s="85">
        <f>AW49</f>
        <v>0.05</v>
      </c>
      <c r="BD49" s="66"/>
      <c r="BE49" s="82">
        <v>0.05</v>
      </c>
      <c r="BF49" s="82">
        <v>0.05</v>
      </c>
      <c r="BG49" s="82">
        <v>0.05</v>
      </c>
      <c r="BH49" s="82">
        <v>0.05</v>
      </c>
      <c r="BI49" s="85">
        <f>BC49</f>
        <v>0.05</v>
      </c>
      <c r="BJ49" s="66"/>
      <c r="BK49" s="82">
        <v>0.05</v>
      </c>
      <c r="BL49" s="82">
        <v>0.05</v>
      </c>
      <c r="BM49" s="82">
        <v>0.05</v>
      </c>
      <c r="BN49" s="82">
        <v>0.05</v>
      </c>
      <c r="BO49" s="85">
        <f>BI49</f>
        <v>0.05</v>
      </c>
      <c r="BP49" s="66"/>
      <c r="BQ49" s="82">
        <v>0.05</v>
      </c>
      <c r="BR49" s="82">
        <v>0.05</v>
      </c>
      <c r="BS49" s="82">
        <v>0.05</v>
      </c>
      <c r="BT49" s="82">
        <v>0.05</v>
      </c>
      <c r="BU49" s="85">
        <f>BO49</f>
        <v>0.05</v>
      </c>
      <c r="BV49" s="66"/>
      <c r="BW49" s="82">
        <v>0.05</v>
      </c>
      <c r="BX49" s="82">
        <v>0.05</v>
      </c>
      <c r="BY49" s="82">
        <v>0.05</v>
      </c>
      <c r="BZ49" s="82">
        <v>0.05</v>
      </c>
      <c r="CA49" s="85">
        <f>BU49</f>
        <v>0.05</v>
      </c>
      <c r="CB49" s="66"/>
      <c r="CC49" s="82">
        <v>0.05</v>
      </c>
      <c r="CD49" s="82">
        <v>0.05</v>
      </c>
      <c r="CE49" s="82">
        <v>0.05</v>
      </c>
      <c r="CF49" s="82">
        <v>0.05</v>
      </c>
      <c r="CG49" s="85">
        <f>CA49</f>
        <v>0.05</v>
      </c>
      <c r="CH49" s="66"/>
      <c r="CI49" s="82">
        <v>0.05</v>
      </c>
      <c r="CJ49" s="82">
        <v>0.05</v>
      </c>
      <c r="CK49" s="82">
        <v>0.05</v>
      </c>
      <c r="CL49" s="82">
        <v>0.05</v>
      </c>
      <c r="CM49" s="85">
        <f>CG49</f>
        <v>0.05</v>
      </c>
    </row>
    <row r="50" spans="1:91" s="211" customFormat="1" ht="12.75" hidden="1" customHeight="1" outlineLevel="1">
      <c r="A50" s="67" t="s">
        <v>330</v>
      </c>
      <c r="B50" s="66"/>
      <c r="C50" s="66"/>
      <c r="D50" s="66"/>
      <c r="E50" s="66"/>
      <c r="F50" s="66"/>
      <c r="G50" s="66"/>
      <c r="H50" s="66"/>
      <c r="I50" s="66"/>
      <c r="J50" s="66"/>
      <c r="K50" s="66"/>
      <c r="L50" s="78"/>
      <c r="M50" s="66"/>
      <c r="N50" s="66"/>
      <c r="O50" s="66"/>
      <c r="P50" s="66"/>
      <c r="Q50" s="66"/>
      <c r="R50" s="66"/>
      <c r="S50" s="69"/>
      <c r="T50" s="66"/>
      <c r="U50" s="79"/>
      <c r="V50" s="79"/>
      <c r="W50" s="79"/>
      <c r="X50" s="79"/>
      <c r="Y50" s="79"/>
      <c r="Z50" s="66"/>
      <c r="AA50" s="79"/>
      <c r="AB50" s="92"/>
      <c r="AC50" s="79"/>
      <c r="AD50" s="70">
        <v>0</v>
      </c>
      <c r="AE50" s="69">
        <f>SUM(AA50:AD50)</f>
        <v>0</v>
      </c>
      <c r="AF50" s="66"/>
      <c r="AG50" s="79"/>
      <c r="AH50" s="92"/>
      <c r="AI50" s="70">
        <v>0</v>
      </c>
      <c r="AJ50" s="70">
        <v>0</v>
      </c>
      <c r="AK50" s="78">
        <v>0</v>
      </c>
      <c r="AL50" s="66"/>
      <c r="AM50" s="70">
        <v>0</v>
      </c>
      <c r="AN50" s="70">
        <v>0</v>
      </c>
      <c r="AO50" s="70">
        <v>0</v>
      </c>
      <c r="AP50" s="70">
        <v>0</v>
      </c>
      <c r="AQ50" s="78">
        <v>0</v>
      </c>
      <c r="AR50" s="66"/>
      <c r="AS50" s="70">
        <v>0</v>
      </c>
      <c r="AT50" s="70">
        <v>0</v>
      </c>
      <c r="AU50" s="70">
        <v>0</v>
      </c>
      <c r="AV50" s="70">
        <v>0</v>
      </c>
      <c r="AW50" s="203">
        <v>0</v>
      </c>
      <c r="AX50" s="66"/>
      <c r="AY50" s="70">
        <v>0</v>
      </c>
      <c r="AZ50" s="70">
        <v>0</v>
      </c>
      <c r="BA50" s="70">
        <v>0</v>
      </c>
      <c r="BB50" s="70">
        <v>0</v>
      </c>
      <c r="BC50" s="203">
        <v>0</v>
      </c>
      <c r="BD50" s="66"/>
      <c r="BE50" s="70">
        <v>0</v>
      </c>
      <c r="BF50" s="70">
        <v>0</v>
      </c>
      <c r="BG50" s="70">
        <v>0</v>
      </c>
      <c r="BH50" s="70">
        <v>0</v>
      </c>
      <c r="BI50" s="203">
        <v>0</v>
      </c>
      <c r="BJ50" s="66"/>
      <c r="BK50" s="70">
        <v>0</v>
      </c>
      <c r="BL50" s="70">
        <v>0</v>
      </c>
      <c r="BM50" s="70">
        <v>0</v>
      </c>
      <c r="BN50" s="70">
        <v>0</v>
      </c>
      <c r="BO50" s="203">
        <v>0</v>
      </c>
      <c r="BP50" s="66"/>
      <c r="BQ50" s="70">
        <v>0</v>
      </c>
      <c r="BR50" s="70">
        <v>0</v>
      </c>
      <c r="BS50" s="70">
        <v>0</v>
      </c>
      <c r="BT50" s="70">
        <v>0</v>
      </c>
      <c r="BU50" s="203">
        <v>0</v>
      </c>
      <c r="BV50" s="66"/>
      <c r="BW50" s="70">
        <v>0</v>
      </c>
      <c r="BX50" s="70">
        <v>0</v>
      </c>
      <c r="BY50" s="70">
        <v>0</v>
      </c>
      <c r="BZ50" s="70">
        <v>0</v>
      </c>
      <c r="CA50" s="203">
        <v>0</v>
      </c>
      <c r="CB50" s="66"/>
      <c r="CC50" s="70">
        <v>0</v>
      </c>
      <c r="CD50" s="70">
        <v>0</v>
      </c>
      <c r="CE50" s="70">
        <v>0</v>
      </c>
      <c r="CF50" s="70">
        <v>0</v>
      </c>
      <c r="CG50" s="203">
        <v>0</v>
      </c>
      <c r="CH50" s="66"/>
      <c r="CI50" s="70">
        <v>0</v>
      </c>
      <c r="CJ50" s="70">
        <v>0</v>
      </c>
      <c r="CK50" s="70">
        <v>0</v>
      </c>
      <c r="CL50" s="70">
        <v>0</v>
      </c>
      <c r="CM50" s="203">
        <v>0</v>
      </c>
    </row>
    <row r="51" spans="1:91" s="211" customFormat="1" ht="12.75" hidden="1" customHeight="1" outlineLevel="1">
      <c r="A51" s="67" t="s">
        <v>132</v>
      </c>
      <c r="B51" s="66"/>
      <c r="C51" s="66"/>
      <c r="D51" s="66"/>
      <c r="E51" s="66"/>
      <c r="F51" s="66"/>
      <c r="G51" s="66"/>
      <c r="H51" s="66"/>
      <c r="I51" s="66"/>
      <c r="J51" s="66"/>
      <c r="K51" s="66"/>
      <c r="L51" s="78"/>
      <c r="M51" s="66"/>
      <c r="N51" s="66"/>
      <c r="O51" s="66"/>
      <c r="P51" s="66"/>
      <c r="Q51" s="66"/>
      <c r="R51" s="66"/>
      <c r="S51" s="69"/>
      <c r="T51" s="66"/>
      <c r="U51" s="79"/>
      <c r="V51" s="79"/>
      <c r="W51" s="79"/>
      <c r="X51" s="79"/>
      <c r="Y51" s="79"/>
      <c r="Z51" s="66"/>
      <c r="AA51" s="79"/>
      <c r="AB51" s="92"/>
      <c r="AC51" s="79"/>
      <c r="AD51" s="116">
        <f>AD48*(AD49/4)</f>
        <v>6.25</v>
      </c>
      <c r="AE51" s="116">
        <f>SUM(AA51:AD51)</f>
        <v>6.25</v>
      </c>
      <c r="AF51" s="66"/>
      <c r="AG51" s="79"/>
      <c r="AH51" s="92"/>
      <c r="AI51" s="116">
        <f>AI48*(AI49/4)</f>
        <v>6.25</v>
      </c>
      <c r="AJ51" s="116">
        <f>AJ48*(AJ49/4)</f>
        <v>6.25</v>
      </c>
      <c r="AK51" s="116">
        <f>AK49*AK48</f>
        <v>25</v>
      </c>
      <c r="AL51" s="66"/>
      <c r="AM51" s="116">
        <f>AM48*(AM49/4)</f>
        <v>6.25</v>
      </c>
      <c r="AN51" s="116">
        <f>AN48*(AN49/4)</f>
        <v>6.25</v>
      </c>
      <c r="AO51" s="116">
        <f>AO48*(AO49/4)</f>
        <v>6.25</v>
      </c>
      <c r="AP51" s="116">
        <f>AP48*(AP49/4)</f>
        <v>6.25</v>
      </c>
      <c r="AQ51" s="116">
        <f>AQ49*AQ48</f>
        <v>25</v>
      </c>
      <c r="AR51" s="66"/>
      <c r="AS51" s="116">
        <f>AS48*(AS49/4)</f>
        <v>6.25</v>
      </c>
      <c r="AT51" s="116">
        <f>AT48*(AT49/4)</f>
        <v>6.25</v>
      </c>
      <c r="AU51" s="116">
        <f>AU48*(AU49/4)</f>
        <v>6.25</v>
      </c>
      <c r="AV51" s="116">
        <f>AV48*(AV49/4)</f>
        <v>6.25</v>
      </c>
      <c r="AW51" s="204">
        <f>AW49*AW48</f>
        <v>25</v>
      </c>
      <c r="AX51" s="66"/>
      <c r="AY51" s="116">
        <f>AY48*(AY49/4)</f>
        <v>6.25</v>
      </c>
      <c r="AZ51" s="116">
        <f>AZ48*(AZ49/4)</f>
        <v>6.25</v>
      </c>
      <c r="BA51" s="116">
        <f>BA48*(BA49/4)</f>
        <v>6.25</v>
      </c>
      <c r="BB51" s="116">
        <f>BB48*(BB49/4)</f>
        <v>6.25</v>
      </c>
      <c r="BC51" s="204">
        <f>BC49*BC48</f>
        <v>25</v>
      </c>
      <c r="BD51" s="66"/>
      <c r="BE51" s="116">
        <f>BE48*(BE49/4)</f>
        <v>6.25</v>
      </c>
      <c r="BF51" s="116">
        <f>BF48*(BF49/4)</f>
        <v>6.25</v>
      </c>
      <c r="BG51" s="116">
        <f>BG48*(BG49/4)</f>
        <v>6.25</v>
      </c>
      <c r="BH51" s="116">
        <f>BH48*(BH49/4)</f>
        <v>6.25</v>
      </c>
      <c r="BI51" s="204">
        <f>BI49*BI48</f>
        <v>25</v>
      </c>
      <c r="BJ51" s="66"/>
      <c r="BK51" s="116">
        <f>BK48*(BK49/4)</f>
        <v>6.25</v>
      </c>
      <c r="BL51" s="116">
        <f>BL48*(BL49/4)</f>
        <v>6.25</v>
      </c>
      <c r="BM51" s="116">
        <f>BM48*(BM49/4)</f>
        <v>6.25</v>
      </c>
      <c r="BN51" s="116">
        <f>BN48*(BN49/4)</f>
        <v>6.25</v>
      </c>
      <c r="BO51" s="204">
        <f>BO49*BO48</f>
        <v>25</v>
      </c>
      <c r="BP51" s="66"/>
      <c r="BQ51" s="116">
        <f>BQ48*(BQ49/4)</f>
        <v>6.25</v>
      </c>
      <c r="BR51" s="116">
        <f>BR48*(BR49/4)</f>
        <v>6.25</v>
      </c>
      <c r="BS51" s="116">
        <f>BS48*(BS49/4)</f>
        <v>6.25</v>
      </c>
      <c r="BT51" s="116">
        <f>BT48*(BT49/4)</f>
        <v>6.25</v>
      </c>
      <c r="BU51" s="204">
        <f>BU49*BU48</f>
        <v>25</v>
      </c>
      <c r="BV51" s="66"/>
      <c r="BW51" s="116">
        <f>BW48*(BW49/4)</f>
        <v>6.25</v>
      </c>
      <c r="BX51" s="116">
        <f>BX48*(BX49/4)</f>
        <v>6.25</v>
      </c>
      <c r="BY51" s="116">
        <f>BY48*(BY49/4)</f>
        <v>6.25</v>
      </c>
      <c r="BZ51" s="116">
        <f>BZ48*(BZ49/4)</f>
        <v>6.25</v>
      </c>
      <c r="CA51" s="204">
        <f>CA49*CA48</f>
        <v>25</v>
      </c>
      <c r="CB51" s="66"/>
      <c r="CC51" s="116">
        <f>CC48*(CC49/4)</f>
        <v>6.25</v>
      </c>
      <c r="CD51" s="116">
        <f>CD48*(CD49/4)</f>
        <v>6.25</v>
      </c>
      <c r="CE51" s="116">
        <f>CE48*(CE49/4)</f>
        <v>6.25</v>
      </c>
      <c r="CF51" s="116">
        <f>CF48*(CF49/4)</f>
        <v>6.25</v>
      </c>
      <c r="CG51" s="204">
        <f>CG49*CG48</f>
        <v>25</v>
      </c>
      <c r="CH51" s="66"/>
      <c r="CI51" s="116">
        <f>CI48*(CI49/4)</f>
        <v>6.25</v>
      </c>
      <c r="CJ51" s="116">
        <f>CJ48*(CJ49/4)</f>
        <v>6.25</v>
      </c>
      <c r="CK51" s="116">
        <f>CK48*(CK49/4)</f>
        <v>6.25</v>
      </c>
      <c r="CL51" s="116">
        <f>CL48*(CL49/4)</f>
        <v>6.25</v>
      </c>
      <c r="CM51" s="204">
        <f>CM49*CM48</f>
        <v>25</v>
      </c>
    </row>
    <row r="52" spans="1:91" s="211" customFormat="1" ht="12.75" hidden="1" customHeight="1" outlineLevel="1">
      <c r="A52" s="67"/>
      <c r="B52" s="66"/>
      <c r="C52" s="66"/>
      <c r="D52" s="66"/>
      <c r="E52" s="66"/>
      <c r="F52" s="66"/>
      <c r="G52" s="66"/>
      <c r="H52" s="66"/>
      <c r="I52" s="66"/>
      <c r="J52" s="66"/>
      <c r="K52" s="66"/>
      <c r="L52" s="78"/>
      <c r="M52" s="66"/>
      <c r="N52" s="66"/>
      <c r="O52" s="66"/>
      <c r="P52" s="66"/>
      <c r="Q52" s="66"/>
      <c r="R52" s="66"/>
      <c r="S52" s="69"/>
      <c r="T52" s="66"/>
      <c r="U52" s="79"/>
      <c r="V52" s="79"/>
      <c r="W52" s="79"/>
      <c r="X52" s="79"/>
      <c r="Y52" s="79"/>
      <c r="Z52" s="66"/>
      <c r="AA52" s="79"/>
      <c r="AB52" s="92"/>
      <c r="AC52" s="79"/>
      <c r="AD52" s="79"/>
      <c r="AE52" s="116"/>
      <c r="AF52" s="66"/>
      <c r="AG52" s="79"/>
      <c r="AH52" s="92"/>
      <c r="AI52" s="79"/>
      <c r="AJ52" s="79"/>
      <c r="AK52" s="79"/>
      <c r="AL52" s="66"/>
      <c r="AM52" s="79"/>
      <c r="AN52" s="79"/>
      <c r="AO52" s="79"/>
      <c r="AP52" s="79"/>
      <c r="AQ52" s="79"/>
      <c r="AR52" s="66"/>
      <c r="AS52" s="79"/>
      <c r="AT52" s="79"/>
      <c r="AU52" s="79"/>
      <c r="AV52" s="79"/>
      <c r="AW52" s="85"/>
      <c r="AX52" s="66"/>
      <c r="AY52" s="79"/>
      <c r="AZ52" s="79"/>
      <c r="BA52" s="79"/>
      <c r="BB52" s="79"/>
      <c r="BC52" s="85"/>
      <c r="BD52" s="66"/>
      <c r="BE52" s="79"/>
      <c r="BF52" s="79"/>
      <c r="BG52" s="79"/>
      <c r="BH52" s="79"/>
      <c r="BI52" s="85"/>
      <c r="BJ52" s="66"/>
      <c r="BK52" s="79"/>
      <c r="BL52" s="79"/>
      <c r="BM52" s="79"/>
      <c r="BN52" s="79"/>
      <c r="BO52" s="85"/>
      <c r="BP52" s="66"/>
      <c r="BQ52" s="79"/>
      <c r="BR52" s="79"/>
      <c r="BS52" s="79"/>
      <c r="BT52" s="79"/>
      <c r="BU52" s="85"/>
      <c r="BV52" s="66"/>
      <c r="BW52" s="79"/>
      <c r="BX52" s="79"/>
      <c r="BY52" s="79"/>
      <c r="BZ52" s="79"/>
      <c r="CA52" s="85"/>
      <c r="CB52" s="66"/>
      <c r="CC52" s="79"/>
      <c r="CD52" s="79"/>
      <c r="CE52" s="79"/>
      <c r="CF52" s="79"/>
      <c r="CG52" s="85"/>
      <c r="CH52" s="66"/>
      <c r="CI52" s="79"/>
      <c r="CJ52" s="79"/>
      <c r="CK52" s="79"/>
      <c r="CL52" s="79"/>
      <c r="CM52" s="85"/>
    </row>
    <row r="53" spans="1:91" s="211" customFormat="1" ht="12.75" hidden="1" customHeight="1" outlineLevel="1">
      <c r="A53" s="67" t="s">
        <v>328</v>
      </c>
      <c r="B53" s="66"/>
      <c r="C53" s="66"/>
      <c r="D53" s="66"/>
      <c r="E53" s="66"/>
      <c r="F53" s="66"/>
      <c r="G53" s="66"/>
      <c r="H53" s="66"/>
      <c r="I53" s="66"/>
      <c r="J53" s="66"/>
      <c r="K53" s="66"/>
      <c r="L53" s="78"/>
      <c r="M53" s="66"/>
      <c r="N53" s="66"/>
      <c r="O53" s="66"/>
      <c r="P53" s="66"/>
      <c r="Q53" s="66"/>
      <c r="R53" s="66"/>
      <c r="S53" s="69"/>
      <c r="T53" s="66"/>
      <c r="U53" s="79"/>
      <c r="V53" s="79"/>
      <c r="W53" s="79"/>
      <c r="X53" s="79"/>
      <c r="Y53" s="79"/>
      <c r="Z53" s="66"/>
      <c r="AA53" s="64">
        <v>150</v>
      </c>
      <c r="AB53" s="59">
        <f>AA53-AA55</f>
        <v>150</v>
      </c>
      <c r="AC53" s="59">
        <f>AB53-AB55</f>
        <v>150</v>
      </c>
      <c r="AD53" s="59">
        <f>AC53-AC55</f>
        <v>150</v>
      </c>
      <c r="AE53" s="59">
        <f>AD53</f>
        <v>150</v>
      </c>
      <c r="AF53" s="66"/>
      <c r="AG53" s="64">
        <v>150</v>
      </c>
      <c r="AH53" s="59">
        <f>AG53-AG55</f>
        <v>150</v>
      </c>
      <c r="AI53" s="59">
        <f>AH53-AH55</f>
        <v>150</v>
      </c>
      <c r="AJ53" s="59">
        <f>AI53-AI55</f>
        <v>150</v>
      </c>
      <c r="AK53" s="59">
        <f>AE53-AK55</f>
        <v>150</v>
      </c>
      <c r="AL53" s="66"/>
      <c r="AM53" s="59">
        <f>AJ53-AJ55</f>
        <v>150</v>
      </c>
      <c r="AN53" s="59">
        <f>AM53-AM55</f>
        <v>150</v>
      </c>
      <c r="AO53" s="59">
        <f>AN53-AN55</f>
        <v>150</v>
      </c>
      <c r="AP53" s="59">
        <f>AO53-AO55</f>
        <v>150</v>
      </c>
      <c r="AQ53" s="59">
        <f>AK53-AQ55</f>
        <v>150</v>
      </c>
      <c r="AR53" s="66"/>
      <c r="AS53" s="59">
        <f>AP53-AP55</f>
        <v>150</v>
      </c>
      <c r="AT53" s="59">
        <f>AS53-AS55</f>
        <v>150</v>
      </c>
      <c r="AU53" s="59">
        <f>AT53-AT55</f>
        <v>150</v>
      </c>
      <c r="AV53" s="59">
        <f>AU53-AU55</f>
        <v>150</v>
      </c>
      <c r="AW53" s="60">
        <f>AQ53-AW55</f>
        <v>150</v>
      </c>
      <c r="AX53" s="66"/>
      <c r="AY53" s="59">
        <f>AV53-AV55</f>
        <v>150</v>
      </c>
      <c r="AZ53" s="59">
        <f>AY53-AY55</f>
        <v>150</v>
      </c>
      <c r="BA53" s="59">
        <f>AZ53-AZ55</f>
        <v>150</v>
      </c>
      <c r="BB53" s="59">
        <f>BA53-BA55</f>
        <v>150</v>
      </c>
      <c r="BC53" s="60">
        <f>AW53-BC55</f>
        <v>150</v>
      </c>
      <c r="BD53" s="66"/>
      <c r="BE53" s="59">
        <f>BB53-BB55</f>
        <v>150</v>
      </c>
      <c r="BF53" s="59">
        <f>BE53-BE55</f>
        <v>150</v>
      </c>
      <c r="BG53" s="59">
        <f>BF53-BF55</f>
        <v>150</v>
      </c>
      <c r="BH53" s="59">
        <f>BG53-BG55</f>
        <v>150</v>
      </c>
      <c r="BI53" s="60">
        <f>BC53-BI55</f>
        <v>150</v>
      </c>
      <c r="BJ53" s="66"/>
      <c r="BK53" s="59">
        <f>BH53-BH55</f>
        <v>150</v>
      </c>
      <c r="BL53" s="59">
        <f>BK53-BK55</f>
        <v>150</v>
      </c>
      <c r="BM53" s="59">
        <f>BL53-BL55</f>
        <v>150</v>
      </c>
      <c r="BN53" s="59">
        <f>BM53-BM55</f>
        <v>150</v>
      </c>
      <c r="BO53" s="60">
        <f>BI53-BO55</f>
        <v>150</v>
      </c>
      <c r="BP53" s="66"/>
      <c r="BQ53" s="59">
        <f>BN53-BN55</f>
        <v>150</v>
      </c>
      <c r="BR53" s="59">
        <f>BQ53-BQ55</f>
        <v>150</v>
      </c>
      <c r="BS53" s="59">
        <f>BR53-BR55</f>
        <v>150</v>
      </c>
      <c r="BT53" s="59">
        <f>BS53-BS55</f>
        <v>150</v>
      </c>
      <c r="BU53" s="60">
        <f>BO53-BU55</f>
        <v>150</v>
      </c>
      <c r="BV53" s="66"/>
      <c r="BW53" s="59">
        <f>BT53-BT55</f>
        <v>150</v>
      </c>
      <c r="BX53" s="59">
        <f>BW53-BW55</f>
        <v>150</v>
      </c>
      <c r="BY53" s="59">
        <f>BX53-BX55</f>
        <v>150</v>
      </c>
      <c r="BZ53" s="59">
        <f>BY53-BY55</f>
        <v>150</v>
      </c>
      <c r="CA53" s="60">
        <f>BU53-CA55</f>
        <v>150</v>
      </c>
      <c r="CB53" s="66"/>
      <c r="CC53" s="59">
        <f>BZ53-BZ55</f>
        <v>150</v>
      </c>
      <c r="CD53" s="59">
        <f>CC53-CC55</f>
        <v>150</v>
      </c>
      <c r="CE53" s="59">
        <f>CD53-CD55</f>
        <v>150</v>
      </c>
      <c r="CF53" s="59">
        <f>CE53-CE55</f>
        <v>150</v>
      </c>
      <c r="CG53" s="60">
        <f>CA53-CG55</f>
        <v>150</v>
      </c>
      <c r="CH53" s="66"/>
      <c r="CI53" s="59">
        <f>CF53-CF55</f>
        <v>150</v>
      </c>
      <c r="CJ53" s="59">
        <f>CI53-CI55</f>
        <v>150</v>
      </c>
      <c r="CK53" s="59">
        <f>CJ53-CJ55</f>
        <v>150</v>
      </c>
      <c r="CL53" s="59">
        <f>CK53-CK55</f>
        <v>150</v>
      </c>
      <c r="CM53" s="60">
        <f>CG53-CM55</f>
        <v>150</v>
      </c>
    </row>
    <row r="54" spans="1:91" s="211" customFormat="1" ht="12.75" hidden="1" customHeight="1" outlineLevel="1">
      <c r="A54" s="86" t="s">
        <v>329</v>
      </c>
      <c r="B54" s="115"/>
      <c r="C54" s="115"/>
      <c r="D54" s="115"/>
      <c r="E54" s="115"/>
      <c r="F54" s="115"/>
      <c r="G54" s="115"/>
      <c r="H54" s="115"/>
      <c r="I54" s="115"/>
      <c r="J54" s="115"/>
      <c r="K54" s="115"/>
      <c r="L54" s="78"/>
      <c r="M54" s="115"/>
      <c r="N54" s="115"/>
      <c r="O54" s="66"/>
      <c r="P54" s="66"/>
      <c r="Q54" s="66"/>
      <c r="R54" s="66"/>
      <c r="S54" s="69"/>
      <c r="T54" s="115"/>
      <c r="U54" s="79"/>
      <c r="V54" s="79"/>
      <c r="W54" s="79"/>
      <c r="X54" s="79"/>
      <c r="Y54" s="79"/>
      <c r="Z54" s="115"/>
      <c r="AA54" s="82">
        <v>0.06</v>
      </c>
      <c r="AB54" s="82">
        <v>0.06</v>
      </c>
      <c r="AC54" s="82">
        <v>0.06</v>
      </c>
      <c r="AD54" s="82">
        <v>0.06</v>
      </c>
      <c r="AE54" s="79">
        <f>AVERAGE(AA54:AD54)</f>
        <v>0.06</v>
      </c>
      <c r="AF54" s="115"/>
      <c r="AG54" s="82">
        <v>0.06</v>
      </c>
      <c r="AH54" s="82">
        <v>0.06</v>
      </c>
      <c r="AI54" s="82">
        <v>0.06</v>
      </c>
      <c r="AJ54" s="82">
        <v>0.06</v>
      </c>
      <c r="AK54" s="79">
        <f>AE54</f>
        <v>0.06</v>
      </c>
      <c r="AL54" s="115"/>
      <c r="AM54" s="82">
        <v>0.06</v>
      </c>
      <c r="AN54" s="82">
        <v>0.06</v>
      </c>
      <c r="AO54" s="82">
        <v>0.06</v>
      </c>
      <c r="AP54" s="82">
        <v>0.06</v>
      </c>
      <c r="AQ54" s="79">
        <f>AK54</f>
        <v>0.06</v>
      </c>
      <c r="AR54" s="115"/>
      <c r="AS54" s="82">
        <v>0.06</v>
      </c>
      <c r="AT54" s="82">
        <v>0.06</v>
      </c>
      <c r="AU54" s="82">
        <v>0.06</v>
      </c>
      <c r="AV54" s="82">
        <v>0.06</v>
      </c>
      <c r="AW54" s="85">
        <f>AQ54</f>
        <v>0.06</v>
      </c>
      <c r="AX54" s="115"/>
      <c r="AY54" s="82">
        <v>0.06</v>
      </c>
      <c r="AZ54" s="82">
        <v>0.06</v>
      </c>
      <c r="BA54" s="82">
        <v>0.06</v>
      </c>
      <c r="BB54" s="82">
        <v>0.06</v>
      </c>
      <c r="BC54" s="85">
        <f>AW54</f>
        <v>0.06</v>
      </c>
      <c r="BD54" s="115"/>
      <c r="BE54" s="82">
        <v>0.06</v>
      </c>
      <c r="BF54" s="82">
        <v>0.06</v>
      </c>
      <c r="BG54" s="82">
        <v>0.06</v>
      </c>
      <c r="BH54" s="82">
        <v>0.06</v>
      </c>
      <c r="BI54" s="85">
        <f>BC54</f>
        <v>0.06</v>
      </c>
      <c r="BJ54" s="115"/>
      <c r="BK54" s="82">
        <v>0.06</v>
      </c>
      <c r="BL54" s="82">
        <v>0.06</v>
      </c>
      <c r="BM54" s="82">
        <v>0.06</v>
      </c>
      <c r="BN54" s="82">
        <v>0.06</v>
      </c>
      <c r="BO54" s="85">
        <f>BI54</f>
        <v>0.06</v>
      </c>
      <c r="BP54" s="115"/>
      <c r="BQ54" s="82">
        <v>0.06</v>
      </c>
      <c r="BR54" s="82">
        <v>0.06</v>
      </c>
      <c r="BS54" s="82">
        <v>0.06</v>
      </c>
      <c r="BT54" s="82">
        <v>0.06</v>
      </c>
      <c r="BU54" s="85">
        <f>BO54</f>
        <v>0.06</v>
      </c>
      <c r="BV54" s="115"/>
      <c r="BW54" s="82">
        <v>0.06</v>
      </c>
      <c r="BX54" s="82">
        <v>0.06</v>
      </c>
      <c r="BY54" s="82">
        <v>0.06</v>
      </c>
      <c r="BZ54" s="82">
        <v>0.06</v>
      </c>
      <c r="CA54" s="85">
        <f>BU54</f>
        <v>0.06</v>
      </c>
      <c r="CB54" s="115"/>
      <c r="CC54" s="82">
        <v>0.06</v>
      </c>
      <c r="CD54" s="82">
        <v>0.06</v>
      </c>
      <c r="CE54" s="82">
        <v>0.06</v>
      </c>
      <c r="CF54" s="82">
        <v>0.06</v>
      </c>
      <c r="CG54" s="85">
        <f>CA54</f>
        <v>0.06</v>
      </c>
      <c r="CH54" s="115"/>
      <c r="CI54" s="82">
        <v>0.06</v>
      </c>
      <c r="CJ54" s="82">
        <v>0.06</v>
      </c>
      <c r="CK54" s="82">
        <v>0.06</v>
      </c>
      <c r="CL54" s="82">
        <v>0.06</v>
      </c>
      <c r="CM54" s="85">
        <f>CG54</f>
        <v>0.06</v>
      </c>
    </row>
    <row r="55" spans="1:91" s="211" customFormat="1" ht="12.75" hidden="1" customHeight="1" outlineLevel="1">
      <c r="A55" s="67" t="s">
        <v>330</v>
      </c>
      <c r="B55" s="66"/>
      <c r="C55" s="66"/>
      <c r="D55" s="66"/>
      <c r="E55" s="66"/>
      <c r="F55" s="66"/>
      <c r="G55" s="66"/>
      <c r="H55" s="66"/>
      <c r="I55" s="66"/>
      <c r="J55" s="66"/>
      <c r="K55" s="66"/>
      <c r="L55" s="78"/>
      <c r="M55" s="66"/>
      <c r="N55" s="66"/>
      <c r="O55" s="66"/>
      <c r="P55" s="66"/>
      <c r="Q55" s="66"/>
      <c r="R55" s="66"/>
      <c r="S55" s="69"/>
      <c r="T55" s="66"/>
      <c r="U55" s="79"/>
      <c r="V55" s="79"/>
      <c r="W55" s="79"/>
      <c r="X55" s="79"/>
      <c r="Y55" s="79"/>
      <c r="Z55" s="66"/>
      <c r="AA55" s="70">
        <v>0</v>
      </c>
      <c r="AB55" s="70">
        <v>0</v>
      </c>
      <c r="AC55" s="70">
        <v>0</v>
      </c>
      <c r="AD55" s="70">
        <v>0</v>
      </c>
      <c r="AE55" s="69">
        <f>SUM(AA55:AD55)</f>
        <v>0</v>
      </c>
      <c r="AF55" s="66"/>
      <c r="AG55" s="70">
        <v>0</v>
      </c>
      <c r="AH55" s="70">
        <v>0</v>
      </c>
      <c r="AI55" s="70">
        <v>0</v>
      </c>
      <c r="AJ55" s="70">
        <v>0</v>
      </c>
      <c r="AK55" s="78">
        <v>0</v>
      </c>
      <c r="AL55" s="66"/>
      <c r="AM55" s="70">
        <v>0</v>
      </c>
      <c r="AN55" s="70">
        <v>0</v>
      </c>
      <c r="AO55" s="70">
        <v>0</v>
      </c>
      <c r="AP55" s="70">
        <v>0</v>
      </c>
      <c r="AQ55" s="78">
        <v>0</v>
      </c>
      <c r="AR55" s="66"/>
      <c r="AS55" s="70">
        <v>0</v>
      </c>
      <c r="AT55" s="70">
        <v>0</v>
      </c>
      <c r="AU55" s="70">
        <v>0</v>
      </c>
      <c r="AV55" s="70">
        <v>0</v>
      </c>
      <c r="AW55" s="203">
        <v>0</v>
      </c>
      <c r="AX55" s="66"/>
      <c r="AY55" s="70">
        <v>0</v>
      </c>
      <c r="AZ55" s="70">
        <v>0</v>
      </c>
      <c r="BA55" s="70">
        <v>0</v>
      </c>
      <c r="BB55" s="70">
        <v>0</v>
      </c>
      <c r="BC55" s="203">
        <v>0</v>
      </c>
      <c r="BD55" s="66"/>
      <c r="BE55" s="70">
        <v>0</v>
      </c>
      <c r="BF55" s="70">
        <v>0</v>
      </c>
      <c r="BG55" s="70">
        <v>0</v>
      </c>
      <c r="BH55" s="70">
        <v>0</v>
      </c>
      <c r="BI55" s="203">
        <v>0</v>
      </c>
      <c r="BJ55" s="66"/>
      <c r="BK55" s="70">
        <v>0</v>
      </c>
      <c r="BL55" s="70">
        <v>0</v>
      </c>
      <c r="BM55" s="70">
        <v>0</v>
      </c>
      <c r="BN55" s="70">
        <v>0</v>
      </c>
      <c r="BO55" s="203">
        <v>0</v>
      </c>
      <c r="BP55" s="66"/>
      <c r="BQ55" s="70">
        <v>0</v>
      </c>
      <c r="BR55" s="70">
        <v>0</v>
      </c>
      <c r="BS55" s="70">
        <v>0</v>
      </c>
      <c r="BT55" s="70">
        <v>0</v>
      </c>
      <c r="BU55" s="203">
        <v>0</v>
      </c>
      <c r="BV55" s="66"/>
      <c r="BW55" s="70">
        <v>0</v>
      </c>
      <c r="BX55" s="70">
        <v>0</v>
      </c>
      <c r="BY55" s="70">
        <v>0</v>
      </c>
      <c r="BZ55" s="70">
        <v>0</v>
      </c>
      <c r="CA55" s="203">
        <v>0</v>
      </c>
      <c r="CB55" s="66"/>
      <c r="CC55" s="70">
        <v>0</v>
      </c>
      <c r="CD55" s="70">
        <v>0</v>
      </c>
      <c r="CE55" s="70">
        <v>0</v>
      </c>
      <c r="CF55" s="70">
        <v>0</v>
      </c>
      <c r="CG55" s="203">
        <v>0</v>
      </c>
      <c r="CH55" s="66"/>
      <c r="CI55" s="70">
        <v>0</v>
      </c>
      <c r="CJ55" s="70">
        <v>0</v>
      </c>
      <c r="CK55" s="70">
        <v>0</v>
      </c>
      <c r="CL55" s="70">
        <v>0</v>
      </c>
      <c r="CM55" s="203">
        <v>0</v>
      </c>
    </row>
    <row r="56" spans="1:91" s="211" customFormat="1" ht="12.75" hidden="1" customHeight="1" outlineLevel="1">
      <c r="A56" s="67" t="s">
        <v>132</v>
      </c>
      <c r="B56" s="66"/>
      <c r="C56" s="66"/>
      <c r="D56" s="66"/>
      <c r="E56" s="66"/>
      <c r="F56" s="66"/>
      <c r="G56" s="66"/>
      <c r="H56" s="66"/>
      <c r="I56" s="66"/>
      <c r="J56" s="66"/>
      <c r="K56" s="66"/>
      <c r="L56" s="78"/>
      <c r="M56" s="66"/>
      <c r="N56" s="66"/>
      <c r="O56" s="66"/>
      <c r="P56" s="66"/>
      <c r="Q56" s="66"/>
      <c r="R56" s="66"/>
      <c r="S56" s="69"/>
      <c r="T56" s="66"/>
      <c r="U56" s="79"/>
      <c r="V56" s="79"/>
      <c r="W56" s="79"/>
      <c r="X56" s="79"/>
      <c r="Y56" s="79"/>
      <c r="Z56" s="66"/>
      <c r="AA56" s="116">
        <f>AA53*(AA54/4)</f>
        <v>2.25</v>
      </c>
      <c r="AB56" s="116">
        <f>AB53*(AB54/4)</f>
        <v>2.25</v>
      </c>
      <c r="AC56" s="116">
        <f>AC53*(AC54/4)</f>
        <v>2.25</v>
      </c>
      <c r="AD56" s="116">
        <f>AD53*(AD54/4)</f>
        <v>2.25</v>
      </c>
      <c r="AE56" s="116">
        <f>SUM(AA56:AD56)</f>
        <v>9</v>
      </c>
      <c r="AF56" s="66"/>
      <c r="AG56" s="116">
        <f>AG53*(AG54/4)</f>
        <v>2.25</v>
      </c>
      <c r="AH56" s="116">
        <f>AH53*(AH54/4)</f>
        <v>2.25</v>
      </c>
      <c r="AI56" s="116">
        <f>AI53*(AI54/4)</f>
        <v>2.25</v>
      </c>
      <c r="AJ56" s="116">
        <f>AJ53*(AJ54/4)</f>
        <v>2.25</v>
      </c>
      <c r="AK56" s="116">
        <f>AK54*AK53</f>
        <v>9</v>
      </c>
      <c r="AL56" s="66"/>
      <c r="AM56" s="116">
        <f>AM53*(AM54/4)</f>
        <v>2.25</v>
      </c>
      <c r="AN56" s="116">
        <f>AN53*(AN54/4)</f>
        <v>2.25</v>
      </c>
      <c r="AO56" s="116">
        <f>AO53*(AO54/4)</f>
        <v>2.25</v>
      </c>
      <c r="AP56" s="116">
        <f>AP53*(AP54/4)</f>
        <v>2.25</v>
      </c>
      <c r="AQ56" s="116">
        <f>AQ54*AQ53</f>
        <v>9</v>
      </c>
      <c r="AR56" s="66"/>
      <c r="AS56" s="116">
        <f>AS53*(AS54/4)</f>
        <v>2.25</v>
      </c>
      <c r="AT56" s="116">
        <f>AT53*(AT54/4)</f>
        <v>2.25</v>
      </c>
      <c r="AU56" s="116">
        <f>AU53*(AU54/4)</f>
        <v>2.25</v>
      </c>
      <c r="AV56" s="116">
        <f>AV53*(AV54/4)</f>
        <v>2.25</v>
      </c>
      <c r="AW56" s="204">
        <f>AW54*AW53</f>
        <v>9</v>
      </c>
      <c r="AX56" s="66"/>
      <c r="AY56" s="116">
        <f>AY53*(AY54/4)</f>
        <v>2.25</v>
      </c>
      <c r="AZ56" s="116">
        <f>AZ53*(AZ54/4)</f>
        <v>2.25</v>
      </c>
      <c r="BA56" s="116">
        <f>BA53*(BA54/4)</f>
        <v>2.25</v>
      </c>
      <c r="BB56" s="116">
        <f>BB53*(BB54/4)</f>
        <v>2.25</v>
      </c>
      <c r="BC56" s="204">
        <f>BC54*BC53</f>
        <v>9</v>
      </c>
      <c r="BD56" s="66"/>
      <c r="BE56" s="116">
        <f>BE53*(BE54/4)</f>
        <v>2.25</v>
      </c>
      <c r="BF56" s="116">
        <f>BF53*(BF54/4)</f>
        <v>2.25</v>
      </c>
      <c r="BG56" s="116">
        <f>BG53*(BG54/4)</f>
        <v>2.25</v>
      </c>
      <c r="BH56" s="116">
        <f>BH53*(BH54/4)</f>
        <v>2.25</v>
      </c>
      <c r="BI56" s="204">
        <f>BI54*BI53</f>
        <v>9</v>
      </c>
      <c r="BJ56" s="66"/>
      <c r="BK56" s="116">
        <f>BK53*(BK54/4)</f>
        <v>2.25</v>
      </c>
      <c r="BL56" s="116">
        <f>BL53*(BL54/4)</f>
        <v>2.25</v>
      </c>
      <c r="BM56" s="116">
        <f>BM53*(BM54/4)</f>
        <v>2.25</v>
      </c>
      <c r="BN56" s="116">
        <f>BN53*(BN54/4)</f>
        <v>2.25</v>
      </c>
      <c r="BO56" s="204">
        <f>BO54*BO53</f>
        <v>9</v>
      </c>
      <c r="BP56" s="66"/>
      <c r="BQ56" s="116">
        <f>BQ53*(BQ54/4)</f>
        <v>2.25</v>
      </c>
      <c r="BR56" s="116">
        <f>BR53*(BR54/4)</f>
        <v>2.25</v>
      </c>
      <c r="BS56" s="116">
        <f>BS53*(BS54/4)</f>
        <v>2.25</v>
      </c>
      <c r="BT56" s="116">
        <f>BT53*(BT54/4)</f>
        <v>2.25</v>
      </c>
      <c r="BU56" s="204">
        <f>BU54*BU53</f>
        <v>9</v>
      </c>
      <c r="BV56" s="66"/>
      <c r="BW56" s="116">
        <f>BW53*(BW54/4)</f>
        <v>2.25</v>
      </c>
      <c r="BX56" s="116">
        <f>BX53*(BX54/4)</f>
        <v>2.25</v>
      </c>
      <c r="BY56" s="116">
        <f>BY53*(BY54/4)</f>
        <v>2.25</v>
      </c>
      <c r="BZ56" s="116">
        <f>BZ53*(BZ54/4)</f>
        <v>2.25</v>
      </c>
      <c r="CA56" s="204">
        <f>CA54*CA53</f>
        <v>9</v>
      </c>
      <c r="CB56" s="66"/>
      <c r="CC56" s="116">
        <f>CC53*(CC54/4)</f>
        <v>2.25</v>
      </c>
      <c r="CD56" s="116">
        <f>CD53*(CD54/4)</f>
        <v>2.25</v>
      </c>
      <c r="CE56" s="116">
        <f>CE53*(CE54/4)</f>
        <v>2.25</v>
      </c>
      <c r="CF56" s="116">
        <f>CF53*(CF54/4)</f>
        <v>2.25</v>
      </c>
      <c r="CG56" s="204">
        <f>CG54*CG53</f>
        <v>9</v>
      </c>
      <c r="CH56" s="66"/>
      <c r="CI56" s="116">
        <f>CI53*(CI54/4)</f>
        <v>2.25</v>
      </c>
      <c r="CJ56" s="116">
        <f>CJ53*(CJ54/4)</f>
        <v>2.25</v>
      </c>
      <c r="CK56" s="116">
        <f>CK53*(CK54/4)</f>
        <v>2.25</v>
      </c>
      <c r="CL56" s="116">
        <f>CL53*(CL54/4)</f>
        <v>2.25</v>
      </c>
      <c r="CM56" s="204">
        <f>CM54*CM53</f>
        <v>9</v>
      </c>
    </row>
    <row r="57" spans="1:91" s="211" customFormat="1" ht="12.75" hidden="1" customHeight="1" outlineLevel="1">
      <c r="A57" s="67"/>
      <c r="B57" s="66"/>
      <c r="C57" s="66"/>
      <c r="D57" s="66"/>
      <c r="E57" s="66"/>
      <c r="F57" s="66"/>
      <c r="G57" s="66"/>
      <c r="H57" s="66"/>
      <c r="I57" s="66"/>
      <c r="J57" s="66"/>
      <c r="K57" s="66"/>
      <c r="L57" s="78"/>
      <c r="M57" s="66"/>
      <c r="N57" s="66"/>
      <c r="O57" s="66"/>
      <c r="P57" s="66"/>
      <c r="Q57" s="66"/>
      <c r="R57" s="66"/>
      <c r="S57" s="69"/>
      <c r="T57" s="66"/>
      <c r="U57" s="79"/>
      <c r="V57" s="79"/>
      <c r="W57" s="79"/>
      <c r="X57" s="79"/>
      <c r="Y57" s="79"/>
      <c r="Z57" s="66"/>
      <c r="AA57" s="79"/>
      <c r="AB57" s="92"/>
      <c r="AC57" s="79"/>
      <c r="AD57" s="79"/>
      <c r="AE57" s="79"/>
      <c r="AF57" s="66"/>
      <c r="AG57" s="79"/>
      <c r="AH57" s="92"/>
      <c r="AI57" s="79"/>
      <c r="AJ57" s="79"/>
      <c r="AK57" s="79"/>
      <c r="AL57" s="66"/>
      <c r="AM57" s="79"/>
      <c r="AN57" s="79"/>
      <c r="AO57" s="79"/>
      <c r="AP57" s="79"/>
      <c r="AQ57" s="79"/>
      <c r="AR57" s="66"/>
      <c r="AS57" s="79"/>
      <c r="AT57" s="79"/>
      <c r="AU57" s="79"/>
      <c r="AV57" s="79"/>
      <c r="AW57" s="85"/>
      <c r="AX57" s="66"/>
      <c r="AY57" s="79"/>
      <c r="AZ57" s="79"/>
      <c r="BA57" s="79"/>
      <c r="BB57" s="79"/>
      <c r="BC57" s="85"/>
      <c r="BD57" s="66"/>
      <c r="BE57" s="79"/>
      <c r="BF57" s="79"/>
      <c r="BG57" s="79"/>
      <c r="BH57" s="79"/>
      <c r="BI57" s="85"/>
      <c r="BJ57" s="66"/>
      <c r="BK57" s="79"/>
      <c r="BL57" s="79"/>
      <c r="BM57" s="79"/>
      <c r="BN57" s="79"/>
      <c r="BO57" s="85"/>
      <c r="BP57" s="66"/>
      <c r="BQ57" s="79"/>
      <c r="BR57" s="79"/>
      <c r="BS57" s="79"/>
      <c r="BT57" s="79"/>
      <c r="BU57" s="85"/>
      <c r="BV57" s="66"/>
      <c r="BW57" s="79"/>
      <c r="BX57" s="79"/>
      <c r="BY57" s="79"/>
      <c r="BZ57" s="79"/>
      <c r="CA57" s="85"/>
      <c r="CB57" s="66"/>
      <c r="CC57" s="79"/>
      <c r="CD57" s="79"/>
      <c r="CE57" s="79"/>
      <c r="CF57" s="79"/>
      <c r="CG57" s="85"/>
      <c r="CH57" s="66"/>
      <c r="CI57" s="79"/>
      <c r="CJ57" s="79"/>
      <c r="CK57" s="79"/>
      <c r="CL57" s="79"/>
      <c r="CM57" s="85"/>
    </row>
    <row r="58" spans="1:91" s="211" customFormat="1" ht="12.75" hidden="1" customHeight="1" outlineLevel="1">
      <c r="A58" s="67" t="s">
        <v>331</v>
      </c>
      <c r="B58" s="66"/>
      <c r="C58" s="66"/>
      <c r="D58" s="66"/>
      <c r="E58" s="66"/>
      <c r="F58" s="66"/>
      <c r="G58" s="66"/>
      <c r="H58" s="66"/>
      <c r="I58" s="66"/>
      <c r="J58" s="66"/>
      <c r="K58" s="66"/>
      <c r="L58" s="78"/>
      <c r="M58" s="66"/>
      <c r="N58" s="66"/>
      <c r="O58" s="66"/>
      <c r="P58" s="66"/>
      <c r="Q58" s="66"/>
      <c r="R58" s="66"/>
      <c r="S58" s="69"/>
      <c r="T58" s="66"/>
      <c r="U58" s="79"/>
      <c r="V58" s="79"/>
      <c r="W58" s="79"/>
      <c r="X58" s="79"/>
      <c r="Y58" s="79"/>
      <c r="Z58" s="66"/>
      <c r="AA58" s="64">
        <v>274</v>
      </c>
      <c r="AB58" s="59">
        <f>AA58</f>
        <v>274</v>
      </c>
      <c r="AC58" s="59">
        <f>AB58</f>
        <v>274</v>
      </c>
      <c r="AD58" s="59">
        <f>AC58</f>
        <v>274</v>
      </c>
      <c r="AE58" s="59">
        <f>AD58</f>
        <v>274</v>
      </c>
      <c r="AF58" s="66"/>
      <c r="AG58" s="64">
        <v>274</v>
      </c>
      <c r="AH58" s="59">
        <f>AG58</f>
        <v>274</v>
      </c>
      <c r="AI58" s="59">
        <v>0</v>
      </c>
      <c r="AJ58" s="59">
        <v>0</v>
      </c>
      <c r="AK58" s="59">
        <f>AE58-AK60</f>
        <v>274</v>
      </c>
      <c r="AL58" s="66"/>
      <c r="AM58" s="59">
        <f>AK58</f>
        <v>274</v>
      </c>
      <c r="AN58" s="59">
        <f>AM58</f>
        <v>274</v>
      </c>
      <c r="AO58" s="59">
        <f>AN58</f>
        <v>274</v>
      </c>
      <c r="AP58" s="59">
        <f>AO58</f>
        <v>274</v>
      </c>
      <c r="AQ58" s="59">
        <f>AK58-AQ60</f>
        <v>274</v>
      </c>
      <c r="AR58" s="66"/>
      <c r="AS58" s="59">
        <f>AQ58</f>
        <v>274</v>
      </c>
      <c r="AT58" s="59">
        <f>AS58</f>
        <v>274</v>
      </c>
      <c r="AU58" s="59">
        <f>AT58</f>
        <v>274</v>
      </c>
      <c r="AV58" s="59">
        <f>AU58</f>
        <v>274</v>
      </c>
      <c r="AW58" s="60">
        <f>AQ58-AW60</f>
        <v>274</v>
      </c>
      <c r="AX58" s="66"/>
      <c r="AY58" s="59">
        <f>AW58</f>
        <v>274</v>
      </c>
      <c r="AZ58" s="59">
        <f>AY58</f>
        <v>274</v>
      </c>
      <c r="BA58" s="59">
        <f>AZ58</f>
        <v>274</v>
      </c>
      <c r="BB58" s="59">
        <f>BA58</f>
        <v>274</v>
      </c>
      <c r="BC58" s="60">
        <f>AW58-BC60</f>
        <v>274</v>
      </c>
      <c r="BD58" s="66"/>
      <c r="BE58" s="59">
        <f>BC58</f>
        <v>274</v>
      </c>
      <c r="BF58" s="59">
        <f>BE58</f>
        <v>274</v>
      </c>
      <c r="BG58" s="59">
        <f>BF58</f>
        <v>274</v>
      </c>
      <c r="BH58" s="59">
        <f>BG58</f>
        <v>274</v>
      </c>
      <c r="BI58" s="60">
        <f>BC58-BI60</f>
        <v>274</v>
      </c>
      <c r="BJ58" s="66"/>
      <c r="BK58" s="59">
        <f>BI58</f>
        <v>274</v>
      </c>
      <c r="BL58" s="59">
        <f>BK58</f>
        <v>274</v>
      </c>
      <c r="BM58" s="59">
        <f>BL58</f>
        <v>274</v>
      </c>
      <c r="BN58" s="59">
        <f>BM58</f>
        <v>274</v>
      </c>
      <c r="BO58" s="60">
        <f>BI58-BO60</f>
        <v>274</v>
      </c>
      <c r="BP58" s="66"/>
      <c r="BQ58" s="59">
        <f>BO58</f>
        <v>274</v>
      </c>
      <c r="BR58" s="59">
        <f>BQ58</f>
        <v>274</v>
      </c>
      <c r="BS58" s="59">
        <f>BR58</f>
        <v>274</v>
      </c>
      <c r="BT58" s="59">
        <f>BS58</f>
        <v>274</v>
      </c>
      <c r="BU58" s="60">
        <f>BO58-BU60</f>
        <v>274</v>
      </c>
      <c r="BV58" s="66"/>
      <c r="BW58" s="59">
        <f>BU58</f>
        <v>274</v>
      </c>
      <c r="BX58" s="59">
        <f>BW58</f>
        <v>274</v>
      </c>
      <c r="BY58" s="59">
        <f>BX58</f>
        <v>274</v>
      </c>
      <c r="BZ58" s="59">
        <f>BY58</f>
        <v>274</v>
      </c>
      <c r="CA58" s="60">
        <f>BU58-CA60</f>
        <v>274</v>
      </c>
      <c r="CB58" s="66"/>
      <c r="CC58" s="59">
        <f>CA58</f>
        <v>274</v>
      </c>
      <c r="CD58" s="59">
        <f>CC58</f>
        <v>274</v>
      </c>
      <c r="CE58" s="59">
        <f>CD58</f>
        <v>274</v>
      </c>
      <c r="CF58" s="59">
        <f>CE58</f>
        <v>274</v>
      </c>
      <c r="CG58" s="60">
        <f>CA58-CG60</f>
        <v>274</v>
      </c>
      <c r="CH58" s="66"/>
      <c r="CI58" s="59">
        <f>CG58</f>
        <v>274</v>
      </c>
      <c r="CJ58" s="59">
        <f>CI58</f>
        <v>274</v>
      </c>
      <c r="CK58" s="59">
        <f>CJ58</f>
        <v>274</v>
      </c>
      <c r="CL58" s="59">
        <f>CK58</f>
        <v>274</v>
      </c>
      <c r="CM58" s="60">
        <f>CG58-CM60</f>
        <v>274</v>
      </c>
    </row>
    <row r="59" spans="1:91" s="211" customFormat="1" ht="12.75" hidden="1" customHeight="1" outlineLevel="1">
      <c r="A59" s="86" t="s">
        <v>329</v>
      </c>
      <c r="B59" s="115"/>
      <c r="C59" s="115"/>
      <c r="D59" s="115"/>
      <c r="E59" s="115"/>
      <c r="F59" s="115"/>
      <c r="G59" s="115"/>
      <c r="H59" s="115"/>
      <c r="I59" s="115"/>
      <c r="J59" s="115"/>
      <c r="K59" s="115"/>
      <c r="L59" s="78"/>
      <c r="M59" s="115"/>
      <c r="N59" s="115"/>
      <c r="O59" s="66"/>
      <c r="P59" s="66"/>
      <c r="Q59" s="66"/>
      <c r="R59" s="66"/>
      <c r="S59" s="69"/>
      <c r="T59" s="115"/>
      <c r="U59" s="79"/>
      <c r="V59" s="79"/>
      <c r="W59" s="79"/>
      <c r="X59" s="79"/>
      <c r="Y59" s="79"/>
      <c r="Z59" s="115"/>
      <c r="AA59" s="117">
        <v>7.4999999999999997E-3</v>
      </c>
      <c r="AB59" s="117">
        <v>7.4999999999999997E-3</v>
      </c>
      <c r="AC59" s="117">
        <v>7.4999999999999997E-3</v>
      </c>
      <c r="AD59" s="117">
        <v>7.4999999999999997E-3</v>
      </c>
      <c r="AE59" s="118">
        <f>AVERAGE(AA59:AD59)</f>
        <v>7.4999999999999997E-3</v>
      </c>
      <c r="AF59" s="115"/>
      <c r="AG59" s="117">
        <v>7.4999999999999997E-3</v>
      </c>
      <c r="AH59" s="117">
        <v>7.4999999999999997E-3</v>
      </c>
      <c r="AI59" s="117">
        <v>7.4999999999999997E-3</v>
      </c>
      <c r="AJ59" s="117">
        <v>7.4999999999999997E-3</v>
      </c>
      <c r="AK59" s="79">
        <f>AE59</f>
        <v>7.4999999999999997E-3</v>
      </c>
      <c r="AL59" s="115"/>
      <c r="AM59" s="117">
        <v>7.4999999999999997E-3</v>
      </c>
      <c r="AN59" s="117">
        <v>7.4999999999999997E-3</v>
      </c>
      <c r="AO59" s="117">
        <v>7.4999999999999997E-3</v>
      </c>
      <c r="AP59" s="117">
        <v>7.4999999999999997E-3</v>
      </c>
      <c r="AQ59" s="79">
        <f>AK59</f>
        <v>7.4999999999999997E-3</v>
      </c>
      <c r="AR59" s="115"/>
      <c r="AS59" s="117">
        <v>7.4999999999999997E-3</v>
      </c>
      <c r="AT59" s="117">
        <v>7.4999999999999997E-3</v>
      </c>
      <c r="AU59" s="117">
        <v>7.4999999999999997E-3</v>
      </c>
      <c r="AV59" s="117">
        <v>7.4999999999999997E-3</v>
      </c>
      <c r="AW59" s="85">
        <f>AQ59</f>
        <v>7.4999999999999997E-3</v>
      </c>
      <c r="AX59" s="115"/>
      <c r="AY59" s="117">
        <v>7.4999999999999997E-3</v>
      </c>
      <c r="AZ59" s="117">
        <v>7.4999999999999997E-3</v>
      </c>
      <c r="BA59" s="117">
        <v>7.4999999999999997E-3</v>
      </c>
      <c r="BB59" s="117">
        <v>7.4999999999999997E-3</v>
      </c>
      <c r="BC59" s="85">
        <f>AW59</f>
        <v>7.4999999999999997E-3</v>
      </c>
      <c r="BD59" s="115"/>
      <c r="BE59" s="117">
        <v>7.4999999999999997E-3</v>
      </c>
      <c r="BF59" s="117">
        <v>7.4999999999999997E-3</v>
      </c>
      <c r="BG59" s="117">
        <v>7.4999999999999997E-3</v>
      </c>
      <c r="BH59" s="117">
        <v>7.4999999999999997E-3</v>
      </c>
      <c r="BI59" s="85">
        <f>BC59</f>
        <v>7.4999999999999997E-3</v>
      </c>
      <c r="BJ59" s="115"/>
      <c r="BK59" s="117">
        <v>7.4999999999999997E-3</v>
      </c>
      <c r="BL59" s="117">
        <v>7.4999999999999997E-3</v>
      </c>
      <c r="BM59" s="117">
        <v>7.4999999999999997E-3</v>
      </c>
      <c r="BN59" s="117">
        <v>7.4999999999999997E-3</v>
      </c>
      <c r="BO59" s="85">
        <f>BI59</f>
        <v>7.4999999999999997E-3</v>
      </c>
      <c r="BP59" s="115"/>
      <c r="BQ59" s="117">
        <v>7.4999999999999997E-3</v>
      </c>
      <c r="BR59" s="117">
        <v>7.4999999999999997E-3</v>
      </c>
      <c r="BS59" s="117">
        <v>7.4999999999999997E-3</v>
      </c>
      <c r="BT59" s="117">
        <v>7.4999999999999997E-3</v>
      </c>
      <c r="BU59" s="85">
        <f>BO59</f>
        <v>7.4999999999999997E-3</v>
      </c>
      <c r="BV59" s="115"/>
      <c r="BW59" s="117">
        <v>7.4999999999999997E-3</v>
      </c>
      <c r="BX59" s="117">
        <v>7.4999999999999997E-3</v>
      </c>
      <c r="BY59" s="117">
        <v>7.4999999999999997E-3</v>
      </c>
      <c r="BZ59" s="117">
        <v>7.4999999999999997E-3</v>
      </c>
      <c r="CA59" s="85">
        <f>BU59</f>
        <v>7.4999999999999997E-3</v>
      </c>
      <c r="CB59" s="115"/>
      <c r="CC59" s="117">
        <v>7.4999999999999997E-3</v>
      </c>
      <c r="CD59" s="117">
        <v>7.4999999999999997E-3</v>
      </c>
      <c r="CE59" s="117">
        <v>7.4999999999999997E-3</v>
      </c>
      <c r="CF59" s="117">
        <v>7.4999999999999997E-3</v>
      </c>
      <c r="CG59" s="85">
        <f>CA59</f>
        <v>7.4999999999999997E-3</v>
      </c>
      <c r="CH59" s="115"/>
      <c r="CI59" s="117">
        <v>7.4999999999999997E-3</v>
      </c>
      <c r="CJ59" s="117">
        <v>7.4999999999999997E-3</v>
      </c>
      <c r="CK59" s="117">
        <v>7.4999999999999997E-3</v>
      </c>
      <c r="CL59" s="117">
        <v>7.4999999999999997E-3</v>
      </c>
      <c r="CM59" s="85">
        <f>CG59</f>
        <v>7.4999999999999997E-3</v>
      </c>
    </row>
    <row r="60" spans="1:91" s="211" customFormat="1" ht="12.75" hidden="1" customHeight="1" outlineLevel="1">
      <c r="A60" s="67" t="s">
        <v>330</v>
      </c>
      <c r="B60" s="66"/>
      <c r="C60" s="66"/>
      <c r="D60" s="66"/>
      <c r="E60" s="66"/>
      <c r="F60" s="66"/>
      <c r="G60" s="66"/>
      <c r="H60" s="66"/>
      <c r="I60" s="66"/>
      <c r="J60" s="66"/>
      <c r="K60" s="66"/>
      <c r="L60" s="78"/>
      <c r="M60" s="66"/>
      <c r="N60" s="66"/>
      <c r="O60" s="66"/>
      <c r="P60" s="66"/>
      <c r="Q60" s="66"/>
      <c r="R60" s="66"/>
      <c r="S60" s="69"/>
      <c r="T60" s="66"/>
      <c r="U60" s="79"/>
      <c r="V60" s="79"/>
      <c r="W60" s="79"/>
      <c r="X60" s="79"/>
      <c r="Y60" s="79"/>
      <c r="Z60" s="66"/>
      <c r="AA60" s="78">
        <v>0</v>
      </c>
      <c r="AB60" s="78">
        <v>0</v>
      </c>
      <c r="AC60" s="78">
        <v>0</v>
      </c>
      <c r="AD60" s="78">
        <v>0</v>
      </c>
      <c r="AE60" s="69">
        <f>SUM(AA60:AD60)</f>
        <v>0</v>
      </c>
      <c r="AF60" s="66"/>
      <c r="AG60" s="78">
        <v>0</v>
      </c>
      <c r="AH60" s="78">
        <v>0</v>
      </c>
      <c r="AI60" s="78">
        <v>0</v>
      </c>
      <c r="AJ60" s="78">
        <v>0</v>
      </c>
      <c r="AK60" s="69">
        <f>SUM(AG60:AJ60)</f>
        <v>0</v>
      </c>
      <c r="AL60" s="66"/>
      <c r="AM60" s="78">
        <v>0</v>
      </c>
      <c r="AN60" s="78">
        <v>0</v>
      </c>
      <c r="AO60" s="78">
        <v>0</v>
      </c>
      <c r="AP60" s="78">
        <v>0</v>
      </c>
      <c r="AQ60" s="69">
        <f>SUM(AM60:AP60)</f>
        <v>0</v>
      </c>
      <c r="AR60" s="66"/>
      <c r="AS60" s="78">
        <v>0</v>
      </c>
      <c r="AT60" s="78">
        <v>0</v>
      </c>
      <c r="AU60" s="78">
        <v>0</v>
      </c>
      <c r="AV60" s="78">
        <v>0</v>
      </c>
      <c r="AW60" s="203">
        <v>0</v>
      </c>
      <c r="AX60" s="66"/>
      <c r="AY60" s="78">
        <v>0</v>
      </c>
      <c r="AZ60" s="78">
        <v>0</v>
      </c>
      <c r="BA60" s="78">
        <v>0</v>
      </c>
      <c r="BB60" s="78">
        <v>0</v>
      </c>
      <c r="BC60" s="203">
        <v>0</v>
      </c>
      <c r="BD60" s="66"/>
      <c r="BE60" s="78">
        <v>0</v>
      </c>
      <c r="BF60" s="78">
        <v>0</v>
      </c>
      <c r="BG60" s="78">
        <v>0</v>
      </c>
      <c r="BH60" s="78">
        <v>0</v>
      </c>
      <c r="BI60" s="203">
        <v>0</v>
      </c>
      <c r="BJ60" s="66"/>
      <c r="BK60" s="78">
        <v>0</v>
      </c>
      <c r="BL60" s="78">
        <v>0</v>
      </c>
      <c r="BM60" s="78">
        <v>0</v>
      </c>
      <c r="BN60" s="78">
        <v>0</v>
      </c>
      <c r="BO60" s="203">
        <v>0</v>
      </c>
      <c r="BP60" s="66"/>
      <c r="BQ60" s="78">
        <v>0</v>
      </c>
      <c r="BR60" s="78">
        <v>0</v>
      </c>
      <c r="BS60" s="78">
        <v>0</v>
      </c>
      <c r="BT60" s="78">
        <v>0</v>
      </c>
      <c r="BU60" s="203">
        <v>0</v>
      </c>
      <c r="BV60" s="66"/>
      <c r="BW60" s="78">
        <v>0</v>
      </c>
      <c r="BX60" s="78">
        <v>0</v>
      </c>
      <c r="BY60" s="78">
        <v>0</v>
      </c>
      <c r="BZ60" s="78">
        <v>0</v>
      </c>
      <c r="CA60" s="203">
        <v>0</v>
      </c>
      <c r="CB60" s="66"/>
      <c r="CC60" s="78">
        <v>0</v>
      </c>
      <c r="CD60" s="78">
        <v>0</v>
      </c>
      <c r="CE60" s="78">
        <v>0</v>
      </c>
      <c r="CF60" s="78">
        <v>0</v>
      </c>
      <c r="CG60" s="203">
        <v>0</v>
      </c>
      <c r="CH60" s="66"/>
      <c r="CI60" s="78">
        <v>0</v>
      </c>
      <c r="CJ60" s="78">
        <v>0</v>
      </c>
      <c r="CK60" s="78">
        <v>0</v>
      </c>
      <c r="CL60" s="78">
        <v>0</v>
      </c>
      <c r="CM60" s="203">
        <v>0</v>
      </c>
    </row>
    <row r="61" spans="1:91" s="211" customFormat="1" ht="12.75" hidden="1" customHeight="1" outlineLevel="1">
      <c r="A61" s="67" t="s">
        <v>132</v>
      </c>
      <c r="B61" s="66"/>
      <c r="C61" s="66"/>
      <c r="D61" s="66"/>
      <c r="E61" s="66"/>
      <c r="F61" s="66"/>
      <c r="G61" s="66"/>
      <c r="H61" s="66"/>
      <c r="I61" s="66"/>
      <c r="J61" s="66"/>
      <c r="K61" s="66"/>
      <c r="L61" s="78"/>
      <c r="M61" s="66"/>
      <c r="N61" s="66"/>
      <c r="O61" s="66"/>
      <c r="P61" s="66"/>
      <c r="Q61" s="66"/>
      <c r="R61" s="66"/>
      <c r="S61" s="69"/>
      <c r="T61" s="66"/>
      <c r="U61" s="79"/>
      <c r="V61" s="79"/>
      <c r="W61" s="79"/>
      <c r="X61" s="79"/>
      <c r="Y61" s="79"/>
      <c r="Z61" s="66"/>
      <c r="AA61" s="116">
        <f>AA58*(AA59/4)</f>
        <v>0.51374999999999993</v>
      </c>
      <c r="AB61" s="116">
        <f>AB58*(AB59/4)</f>
        <v>0.51374999999999993</v>
      </c>
      <c r="AC61" s="116">
        <f>AC58*(AC59/4)</f>
        <v>0.51374999999999993</v>
      </c>
      <c r="AD61" s="116">
        <f>AD58*(AD59/4)</f>
        <v>0.51374999999999993</v>
      </c>
      <c r="AE61" s="116">
        <f>SUM(AA61:AD61)</f>
        <v>2.0549999999999997</v>
      </c>
      <c r="AF61" s="66"/>
      <c r="AG61" s="116">
        <f>AG58*(AG59/4)</f>
        <v>0.51374999999999993</v>
      </c>
      <c r="AH61" s="116">
        <f>AH58*(AH59/4)</f>
        <v>0.51374999999999993</v>
      </c>
      <c r="AI61" s="116">
        <f>AI58*(AI59/4)</f>
        <v>0</v>
      </c>
      <c r="AJ61" s="116">
        <f>AJ58*(AJ59/4)</f>
        <v>0</v>
      </c>
      <c r="AK61" s="116">
        <f>AK59*AK58</f>
        <v>2.0549999999999997</v>
      </c>
      <c r="AL61" s="66"/>
      <c r="AM61" s="116">
        <f>AM58*(AM59/4)</f>
        <v>0.51374999999999993</v>
      </c>
      <c r="AN61" s="116">
        <f>AN58*(AN59/4)</f>
        <v>0.51374999999999993</v>
      </c>
      <c r="AO61" s="116">
        <f>AO58*(AO59/4)</f>
        <v>0.51374999999999993</v>
      </c>
      <c r="AP61" s="116">
        <f>AP58*(AP59/4)</f>
        <v>0.51374999999999993</v>
      </c>
      <c r="AQ61" s="116">
        <f>AQ59*AQ58</f>
        <v>2.0549999999999997</v>
      </c>
      <c r="AR61" s="66"/>
      <c r="AS61" s="116">
        <f>AS58*(AS59/4)</f>
        <v>0.51374999999999993</v>
      </c>
      <c r="AT61" s="116">
        <f>AT58*(AT59/4)</f>
        <v>0.51374999999999993</v>
      </c>
      <c r="AU61" s="116">
        <f>AU58*(AU59/4)</f>
        <v>0.51374999999999993</v>
      </c>
      <c r="AV61" s="116">
        <f>AV58*(AV59/4)</f>
        <v>0.51374999999999993</v>
      </c>
      <c r="AW61" s="204">
        <f>AW59*AW58</f>
        <v>2.0549999999999997</v>
      </c>
      <c r="AX61" s="66"/>
      <c r="AY61" s="116">
        <f>AY58*(AY59/4)</f>
        <v>0.51374999999999993</v>
      </c>
      <c r="AZ61" s="116">
        <f>AZ58*(AZ59/4)</f>
        <v>0.51374999999999993</v>
      </c>
      <c r="BA61" s="116">
        <f>BA58*(BA59/4)</f>
        <v>0.51374999999999993</v>
      </c>
      <c r="BB61" s="116">
        <f>BB58*(BB59/4)</f>
        <v>0.51374999999999993</v>
      </c>
      <c r="BC61" s="204">
        <f>BC59*BC58</f>
        <v>2.0549999999999997</v>
      </c>
      <c r="BD61" s="66"/>
      <c r="BE61" s="116">
        <f>BE58*(BE59/4)</f>
        <v>0.51374999999999993</v>
      </c>
      <c r="BF61" s="116">
        <f>BF58*(BF59/4)</f>
        <v>0.51374999999999993</v>
      </c>
      <c r="BG61" s="116">
        <f>BG58*(BG59/4)</f>
        <v>0.51374999999999993</v>
      </c>
      <c r="BH61" s="116">
        <f>BH58*(BH59/4)</f>
        <v>0.51374999999999993</v>
      </c>
      <c r="BI61" s="204">
        <f>BI59*BI58</f>
        <v>2.0549999999999997</v>
      </c>
      <c r="BJ61" s="66"/>
      <c r="BK61" s="116">
        <f>BK58*(BK59/4)</f>
        <v>0.51374999999999993</v>
      </c>
      <c r="BL61" s="116">
        <f>BL58*(BL59/4)</f>
        <v>0.51374999999999993</v>
      </c>
      <c r="BM61" s="116">
        <f>BM58*(BM59/4)</f>
        <v>0.51374999999999993</v>
      </c>
      <c r="BN61" s="116">
        <f>BN58*(BN59/4)</f>
        <v>0.51374999999999993</v>
      </c>
      <c r="BO61" s="204">
        <f>BO59*BO58</f>
        <v>2.0549999999999997</v>
      </c>
      <c r="BP61" s="66"/>
      <c r="BQ61" s="116">
        <f>BQ58*(BQ59/4)</f>
        <v>0.51374999999999993</v>
      </c>
      <c r="BR61" s="116">
        <f>BR58*(BR59/4)</f>
        <v>0.51374999999999993</v>
      </c>
      <c r="BS61" s="116">
        <f>BS58*(BS59/4)</f>
        <v>0.51374999999999993</v>
      </c>
      <c r="BT61" s="116">
        <f>BT58*(BT59/4)</f>
        <v>0.51374999999999993</v>
      </c>
      <c r="BU61" s="204">
        <f>BU59*BU58</f>
        <v>2.0549999999999997</v>
      </c>
      <c r="BV61" s="66"/>
      <c r="BW61" s="116">
        <f>BW58*(BW59/4)</f>
        <v>0.51374999999999993</v>
      </c>
      <c r="BX61" s="116">
        <f>BX58*(BX59/4)</f>
        <v>0.51374999999999993</v>
      </c>
      <c r="BY61" s="116">
        <f>BY58*(BY59/4)</f>
        <v>0.51374999999999993</v>
      </c>
      <c r="BZ61" s="116">
        <f>BZ58*(BZ59/4)</f>
        <v>0.51374999999999993</v>
      </c>
      <c r="CA61" s="204">
        <f>CA59*CA58</f>
        <v>2.0549999999999997</v>
      </c>
      <c r="CB61" s="66"/>
      <c r="CC61" s="116">
        <f>CC58*(CC59/4)</f>
        <v>0.51374999999999993</v>
      </c>
      <c r="CD61" s="116">
        <f>CD58*(CD59/4)</f>
        <v>0.51374999999999993</v>
      </c>
      <c r="CE61" s="116">
        <f>CE58*(CE59/4)</f>
        <v>0.51374999999999993</v>
      </c>
      <c r="CF61" s="116">
        <f>CF58*(CF59/4)</f>
        <v>0.51374999999999993</v>
      </c>
      <c r="CG61" s="204">
        <f>CG59*CG58</f>
        <v>2.0549999999999997</v>
      </c>
      <c r="CH61" s="66"/>
      <c r="CI61" s="116">
        <f>CI58*(CI59/4)</f>
        <v>0.51374999999999993</v>
      </c>
      <c r="CJ61" s="116">
        <f>CJ58*(CJ59/4)</f>
        <v>0.51374999999999993</v>
      </c>
      <c r="CK61" s="116">
        <f>CK58*(CK59/4)</f>
        <v>0.51374999999999993</v>
      </c>
      <c r="CL61" s="116">
        <f>CL58*(CL59/4)</f>
        <v>0.51374999999999993</v>
      </c>
      <c r="CM61" s="204">
        <f>CM59*CM58</f>
        <v>2.0549999999999997</v>
      </c>
    </row>
    <row r="62" spans="1:91" s="211" customFormat="1" ht="12.75" hidden="1" customHeight="1" outlineLevel="1">
      <c r="A62" s="67"/>
      <c r="B62" s="66"/>
      <c r="C62" s="66"/>
      <c r="D62" s="66"/>
      <c r="E62" s="66"/>
      <c r="F62" s="66"/>
      <c r="G62" s="66"/>
      <c r="H62" s="66"/>
      <c r="I62" s="66"/>
      <c r="J62" s="66"/>
      <c r="K62" s="66"/>
      <c r="L62" s="78"/>
      <c r="M62" s="66"/>
      <c r="N62" s="66"/>
      <c r="O62" s="66"/>
      <c r="P62" s="66"/>
      <c r="Q62" s="66"/>
      <c r="R62" s="66"/>
      <c r="S62" s="69"/>
      <c r="T62" s="66"/>
      <c r="U62" s="79"/>
      <c r="V62" s="79"/>
      <c r="W62" s="79"/>
      <c r="X62" s="79"/>
      <c r="Y62" s="79"/>
      <c r="Z62" s="66"/>
      <c r="AA62" s="79"/>
      <c r="AB62" s="92"/>
      <c r="AC62" s="79"/>
      <c r="AD62" s="79"/>
      <c r="AE62" s="79"/>
      <c r="AF62" s="66"/>
      <c r="AG62" s="79"/>
      <c r="AH62" s="92"/>
      <c r="AI62" s="79"/>
      <c r="AJ62" s="79"/>
      <c r="AK62" s="79"/>
      <c r="AL62" s="66"/>
      <c r="AM62" s="79"/>
      <c r="AN62" s="79"/>
      <c r="AO62" s="79"/>
      <c r="AP62" s="79"/>
      <c r="AQ62" s="79"/>
      <c r="AR62" s="66"/>
      <c r="AS62" s="79"/>
      <c r="AT62" s="79"/>
      <c r="AU62" s="79"/>
      <c r="AV62" s="79"/>
      <c r="AW62" s="85"/>
      <c r="AX62" s="66"/>
      <c r="AY62" s="79"/>
      <c r="AZ62" s="79"/>
      <c r="BA62" s="79"/>
      <c r="BB62" s="79"/>
      <c r="BC62" s="85"/>
      <c r="BD62" s="66"/>
      <c r="BE62" s="79"/>
      <c r="BF62" s="79"/>
      <c r="BG62" s="79"/>
      <c r="BH62" s="79"/>
      <c r="BI62" s="85"/>
      <c r="BJ62" s="66"/>
      <c r="BK62" s="79"/>
      <c r="BL62" s="79"/>
      <c r="BM62" s="79"/>
      <c r="BN62" s="79"/>
      <c r="BO62" s="85"/>
      <c r="BP62" s="66"/>
      <c r="BQ62" s="79"/>
      <c r="BR62" s="79"/>
      <c r="BS62" s="79"/>
      <c r="BT62" s="79"/>
      <c r="BU62" s="85"/>
      <c r="BV62" s="66"/>
      <c r="BW62" s="79"/>
      <c r="BX62" s="79"/>
      <c r="BY62" s="79"/>
      <c r="BZ62" s="79"/>
      <c r="CA62" s="85"/>
      <c r="CB62" s="66"/>
      <c r="CC62" s="79"/>
      <c r="CD62" s="79"/>
      <c r="CE62" s="79"/>
      <c r="CF62" s="79"/>
      <c r="CG62" s="85"/>
      <c r="CH62" s="66"/>
      <c r="CI62" s="79"/>
      <c r="CJ62" s="79"/>
      <c r="CK62" s="79"/>
      <c r="CL62" s="79"/>
      <c r="CM62" s="85"/>
    </row>
    <row r="63" spans="1:91" s="211" customFormat="1" ht="12.75" hidden="1" customHeight="1" outlineLevel="1">
      <c r="A63" s="119" t="s">
        <v>332</v>
      </c>
      <c r="B63" s="120"/>
      <c r="C63" s="120"/>
      <c r="D63" s="120"/>
      <c r="E63" s="120"/>
      <c r="F63" s="120"/>
      <c r="G63" s="120"/>
      <c r="H63" s="120"/>
      <c r="I63" s="120"/>
      <c r="J63" s="120"/>
      <c r="K63" s="120"/>
      <c r="L63" s="89"/>
      <c r="M63" s="120"/>
      <c r="N63" s="120"/>
      <c r="O63" s="90"/>
      <c r="P63" s="90"/>
      <c r="Q63" s="90"/>
      <c r="R63" s="90"/>
      <c r="S63" s="91"/>
      <c r="T63" s="120"/>
      <c r="U63" s="68"/>
      <c r="V63" s="68"/>
      <c r="W63" s="68"/>
      <c r="X63" s="68"/>
      <c r="Y63" s="68"/>
      <c r="Z63" s="120"/>
      <c r="AA63" s="74">
        <f>AA61+AA56</f>
        <v>2.7637499999999999</v>
      </c>
      <c r="AB63" s="74">
        <f>AB61+AB56</f>
        <v>2.7637499999999999</v>
      </c>
      <c r="AC63" s="74">
        <f>AC61+AC56+AC51</f>
        <v>2.7637499999999999</v>
      </c>
      <c r="AD63" s="74">
        <f>AD61+AD56+AD51</f>
        <v>9.0137499999999999</v>
      </c>
      <c r="AE63" s="74">
        <f>AE61+AE56+AE51</f>
        <v>17.305</v>
      </c>
      <c r="AF63" s="120"/>
      <c r="AG63" s="74">
        <f>AG61+AG56</f>
        <v>2.7637499999999999</v>
      </c>
      <c r="AH63" s="74">
        <f>AH61+AH56</f>
        <v>2.7637499999999999</v>
      </c>
      <c r="AI63" s="74">
        <f>AI61+AI56+AI51</f>
        <v>8.5</v>
      </c>
      <c r="AJ63" s="74">
        <f>AJ61+AJ56+AJ51</f>
        <v>8.5</v>
      </c>
      <c r="AK63" s="74">
        <f>AK61+AK56+AK51</f>
        <v>36.055</v>
      </c>
      <c r="AL63" s="120"/>
      <c r="AM63" s="74">
        <f>AM61+AM56+AM51</f>
        <v>9.0137499999999999</v>
      </c>
      <c r="AN63" s="74">
        <f>AN61+AN56+AN51</f>
        <v>9.0137499999999999</v>
      </c>
      <c r="AO63" s="74">
        <f>AO61+AO56+AO51</f>
        <v>9.0137499999999999</v>
      </c>
      <c r="AP63" s="74">
        <f>AP61+AP56+AP51</f>
        <v>9.0137499999999999</v>
      </c>
      <c r="AQ63" s="74">
        <f>AQ61+AQ56+AQ51</f>
        <v>36.055</v>
      </c>
      <c r="AR63" s="120"/>
      <c r="AS63" s="74">
        <f>AS61+AS56+AS51</f>
        <v>9.0137499999999999</v>
      </c>
      <c r="AT63" s="74">
        <f>AT61+AT56+AT51</f>
        <v>9.0137499999999999</v>
      </c>
      <c r="AU63" s="74">
        <f>AU61+AU56+AU51</f>
        <v>9.0137499999999999</v>
      </c>
      <c r="AV63" s="74">
        <f>AV61+AV56+AV51</f>
        <v>9.0137499999999999</v>
      </c>
      <c r="AW63" s="210">
        <f>AW61+AW56+AW51</f>
        <v>36.055</v>
      </c>
      <c r="AX63" s="120"/>
      <c r="AY63" s="74">
        <f>AY61+AY56+AY51</f>
        <v>9.0137499999999999</v>
      </c>
      <c r="AZ63" s="74">
        <f>AZ61+AZ56+AZ51</f>
        <v>9.0137499999999999</v>
      </c>
      <c r="BA63" s="74">
        <f>BA61+BA56+BA51</f>
        <v>9.0137499999999999</v>
      </c>
      <c r="BB63" s="74">
        <f>BB61+BB56+BB51</f>
        <v>9.0137499999999999</v>
      </c>
      <c r="BC63" s="210">
        <f>BC61+BC56+BC51</f>
        <v>36.055</v>
      </c>
      <c r="BD63" s="120"/>
      <c r="BE63" s="74">
        <f>BE61+BE56+BE51</f>
        <v>9.0137499999999999</v>
      </c>
      <c r="BF63" s="74">
        <f>BF61+BF56+BF51</f>
        <v>9.0137499999999999</v>
      </c>
      <c r="BG63" s="74">
        <f>BG61+BG56+BG51</f>
        <v>9.0137499999999999</v>
      </c>
      <c r="BH63" s="74">
        <f>BH61+BH56+BH51</f>
        <v>9.0137499999999999</v>
      </c>
      <c r="BI63" s="210">
        <f>BI61+BI56+BI51</f>
        <v>36.055</v>
      </c>
      <c r="BJ63" s="120"/>
      <c r="BK63" s="74">
        <f>BK61+BK56+BK51</f>
        <v>9.0137499999999999</v>
      </c>
      <c r="BL63" s="74">
        <f>BL61+BL56+BL51</f>
        <v>9.0137499999999999</v>
      </c>
      <c r="BM63" s="74">
        <f>BM61+BM56+BM51</f>
        <v>9.0137499999999999</v>
      </c>
      <c r="BN63" s="74">
        <f>BN61+BN56+BN51</f>
        <v>9.0137499999999999</v>
      </c>
      <c r="BO63" s="210">
        <f>BO61+BO56+BO51</f>
        <v>36.055</v>
      </c>
      <c r="BP63" s="120"/>
      <c r="BQ63" s="74">
        <f>BQ61+BQ56+BQ51</f>
        <v>9.0137499999999999</v>
      </c>
      <c r="BR63" s="74">
        <f>BR61+BR56+BR51</f>
        <v>9.0137499999999999</v>
      </c>
      <c r="BS63" s="74">
        <f>BS61+BS56+BS51</f>
        <v>9.0137499999999999</v>
      </c>
      <c r="BT63" s="74">
        <f>BT61+BT56+BT51</f>
        <v>9.0137499999999999</v>
      </c>
      <c r="BU63" s="210">
        <f>BU61+BU56+BU51</f>
        <v>36.055</v>
      </c>
      <c r="BV63" s="120"/>
      <c r="BW63" s="74">
        <f>BW61+BW56+BW51</f>
        <v>9.0137499999999999</v>
      </c>
      <c r="BX63" s="74">
        <f>BX61+BX56+BX51</f>
        <v>9.0137499999999999</v>
      </c>
      <c r="BY63" s="74">
        <f>BY61+BY56+BY51</f>
        <v>9.0137499999999999</v>
      </c>
      <c r="BZ63" s="74">
        <f>BZ61+BZ56+BZ51</f>
        <v>9.0137499999999999</v>
      </c>
      <c r="CA63" s="210">
        <f>CA61+CA56+CA51</f>
        <v>36.055</v>
      </c>
      <c r="CB63" s="120"/>
      <c r="CC63" s="74">
        <f>CC61+CC56+CC51</f>
        <v>9.0137499999999999</v>
      </c>
      <c r="CD63" s="74">
        <f>CD61+CD56+CD51</f>
        <v>9.0137499999999999</v>
      </c>
      <c r="CE63" s="74">
        <f>CE61+CE56+CE51</f>
        <v>9.0137499999999999</v>
      </c>
      <c r="CF63" s="74">
        <f>CF61+CF56+CF51</f>
        <v>9.0137499999999999</v>
      </c>
      <c r="CG63" s="210">
        <f>CG61+CG56+CG51</f>
        <v>36.055</v>
      </c>
      <c r="CH63" s="120"/>
      <c r="CI63" s="74">
        <f>CI61+CI56+CI51</f>
        <v>9.0137499999999999</v>
      </c>
      <c r="CJ63" s="74">
        <f>CJ61+CJ56+CJ51</f>
        <v>9.0137499999999999</v>
      </c>
      <c r="CK63" s="74">
        <f>CK61+CK56+CK51</f>
        <v>9.0137499999999999</v>
      </c>
      <c r="CL63" s="74">
        <f>CL61+CL56+CL51</f>
        <v>9.0137499999999999</v>
      </c>
      <c r="CM63" s="210">
        <f>CM61+CM56+CM51</f>
        <v>36.055</v>
      </c>
    </row>
    <row r="64" spans="1:91" s="211" customFormat="1" ht="12.75" hidden="1" customHeight="1" outlineLevel="2">
      <c r="A64" s="121" t="s">
        <v>333</v>
      </c>
      <c r="B64" s="121"/>
      <c r="C64" s="121"/>
      <c r="D64" s="121"/>
      <c r="E64" s="121"/>
      <c r="F64" s="121"/>
      <c r="G64" s="121"/>
      <c r="H64" s="121"/>
      <c r="I64" s="121"/>
      <c r="J64" s="121"/>
      <c r="K64" s="121"/>
      <c r="L64" s="78"/>
      <c r="M64" s="121"/>
      <c r="N64" s="121"/>
      <c r="O64" s="66"/>
      <c r="P64" s="66"/>
      <c r="Q64" s="66"/>
      <c r="R64" s="66"/>
      <c r="S64" s="69"/>
      <c r="T64" s="121"/>
      <c r="U64" s="79"/>
      <c r="V64" s="79"/>
      <c r="W64" s="79"/>
      <c r="X64" s="79"/>
      <c r="Y64" s="79"/>
      <c r="Z64" s="121"/>
      <c r="AA64" s="79"/>
      <c r="AB64" s="92"/>
      <c r="AC64" s="79"/>
      <c r="AD64" s="79"/>
      <c r="AE64" s="79"/>
      <c r="AF64" s="121"/>
      <c r="AG64" s="79"/>
      <c r="AH64" s="92"/>
      <c r="AI64" s="79"/>
      <c r="AJ64" s="79"/>
      <c r="AK64" s="79"/>
      <c r="AL64" s="121"/>
      <c r="AM64" s="79"/>
      <c r="AN64" s="79"/>
      <c r="AO64" s="79"/>
      <c r="AP64" s="79"/>
      <c r="AQ64" s="79"/>
      <c r="AR64" s="121"/>
      <c r="AS64" s="79"/>
      <c r="AT64" s="79"/>
      <c r="AU64" s="79"/>
      <c r="AV64" s="79"/>
      <c r="AW64" s="79"/>
      <c r="AX64" s="121"/>
      <c r="AY64" s="79"/>
      <c r="AZ64" s="79"/>
      <c r="BA64" s="79"/>
      <c r="BB64" s="79"/>
      <c r="BC64" s="79"/>
      <c r="BD64" s="121"/>
      <c r="BE64" s="79"/>
      <c r="BF64" s="79"/>
      <c r="BG64" s="79"/>
      <c r="BH64" s="79"/>
      <c r="BI64" s="79"/>
      <c r="BJ64" s="121"/>
      <c r="BK64" s="79"/>
      <c r="BL64" s="79"/>
      <c r="BM64" s="79"/>
      <c r="BN64" s="79"/>
      <c r="BO64" s="79"/>
      <c r="BP64" s="121"/>
      <c r="BQ64" s="79"/>
      <c r="BR64" s="79"/>
      <c r="BS64" s="79"/>
      <c r="BT64" s="79"/>
      <c r="BU64" s="79"/>
      <c r="BV64" s="121"/>
      <c r="BW64" s="79"/>
      <c r="BX64" s="79"/>
      <c r="BY64" s="79"/>
      <c r="BZ64" s="79"/>
      <c r="CA64" s="79"/>
      <c r="CB64" s="121"/>
      <c r="CC64" s="79"/>
      <c r="CD64" s="79"/>
      <c r="CE64" s="79"/>
      <c r="CF64" s="79"/>
      <c r="CG64" s="79"/>
      <c r="CH64" s="121"/>
      <c r="CI64" s="79"/>
      <c r="CJ64" s="79"/>
      <c r="CK64" s="79"/>
      <c r="CL64" s="79"/>
      <c r="CM64" s="79"/>
    </row>
    <row r="65" spans="1:91" s="211" customFormat="1" ht="12.75" hidden="1" customHeight="1" outlineLevel="2">
      <c r="A65" s="121" t="s">
        <v>334</v>
      </c>
      <c r="B65" s="121"/>
      <c r="C65" s="121"/>
      <c r="D65" s="121"/>
      <c r="E65" s="121"/>
      <c r="F65" s="121"/>
      <c r="G65" s="121"/>
      <c r="H65" s="121"/>
      <c r="I65" s="121"/>
      <c r="J65" s="121"/>
      <c r="K65" s="121"/>
      <c r="L65" s="78"/>
      <c r="M65" s="121"/>
      <c r="N65" s="121"/>
      <c r="O65" s="66"/>
      <c r="P65" s="66"/>
      <c r="Q65" s="66"/>
      <c r="R65" s="66"/>
      <c r="S65" s="69"/>
      <c r="T65" s="121"/>
      <c r="U65" s="79"/>
      <c r="V65" s="79"/>
      <c r="W65" s="79"/>
      <c r="X65" s="79"/>
      <c r="Y65" s="79"/>
      <c r="Z65" s="121"/>
      <c r="AA65" s="79"/>
      <c r="AB65" s="92"/>
      <c r="AC65" s="79"/>
      <c r="AD65" s="79"/>
      <c r="AE65" s="55">
        <f>IS!AE18/AE63</f>
        <v>23.76758162380813</v>
      </c>
      <c r="AF65" s="121"/>
      <c r="AG65" s="79"/>
      <c r="AH65" s="92"/>
      <c r="AI65" s="79"/>
      <c r="AJ65" s="79"/>
      <c r="AK65" s="55">
        <f>IS!AK18/AK63</f>
        <v>9.7781445014561008</v>
      </c>
      <c r="AL65" s="121"/>
      <c r="AM65" s="79"/>
      <c r="AN65" s="79"/>
      <c r="AO65" s="79"/>
      <c r="AP65" s="79"/>
      <c r="AQ65" s="55">
        <f>IS!AQ18/AQ63</f>
        <v>9.5813027502426813</v>
      </c>
      <c r="AR65" s="121"/>
      <c r="AS65" s="79"/>
      <c r="AT65" s="79"/>
      <c r="AU65" s="79"/>
      <c r="AV65" s="79"/>
      <c r="AW65" s="55">
        <f>IS!AW18/AW63</f>
        <v>10.945979401381244</v>
      </c>
      <c r="AX65" s="121"/>
      <c r="AY65" s="79"/>
      <c r="AZ65" s="79"/>
      <c r="BA65" s="79"/>
      <c r="BB65" s="79"/>
      <c r="BC65" s="55">
        <f>IS!BC18/BC63</f>
        <v>10.073498821245314</v>
      </c>
      <c r="BD65" s="121"/>
      <c r="BE65" s="79"/>
      <c r="BF65" s="79"/>
      <c r="BG65" s="79"/>
      <c r="BH65" s="79"/>
      <c r="BI65" s="55">
        <f>IS!BI18/BI63</f>
        <v>10.916655110248229</v>
      </c>
      <c r="BJ65" s="121"/>
      <c r="BK65" s="79"/>
      <c r="BL65" s="79"/>
      <c r="BM65" s="79"/>
      <c r="BN65" s="79"/>
      <c r="BO65" s="55">
        <f>IS!BO18/BO63</f>
        <v>11.860796006101785</v>
      </c>
      <c r="BP65" s="121"/>
      <c r="BQ65" s="79"/>
      <c r="BR65" s="79"/>
      <c r="BS65" s="79"/>
      <c r="BT65" s="79"/>
      <c r="BU65" s="55">
        <f>IS!BU18/BU63</f>
        <v>15.350112220637753</v>
      </c>
      <c r="BV65" s="121"/>
      <c r="BW65" s="79"/>
      <c r="BX65" s="79"/>
      <c r="BY65" s="79"/>
      <c r="BZ65" s="79"/>
      <c r="CA65" s="55">
        <f>IS!CA18/CA63</f>
        <v>17.323994673378476</v>
      </c>
      <c r="CB65" s="121"/>
      <c r="CC65" s="79"/>
      <c r="CD65" s="79"/>
      <c r="CE65" s="79"/>
      <c r="CF65" s="79"/>
      <c r="CG65" s="55">
        <f>IS!CG18/CG63</f>
        <v>19.384723406895674</v>
      </c>
      <c r="CH65" s="121"/>
      <c r="CI65" s="79"/>
      <c r="CJ65" s="79"/>
      <c r="CK65" s="79"/>
      <c r="CL65" s="79"/>
      <c r="CM65" s="55">
        <f>IS!CM18/CM63</f>
        <v>21.34508054546539</v>
      </c>
    </row>
    <row r="66" spans="1:91" s="211" customFormat="1" ht="12.75" hidden="1" customHeight="1" outlineLevel="1">
      <c r="A66" s="66"/>
      <c r="B66" s="66"/>
      <c r="C66" s="66"/>
      <c r="D66" s="66"/>
      <c r="E66" s="66"/>
      <c r="F66" s="66"/>
      <c r="G66" s="66"/>
      <c r="H66" s="66"/>
      <c r="I66" s="66"/>
      <c r="J66" s="66"/>
      <c r="K66" s="66"/>
      <c r="L66" s="78"/>
      <c r="M66" s="66"/>
      <c r="N66" s="66"/>
      <c r="O66" s="66"/>
      <c r="P66" s="66"/>
      <c r="Q66" s="66"/>
      <c r="R66" s="66"/>
      <c r="S66" s="69"/>
      <c r="T66" s="66"/>
      <c r="U66" s="79"/>
      <c r="V66" s="79"/>
      <c r="W66" s="79"/>
      <c r="X66" s="79"/>
      <c r="Y66" s="79"/>
      <c r="Z66" s="66"/>
      <c r="AA66" s="79"/>
      <c r="AB66" s="92"/>
      <c r="AC66" s="79"/>
      <c r="AD66" s="79"/>
      <c r="AE66" s="79"/>
      <c r="AF66" s="66"/>
      <c r="AG66" s="79"/>
      <c r="AH66" s="92"/>
      <c r="AI66" s="79"/>
      <c r="AJ66" s="79"/>
      <c r="AK66" s="79"/>
      <c r="AL66" s="66"/>
      <c r="AM66" s="79"/>
      <c r="AN66" s="79"/>
      <c r="AO66" s="79"/>
      <c r="AP66" s="79"/>
      <c r="AQ66" s="79"/>
      <c r="AR66" s="66"/>
      <c r="AS66" s="79"/>
      <c r="AT66" s="79"/>
      <c r="AU66" s="79"/>
      <c r="AV66" s="79"/>
      <c r="AW66" s="79"/>
      <c r="AX66" s="66"/>
      <c r="AY66" s="79"/>
      <c r="AZ66" s="79"/>
      <c r="BA66" s="79"/>
      <c r="BB66" s="79"/>
      <c r="BC66" s="79"/>
      <c r="BD66" s="66"/>
      <c r="BE66" s="79"/>
      <c r="BF66" s="79"/>
      <c r="BG66" s="79"/>
      <c r="BH66" s="79"/>
      <c r="BI66" s="79"/>
      <c r="BJ66" s="66"/>
      <c r="BK66" s="79"/>
      <c r="BL66" s="79"/>
      <c r="BM66" s="79"/>
      <c r="BN66" s="79"/>
      <c r="BO66" s="79"/>
      <c r="BP66" s="66"/>
      <c r="BQ66" s="79"/>
      <c r="BR66" s="79"/>
      <c r="BS66" s="79"/>
      <c r="BT66" s="79"/>
      <c r="BU66" s="79"/>
      <c r="BV66" s="66"/>
      <c r="BW66" s="79"/>
      <c r="BX66" s="79"/>
      <c r="BY66" s="79"/>
      <c r="BZ66" s="79"/>
      <c r="CA66" s="79"/>
      <c r="CB66" s="66"/>
      <c r="CC66" s="79"/>
      <c r="CD66" s="79"/>
      <c r="CE66" s="79"/>
      <c r="CF66" s="79"/>
      <c r="CG66" s="79"/>
      <c r="CH66" s="66"/>
      <c r="CI66" s="79"/>
      <c r="CJ66" s="79"/>
      <c r="CK66" s="79"/>
      <c r="CL66" s="79"/>
      <c r="CM66" s="79"/>
    </row>
    <row r="67" spans="1:91" ht="12.75" hidden="1" customHeight="1" outlineLevel="1">
      <c r="A67" s="75" t="s">
        <v>335</v>
      </c>
      <c r="B67" s="99"/>
      <c r="C67" s="99"/>
      <c r="D67" s="99"/>
      <c r="E67" s="99"/>
      <c r="F67" s="99"/>
      <c r="G67" s="99"/>
      <c r="H67" s="99"/>
      <c r="I67" s="99"/>
      <c r="J67" s="99"/>
      <c r="K67" s="99"/>
      <c r="L67" s="76"/>
      <c r="M67" s="99"/>
      <c r="N67" s="99"/>
      <c r="O67" s="77"/>
      <c r="P67" s="77"/>
      <c r="Q67" s="77"/>
      <c r="R67" s="77"/>
      <c r="S67" s="76"/>
      <c r="T67" s="99"/>
      <c r="U67" s="76"/>
      <c r="V67" s="76"/>
      <c r="W67" s="76"/>
      <c r="X67" s="76"/>
      <c r="Y67" s="76"/>
      <c r="Z67" s="99"/>
      <c r="AA67" s="76"/>
      <c r="AB67" s="76"/>
      <c r="AC67" s="76"/>
      <c r="AD67" s="76"/>
      <c r="AE67" s="76"/>
      <c r="AF67" s="99"/>
      <c r="AG67" s="76"/>
      <c r="AH67" s="76"/>
      <c r="AI67" s="76"/>
      <c r="AJ67" s="76"/>
      <c r="AK67" s="76"/>
      <c r="AL67" s="99"/>
      <c r="AM67" s="76"/>
      <c r="AN67" s="76"/>
      <c r="AO67" s="76"/>
      <c r="AP67" s="76"/>
      <c r="AQ67" s="76"/>
      <c r="AR67" s="99"/>
      <c r="AS67" s="76"/>
      <c r="AT67" s="76"/>
      <c r="AU67" s="76"/>
      <c r="AV67" s="76"/>
      <c r="AW67" s="76"/>
      <c r="AX67" s="99"/>
      <c r="AY67" s="76"/>
      <c r="AZ67" s="76"/>
      <c r="BA67" s="76"/>
      <c r="BB67" s="76"/>
      <c r="BC67" s="76"/>
      <c r="BD67" s="99"/>
      <c r="BE67" s="76"/>
      <c r="BF67" s="76"/>
      <c r="BG67" s="76"/>
      <c r="BH67" s="76"/>
      <c r="BI67" s="76"/>
      <c r="BJ67" s="99"/>
      <c r="BK67" s="76"/>
      <c r="BL67" s="76"/>
      <c r="BM67" s="76"/>
      <c r="BN67" s="76"/>
      <c r="BO67" s="76"/>
      <c r="BP67" s="99"/>
      <c r="BQ67" s="76"/>
      <c r="BR67" s="76"/>
      <c r="BS67" s="76"/>
      <c r="BT67" s="76"/>
      <c r="BU67" s="76"/>
      <c r="BV67" s="99"/>
      <c r="BW67" s="76"/>
      <c r="BX67" s="76"/>
      <c r="BY67" s="76"/>
      <c r="BZ67" s="76"/>
      <c r="CA67" s="76"/>
      <c r="CB67" s="99"/>
      <c r="CC67" s="76"/>
      <c r="CD67" s="76"/>
      <c r="CE67" s="76"/>
      <c r="CF67" s="76"/>
      <c r="CG67" s="76"/>
      <c r="CH67" s="99"/>
      <c r="CI67" s="76"/>
      <c r="CJ67" s="76"/>
      <c r="CK67" s="76"/>
      <c r="CL67" s="76"/>
      <c r="CM67" s="76"/>
    </row>
    <row r="68" spans="1:91" s="211" customFormat="1" ht="12.75" hidden="1" customHeight="1" outlineLevel="1">
      <c r="A68" s="102" t="s">
        <v>336</v>
      </c>
      <c r="B68" s="103"/>
      <c r="C68" s="103"/>
      <c r="D68" s="103"/>
      <c r="E68" s="103"/>
      <c r="F68" s="103"/>
      <c r="G68" s="103"/>
      <c r="H68" s="103"/>
      <c r="I68" s="103"/>
      <c r="J68" s="103"/>
      <c r="K68" s="103"/>
      <c r="L68" s="81"/>
      <c r="M68" s="103"/>
      <c r="N68" s="103"/>
      <c r="O68" s="103"/>
      <c r="P68" s="103"/>
      <c r="Q68" s="103"/>
      <c r="R68" s="103"/>
      <c r="S68" s="122"/>
      <c r="T68" s="103"/>
      <c r="U68" s="123">
        <f>BS!S10</f>
        <v>179.70700000000005</v>
      </c>
      <c r="V68" s="123" t="e">
        <f>U73</f>
        <v>#REF!</v>
      </c>
      <c r="W68" s="123" t="e">
        <f>V73</f>
        <v>#REF!</v>
      </c>
      <c r="X68" s="123" t="e">
        <f>W73</f>
        <v>#REF!</v>
      </c>
      <c r="Y68" s="557"/>
      <c r="Z68" s="103"/>
      <c r="AA68" s="123">
        <f>BS!Y10</f>
        <v>420.08600000000001</v>
      </c>
      <c r="AB68" s="123" t="e">
        <f>AA73</f>
        <v>#REF!</v>
      </c>
      <c r="AC68" s="123" t="e">
        <f>AB73</f>
        <v>#REF!</v>
      </c>
      <c r="AD68" s="123" t="e">
        <f>AC73</f>
        <v>#REF!</v>
      </c>
      <c r="AE68" s="557"/>
      <c r="AF68" s="103"/>
      <c r="AG68" s="123">
        <f>BS!AE10</f>
        <v>142.34199999999998</v>
      </c>
      <c r="AH68" s="123">
        <f>AG73</f>
        <v>190.40856000000005</v>
      </c>
      <c r="AI68" s="123">
        <f>AH73</f>
        <v>249.2222800000001</v>
      </c>
      <c r="AJ68" s="123">
        <f>AI73</f>
        <v>299.94388000000015</v>
      </c>
      <c r="AK68" s="557"/>
      <c r="AL68" s="103"/>
      <c r="AM68" s="123">
        <f>BS!AK10</f>
        <v>171.44399999999999</v>
      </c>
      <c r="AN68" s="123">
        <f>AM73</f>
        <v>210.99752999999998</v>
      </c>
      <c r="AO68" s="123">
        <f>AN73</f>
        <v>267.73046000000005</v>
      </c>
      <c r="AP68" s="123">
        <f>AO73</f>
        <v>324.66379266000013</v>
      </c>
      <c r="AQ68" s="557"/>
      <c r="AR68" s="103"/>
      <c r="AS68" s="123">
        <f>BS!AQ10</f>
        <v>173.24199999999999</v>
      </c>
      <c r="AT68" s="123">
        <f>AS73</f>
        <v>226.64936800000029</v>
      </c>
      <c r="AU68" s="123">
        <f>AT73</f>
        <v>291.73120500000033</v>
      </c>
      <c r="AV68" s="123">
        <f>AU73</f>
        <v>355.82217120000047</v>
      </c>
      <c r="AW68" s="827"/>
      <c r="AX68" s="103"/>
      <c r="AY68" s="123">
        <f>BS!AW10</f>
        <v>174.821</v>
      </c>
      <c r="AZ68" s="123">
        <f>AY73</f>
        <v>232.41746000000003</v>
      </c>
      <c r="BA68" s="123">
        <f>AZ73</f>
        <v>294.35741000000002</v>
      </c>
      <c r="BB68" s="123">
        <f>BA73</f>
        <v>356.08839</v>
      </c>
      <c r="BC68" s="827"/>
      <c r="BD68" s="103"/>
      <c r="BE68" s="123">
        <f>BS!BC10</f>
        <v>237.9319999999999</v>
      </c>
      <c r="BF68" s="123">
        <f>BE73</f>
        <v>294.08089999999987</v>
      </c>
      <c r="BG68" s="123">
        <f>BF73</f>
        <v>365.3377999999999</v>
      </c>
      <c r="BH68" s="123">
        <f>BG73</f>
        <v>437.13299999999987</v>
      </c>
      <c r="BI68" s="827"/>
      <c r="BJ68" s="103"/>
      <c r="BK68" s="123">
        <f>BS!BI10</f>
        <v>359.2650000000001</v>
      </c>
      <c r="BL68" s="123">
        <f>BK73</f>
        <v>420.07363000000004</v>
      </c>
      <c r="BM68" s="123">
        <f>BL73</f>
        <v>632.7035800000001</v>
      </c>
      <c r="BN68" s="123">
        <f>BM73</f>
        <v>706.79022000000009</v>
      </c>
      <c r="BO68" s="827"/>
      <c r="BP68" s="103"/>
      <c r="BQ68" s="123">
        <f>BS!BO10</f>
        <v>202.13399999999999</v>
      </c>
      <c r="BR68" s="123">
        <f>BQ73</f>
        <v>270.49108761958723</v>
      </c>
      <c r="BS68" s="123">
        <f>BR73</f>
        <v>367.8278310498697</v>
      </c>
      <c r="BT68" s="123">
        <f>BS73</f>
        <v>471.72800865387319</v>
      </c>
      <c r="BU68" s="827"/>
      <c r="BV68" s="103"/>
      <c r="BW68" s="123">
        <f>BS!BU10</f>
        <v>452.65784870023595</v>
      </c>
      <c r="BX68" s="123">
        <f>BW73</f>
        <v>536.88731853230308</v>
      </c>
      <c r="BY68" s="123">
        <f>BX73</f>
        <v>652.26504464161223</v>
      </c>
      <c r="BZ68" s="123">
        <f>BY73</f>
        <v>774.82491212814477</v>
      </c>
      <c r="CA68" s="827"/>
      <c r="CB68" s="103"/>
      <c r="CC68" s="123">
        <f>BS!CA10</f>
        <v>502.35963436609325</v>
      </c>
      <c r="CD68" s="123">
        <f>CC73</f>
        <v>599.98971646379664</v>
      </c>
      <c r="CE68" s="123">
        <f>CD73</f>
        <v>740.72748589453124</v>
      </c>
      <c r="CF68" s="123">
        <f>CE73</f>
        <v>889.97719571229482</v>
      </c>
      <c r="CG68" s="827"/>
      <c r="CH68" s="103"/>
      <c r="CI68" s="123">
        <f>BS!CG10</f>
        <v>874.80801740136087</v>
      </c>
      <c r="CJ68" s="123">
        <f>CI73</f>
        <v>999.15527718541216</v>
      </c>
      <c r="CK68" s="123">
        <f>CJ73</f>
        <v>1147.2352613489074</v>
      </c>
      <c r="CL68" s="123">
        <f>CK73</f>
        <v>1303.7239242229252</v>
      </c>
      <c r="CM68" s="827"/>
    </row>
    <row r="69" spans="1:91" s="211" customFormat="1" ht="12.75" hidden="1" customHeight="1" outlineLevel="1">
      <c r="A69" s="67" t="s">
        <v>337</v>
      </c>
      <c r="B69" s="66"/>
      <c r="C69" s="66"/>
      <c r="D69" s="66"/>
      <c r="E69" s="66"/>
      <c r="F69" s="66"/>
      <c r="G69" s="66"/>
      <c r="H69" s="66"/>
      <c r="I69" s="66"/>
      <c r="J69" s="66"/>
      <c r="K69" s="66"/>
      <c r="L69" s="78"/>
      <c r="M69" s="66"/>
      <c r="N69" s="66"/>
      <c r="O69" s="66"/>
      <c r="P69" s="66"/>
      <c r="Q69" s="66"/>
      <c r="R69" s="66"/>
      <c r="S69" s="69"/>
      <c r="T69" s="66"/>
      <c r="U69" s="59" t="e">
        <f>#REF!</f>
        <v>#REF!</v>
      </c>
      <c r="V69" s="59" t="e">
        <f>#REF!</f>
        <v>#REF!</v>
      </c>
      <c r="W69" s="59" t="e">
        <f>#REF!</f>
        <v>#REF!</v>
      </c>
      <c r="X69" s="59" t="e">
        <f>#REF!</f>
        <v>#REF!</v>
      </c>
      <c r="Y69" s="36"/>
      <c r="Z69" s="66"/>
      <c r="AA69" s="59" t="e">
        <f>#REF!</f>
        <v>#REF!</v>
      </c>
      <c r="AB69" s="59" t="e">
        <f>#REF!</f>
        <v>#REF!</v>
      </c>
      <c r="AC69" s="59" t="e">
        <f>#REF!</f>
        <v>#REF!</v>
      </c>
      <c r="AD69" s="59" t="e">
        <f>#REF!</f>
        <v>#REF!</v>
      </c>
      <c r="AE69" s="36"/>
      <c r="AF69" s="66"/>
      <c r="AG69" s="59">
        <f>IS!AG36</f>
        <v>50.060560000000073</v>
      </c>
      <c r="AH69" s="59">
        <f>IS!AH36</f>
        <v>60.600720000000038</v>
      </c>
      <c r="AI69" s="59">
        <f>IS!AI36</f>
        <v>52.679600000000015</v>
      </c>
      <c r="AJ69" s="59">
        <f>IS!AJ36</f>
        <v>75.267360000000096</v>
      </c>
      <c r="AK69" s="36"/>
      <c r="AL69" s="66"/>
      <c r="AM69" s="59">
        <f>IS!AM36</f>
        <v>41.21828</v>
      </c>
      <c r="AN69" s="59">
        <f>IS!AN36</f>
        <v>57.068680000000072</v>
      </c>
      <c r="AO69" s="59">
        <f>IS!AO36</f>
        <v>55.032082660000064</v>
      </c>
      <c r="AP69" s="59">
        <f>IS!AP36</f>
        <v>81.198061000000095</v>
      </c>
      <c r="AQ69" s="36"/>
      <c r="AR69" s="66"/>
      <c r="AS69" s="59">
        <f>IS!AS36</f>
        <v>51.927368000000314</v>
      </c>
      <c r="AT69" s="59">
        <f>IS!AT36</f>
        <v>64.461837000000017</v>
      </c>
      <c r="AU69" s="59">
        <f>IS!AU36</f>
        <v>63.032966200000075</v>
      </c>
      <c r="AV69" s="59">
        <f>IS!AV36</f>
        <v>95.698086116800198</v>
      </c>
      <c r="AW69" s="473"/>
      <c r="AX69" s="66"/>
      <c r="AY69" s="59">
        <f>IS!AY36</f>
        <v>56.470460000000038</v>
      </c>
      <c r="AZ69" s="59">
        <f>IS!AZ36</f>
        <v>60.988950000000003</v>
      </c>
      <c r="BA69" s="59">
        <f>IS!BA36</f>
        <v>60.774980000000028</v>
      </c>
      <c r="BB69" s="59">
        <f>IS!BB36</f>
        <v>91.504180000000076</v>
      </c>
      <c r="BC69" s="473"/>
      <c r="BD69" s="66"/>
      <c r="BE69" s="59">
        <f>IS!BE36</f>
        <v>56.117399999999989</v>
      </c>
      <c r="BF69" s="59">
        <f>IS!BF36</f>
        <v>71.643400000000028</v>
      </c>
      <c r="BG69" s="59">
        <f>IS!BG36</f>
        <v>71.129699999999985</v>
      </c>
      <c r="BH69" s="59">
        <f>IS!BH36</f>
        <v>96.353989999999982</v>
      </c>
      <c r="BI69" s="473"/>
      <c r="BJ69" s="66"/>
      <c r="BK69" s="59">
        <f>IS!BK36</f>
        <v>62.83387999999993</v>
      </c>
      <c r="BL69" s="59">
        <f>IS!BL36</f>
        <v>215.14420000000007</v>
      </c>
      <c r="BM69" s="59">
        <f>IS!BM36</f>
        <v>75.556889999999981</v>
      </c>
      <c r="BN69" s="59">
        <f>IS!BN36</f>
        <v>105.94063999999992</v>
      </c>
      <c r="BO69" s="473"/>
      <c r="BP69" s="66"/>
      <c r="BQ69" s="59">
        <f>IS!BQ36</f>
        <v>65.936013639952932</v>
      </c>
      <c r="BR69" s="59">
        <f>IS!BR36</f>
        <v>94.779243894468607</v>
      </c>
      <c r="BS69" s="59">
        <f>IS!BS36</f>
        <v>101.19264342593735</v>
      </c>
      <c r="BT69" s="59">
        <f>IS!BT36</f>
        <v>128.91508557044591</v>
      </c>
      <c r="BU69" s="473"/>
      <c r="BV69" s="66"/>
      <c r="BW69" s="59">
        <f>IS!BW36</f>
        <v>80.161405264501198</v>
      </c>
      <c r="BX69" s="59">
        <f>IS!BX36</f>
        <v>111.14381221564055</v>
      </c>
      <c r="BY69" s="59">
        <f>IS!BY36</f>
        <v>118.14244441985635</v>
      </c>
      <c r="BZ69" s="59">
        <f>IS!BZ36</f>
        <v>147.98979131093756</v>
      </c>
      <c r="CA69" s="473"/>
      <c r="CB69" s="66"/>
      <c r="CC69" s="59">
        <f>IS!CC36</f>
        <v>93.478858050325002</v>
      </c>
      <c r="CD69" s="59">
        <f>IS!CD36</f>
        <v>136.40873863202208</v>
      </c>
      <c r="CE69" s="59">
        <f>IS!CE36</f>
        <v>144.72356346311301</v>
      </c>
      <c r="CF69" s="59">
        <f>IS!CF36</f>
        <v>179.61923786266368</v>
      </c>
      <c r="CG69" s="473"/>
      <c r="CH69" s="66"/>
      <c r="CI69" s="59">
        <f>IS!CI36</f>
        <v>119.95410988597433</v>
      </c>
      <c r="CJ69" s="59">
        <f>IS!CJ36</f>
        <v>143.4994836874765</v>
      </c>
      <c r="CK69" s="59">
        <f>IS!CK36</f>
        <v>151.70044630118269</v>
      </c>
      <c r="CL69" s="59">
        <f>IS!CL36</f>
        <v>186.84594385172164</v>
      </c>
      <c r="CM69" s="473"/>
    </row>
    <row r="70" spans="1:91" s="211" customFormat="1" ht="12.75" hidden="1" customHeight="1" outlineLevel="1">
      <c r="A70" s="67" t="s">
        <v>338</v>
      </c>
      <c r="B70" s="66"/>
      <c r="C70" s="66"/>
      <c r="D70" s="66"/>
      <c r="E70" s="66"/>
      <c r="F70" s="66"/>
      <c r="G70" s="66"/>
      <c r="H70" s="66"/>
      <c r="I70" s="66"/>
      <c r="J70" s="66"/>
      <c r="K70" s="66"/>
      <c r="L70" s="78"/>
      <c r="M70" s="66"/>
      <c r="N70" s="66"/>
      <c r="O70" s="66"/>
      <c r="P70" s="66"/>
      <c r="Q70" s="66"/>
      <c r="R70" s="66"/>
      <c r="S70" s="69"/>
      <c r="T70" s="66"/>
      <c r="U70" s="59" t="e">
        <f>#REF!</f>
        <v>#REF!</v>
      </c>
      <c r="V70" s="59" t="e">
        <f>#REF!</f>
        <v>#REF!</v>
      </c>
      <c r="W70" s="59" t="e">
        <f>#REF!</f>
        <v>#REF!</v>
      </c>
      <c r="X70" s="59" t="e">
        <f>#REF!</f>
        <v>#REF!</v>
      </c>
      <c r="Y70" s="79"/>
      <c r="Z70" s="66"/>
      <c r="AA70" s="59" t="e">
        <f>#REF!</f>
        <v>#REF!</v>
      </c>
      <c r="AB70" s="59" t="e">
        <f>#REF!</f>
        <v>#REF!</v>
      </c>
      <c r="AC70" s="59" t="e">
        <f>#REF!</f>
        <v>#REF!</v>
      </c>
      <c r="AD70" s="59" t="e">
        <f>#REF!</f>
        <v>#REF!</v>
      </c>
      <c r="AE70" s="79"/>
      <c r="AF70" s="66"/>
      <c r="AG70" s="59">
        <f>IS!AG20</f>
        <v>8.607999999999997</v>
      </c>
      <c r="AH70" s="59">
        <f>IS!AH20</f>
        <v>8.8149999999999977</v>
      </c>
      <c r="AI70" s="59">
        <f>IS!AI20</f>
        <v>8.6439999999999984</v>
      </c>
      <c r="AJ70" s="59">
        <f>IS!AJ20</f>
        <v>9.5799999999999983</v>
      </c>
      <c r="AK70" s="79"/>
      <c r="AL70" s="66"/>
      <c r="AM70" s="59">
        <f>IS!AM20</f>
        <v>8.083000000000002</v>
      </c>
      <c r="AN70" s="59">
        <f>IS!AN20</f>
        <v>9.4119999999999955</v>
      </c>
      <c r="AO70" s="59">
        <f>IS!AO20</f>
        <v>11.649000000000004</v>
      </c>
      <c r="AP70" s="59">
        <f>IS!AP20</f>
        <v>9.5189999999999984</v>
      </c>
      <c r="AQ70" s="79"/>
      <c r="AR70" s="66"/>
      <c r="AS70" s="59">
        <f>IS!AS20</f>
        <v>8.7480000000000011</v>
      </c>
      <c r="AT70" s="59">
        <f>IS!AT20</f>
        <v>7.8879999999999946</v>
      </c>
      <c r="AU70" s="59">
        <f>IS!AU20</f>
        <v>8.3260000000000005</v>
      </c>
      <c r="AV70" s="59">
        <f>IS!AV20</f>
        <v>8.3810000000000073</v>
      </c>
      <c r="AW70" s="85"/>
      <c r="AX70" s="66"/>
      <c r="AY70" s="59">
        <f>IS!AY20</f>
        <v>8.5339999999999989</v>
      </c>
      <c r="AZ70" s="59">
        <f>IS!AZ20</f>
        <v>8.3590000000000053</v>
      </c>
      <c r="BA70" s="59">
        <f>IS!BA20</f>
        <v>8.3640000000000008</v>
      </c>
      <c r="BB70" s="59">
        <f>IS!BB20</f>
        <v>8.1500000000000057</v>
      </c>
      <c r="BC70" s="85"/>
      <c r="BD70" s="66"/>
      <c r="BE70" s="59">
        <f>IS!BE20</f>
        <v>7.9570000000000007</v>
      </c>
      <c r="BF70" s="59">
        <f>IS!BF20</f>
        <v>7.5390000000000015</v>
      </c>
      <c r="BG70" s="59">
        <f>IS!BG20</f>
        <v>8.5910000000000046</v>
      </c>
      <c r="BH70" s="59">
        <f>IS!BH20</f>
        <v>4.3849999999999909</v>
      </c>
      <c r="BI70" s="85"/>
      <c r="BJ70" s="66"/>
      <c r="BK70" s="59">
        <f>IS!BK20</f>
        <v>7.7469999999999999</v>
      </c>
      <c r="BL70" s="59">
        <f>IS!BL20</f>
        <v>7.2580000000000027</v>
      </c>
      <c r="BM70" s="59">
        <f>IS!BM20</f>
        <v>8.3020000000000032</v>
      </c>
      <c r="BN70" s="59">
        <f>IS!BN20</f>
        <v>7.992999999999995</v>
      </c>
      <c r="BO70" s="85"/>
      <c r="BP70" s="66"/>
      <c r="BQ70" s="59">
        <f>IS!BQ20</f>
        <v>11.041082499999998</v>
      </c>
      <c r="BR70" s="59">
        <f>IS!BR20</f>
        <v>11.177508056179533</v>
      </c>
      <c r="BS70" s="59">
        <f>IS!BS20</f>
        <v>11.327542698431781</v>
      </c>
      <c r="BT70" s="59">
        <f>IS!BT20</f>
        <v>11.476919999478444</v>
      </c>
      <c r="BU70" s="85"/>
      <c r="BV70" s="66"/>
      <c r="BW70" s="59">
        <f>IS!BW20</f>
        <v>13.307980681629253</v>
      </c>
      <c r="BX70" s="59">
        <f>IS!BX20</f>
        <v>13.473830007732023</v>
      </c>
      <c r="BY70" s="59">
        <f>IS!BY20</f>
        <v>13.657339180739594</v>
      </c>
      <c r="BZ70" s="59">
        <f>IS!BZ20</f>
        <v>13.840980470385613</v>
      </c>
      <c r="CA70" s="85"/>
      <c r="CB70" s="66"/>
      <c r="CC70" s="59">
        <f>IS!CC20</f>
        <v>14.047173970754315</v>
      </c>
      <c r="CD70" s="59">
        <f>IS!CD20</f>
        <v>14.224980722088546</v>
      </c>
      <c r="CE70" s="59">
        <f>IS!CE20</f>
        <v>14.422096278026565</v>
      </c>
      <c r="CF70" s="59">
        <f>IS!CF20</f>
        <v>14.618911900534094</v>
      </c>
      <c r="CG70" s="85"/>
      <c r="CH70" s="66"/>
      <c r="CI70" s="59">
        <f>IS!CI20</f>
        <v>14.838849964624394</v>
      </c>
      <c r="CJ70" s="59">
        <f>IS!CJ20</f>
        <v>15.026200542566308</v>
      </c>
      <c r="CK70" s="59">
        <f>IS!CK20</f>
        <v>15.233916639382581</v>
      </c>
      <c r="CL70" s="59">
        <f>IS!CL20</f>
        <v>15.442073619115032</v>
      </c>
      <c r="CM70" s="85"/>
    </row>
    <row r="71" spans="1:91" s="211" customFormat="1" ht="12.75" hidden="1" customHeight="1" outlineLevel="1">
      <c r="A71" s="67" t="s">
        <v>339</v>
      </c>
      <c r="B71" s="66"/>
      <c r="C71" s="66"/>
      <c r="D71" s="66"/>
      <c r="E71" s="66"/>
      <c r="F71" s="66"/>
      <c r="G71" s="66"/>
      <c r="H71" s="66"/>
      <c r="I71" s="66"/>
      <c r="J71" s="66"/>
      <c r="K71" s="66"/>
      <c r="L71" s="78"/>
      <c r="M71" s="66"/>
      <c r="N71" s="66"/>
      <c r="O71" s="66"/>
      <c r="P71" s="66"/>
      <c r="Q71" s="66"/>
      <c r="R71" s="66"/>
      <c r="S71" s="69"/>
      <c r="T71" s="66"/>
      <c r="U71" s="59">
        <f>CFS!Y29/4</f>
        <v>-8.4115000000000002</v>
      </c>
      <c r="V71" s="59">
        <f>U71</f>
        <v>-8.4115000000000002</v>
      </c>
      <c r="W71" s="59">
        <f>V71</f>
        <v>-8.4115000000000002</v>
      </c>
      <c r="X71" s="59">
        <f>W71</f>
        <v>-8.4115000000000002</v>
      </c>
      <c r="Y71" s="79"/>
      <c r="Z71" s="66"/>
      <c r="AA71" s="59">
        <f>CFS!AE29/4</f>
        <v>-7.6479999999999997</v>
      </c>
      <c r="AB71" s="59">
        <f>AA71</f>
        <v>-7.6479999999999997</v>
      </c>
      <c r="AC71" s="59">
        <f>AB71</f>
        <v>-7.6479999999999997</v>
      </c>
      <c r="AD71" s="59">
        <f>AC71</f>
        <v>-7.6479999999999997</v>
      </c>
      <c r="AE71" s="79"/>
      <c r="AF71" s="66"/>
      <c r="AG71" s="59">
        <f>CFS!AK29/4</f>
        <v>-10.602</v>
      </c>
      <c r="AH71" s="59">
        <f>AG71</f>
        <v>-10.602</v>
      </c>
      <c r="AI71" s="59">
        <f>AH71</f>
        <v>-10.602</v>
      </c>
      <c r="AJ71" s="59">
        <f>AI71</f>
        <v>-10.602</v>
      </c>
      <c r="AK71" s="79"/>
      <c r="AL71" s="66"/>
      <c r="AM71" s="59">
        <f>CFS!AQ29/4</f>
        <v>-9.7477499999999999</v>
      </c>
      <c r="AN71" s="59">
        <f>AM71</f>
        <v>-9.7477499999999999</v>
      </c>
      <c r="AO71" s="59">
        <f>AN71</f>
        <v>-9.7477499999999999</v>
      </c>
      <c r="AP71" s="59">
        <f>AO71</f>
        <v>-9.7477499999999999</v>
      </c>
      <c r="AQ71" s="79"/>
      <c r="AR71" s="66"/>
      <c r="AS71" s="59">
        <f>CFS!AW29/4</f>
        <v>-7.2679999999999998</v>
      </c>
      <c r="AT71" s="59">
        <f>AS71</f>
        <v>-7.2679999999999998</v>
      </c>
      <c r="AU71" s="59">
        <f>AT71</f>
        <v>-7.2679999999999998</v>
      </c>
      <c r="AV71" s="59">
        <f>AU71</f>
        <v>-7.2679999999999998</v>
      </c>
      <c r="AW71" s="85"/>
      <c r="AX71" s="66"/>
      <c r="AY71" s="59">
        <f>CFS!BC29/4</f>
        <v>-7.4080000000000004</v>
      </c>
      <c r="AZ71" s="59">
        <f>AY71</f>
        <v>-7.4080000000000004</v>
      </c>
      <c r="BA71" s="59">
        <f>AZ71</f>
        <v>-7.4080000000000004</v>
      </c>
      <c r="BB71" s="59">
        <f>BA71</f>
        <v>-7.4080000000000004</v>
      </c>
      <c r="BC71" s="85"/>
      <c r="BD71" s="66"/>
      <c r="BE71" s="59">
        <f>CFS!BI29/4</f>
        <v>-7.9255000000000004</v>
      </c>
      <c r="BF71" s="59">
        <f>BE71</f>
        <v>-7.9255000000000004</v>
      </c>
      <c r="BG71" s="59">
        <f>BF71</f>
        <v>-7.9255000000000004</v>
      </c>
      <c r="BH71" s="59">
        <f>BG71</f>
        <v>-7.9255000000000004</v>
      </c>
      <c r="BI71" s="85"/>
      <c r="BJ71" s="66"/>
      <c r="BK71" s="59">
        <f>CFS!BO29/4</f>
        <v>-9.7722499999999997</v>
      </c>
      <c r="BL71" s="59">
        <f>BK71</f>
        <v>-9.7722499999999997</v>
      </c>
      <c r="BM71" s="59">
        <f>BL71</f>
        <v>-9.7722499999999997</v>
      </c>
      <c r="BN71" s="59">
        <f>BM71</f>
        <v>-9.7722499999999997</v>
      </c>
      <c r="BO71" s="85"/>
      <c r="BP71" s="66"/>
      <c r="BQ71" s="59">
        <f>CFS!BU29/4</f>
        <v>-8.6200085203656691</v>
      </c>
      <c r="BR71" s="59">
        <f>BQ71</f>
        <v>-8.6200085203656691</v>
      </c>
      <c r="BS71" s="59">
        <f>BR71</f>
        <v>-8.6200085203656691</v>
      </c>
      <c r="BT71" s="59">
        <f>BS71</f>
        <v>-8.6200085203656691</v>
      </c>
      <c r="BU71" s="85"/>
      <c r="BV71" s="66"/>
      <c r="BW71" s="59">
        <f>CFS!CA29/4</f>
        <v>-9.2399161140633108</v>
      </c>
      <c r="BX71" s="59">
        <f>BW71</f>
        <v>-9.2399161140633108</v>
      </c>
      <c r="BY71" s="59">
        <f>BX71</f>
        <v>-9.2399161140633108</v>
      </c>
      <c r="BZ71" s="59">
        <f>BY71</f>
        <v>-9.2399161140633108</v>
      </c>
      <c r="CA71" s="85"/>
      <c r="CB71" s="66"/>
      <c r="CC71" s="59">
        <f>CFS!CG29/4</f>
        <v>-9.8959499233759267</v>
      </c>
      <c r="CD71" s="59">
        <f>CC71</f>
        <v>-9.8959499233759267</v>
      </c>
      <c r="CE71" s="59">
        <f>CD71</f>
        <v>-9.8959499233759267</v>
      </c>
      <c r="CF71" s="59">
        <f>CE71</f>
        <v>-9.8959499233759267</v>
      </c>
      <c r="CG71" s="85"/>
      <c r="CH71" s="66"/>
      <c r="CI71" s="59">
        <f>CFS!CM29/4</f>
        <v>-10.445700066547509</v>
      </c>
      <c r="CJ71" s="59">
        <f>CI71</f>
        <v>-10.445700066547509</v>
      </c>
      <c r="CK71" s="59">
        <f>CJ71</f>
        <v>-10.445700066547509</v>
      </c>
      <c r="CL71" s="59">
        <f>CK71</f>
        <v>-10.445700066547509</v>
      </c>
      <c r="CM71" s="85"/>
    </row>
    <row r="72" spans="1:91" s="211" customFormat="1" ht="12.75" hidden="1" customHeight="1" outlineLevel="1">
      <c r="A72" s="67" t="s">
        <v>340</v>
      </c>
      <c r="B72" s="66"/>
      <c r="C72" s="66"/>
      <c r="D72" s="66"/>
      <c r="E72" s="66"/>
      <c r="F72" s="66"/>
      <c r="G72" s="66"/>
      <c r="H72" s="66"/>
      <c r="I72" s="66"/>
      <c r="J72" s="66"/>
      <c r="K72" s="66"/>
      <c r="L72" s="78"/>
      <c r="M72" s="66"/>
      <c r="N72" s="66"/>
      <c r="O72" s="66"/>
      <c r="P72" s="66"/>
      <c r="Q72" s="66"/>
      <c r="R72" s="66"/>
      <c r="S72" s="69"/>
      <c r="T72" s="66"/>
      <c r="U72" s="66">
        <f>U55+U60</f>
        <v>0</v>
      </c>
      <c r="V72" s="66">
        <f>V55+V60</f>
        <v>0</v>
      </c>
      <c r="W72" s="66">
        <f>W55+W60</f>
        <v>0</v>
      </c>
      <c r="X72" s="66">
        <f>X55+X60</f>
        <v>0</v>
      </c>
      <c r="Y72" s="79"/>
      <c r="Z72" s="66"/>
      <c r="AA72" s="66">
        <f>AA55+AA60</f>
        <v>0</v>
      </c>
      <c r="AB72" s="66">
        <f>AB55+AB60</f>
        <v>0</v>
      </c>
      <c r="AC72" s="66">
        <f>AC55+AC60</f>
        <v>0</v>
      </c>
      <c r="AD72" s="66">
        <f>AD55+AD60</f>
        <v>0</v>
      </c>
      <c r="AE72" s="79"/>
      <c r="AF72" s="66"/>
      <c r="AG72" s="66">
        <f>AG55+AG60</f>
        <v>0</v>
      </c>
      <c r="AH72" s="66">
        <f>AH55+AH60</f>
        <v>0</v>
      </c>
      <c r="AI72" s="66">
        <f>AI55+AI60</f>
        <v>0</v>
      </c>
      <c r="AJ72" s="66">
        <f>AJ55+AJ60</f>
        <v>0</v>
      </c>
      <c r="AK72" s="79"/>
      <c r="AL72" s="66"/>
      <c r="AM72" s="66">
        <f>AM55+AM60</f>
        <v>0</v>
      </c>
      <c r="AN72" s="66">
        <f>AN55+AN60</f>
        <v>0</v>
      </c>
      <c r="AO72" s="66">
        <f>AO55+AO60</f>
        <v>0</v>
      </c>
      <c r="AP72" s="66">
        <f>AP55+AP60</f>
        <v>0</v>
      </c>
      <c r="AQ72" s="79"/>
      <c r="AR72" s="66"/>
      <c r="AS72" s="66">
        <f>AS55+AS60</f>
        <v>0</v>
      </c>
      <c r="AT72" s="66">
        <f>AT55+AT60</f>
        <v>0</v>
      </c>
      <c r="AU72" s="66">
        <f>AU55+AU60</f>
        <v>0</v>
      </c>
      <c r="AV72" s="66">
        <f>AV55+AV60</f>
        <v>0</v>
      </c>
      <c r="AW72" s="85"/>
      <c r="AX72" s="66"/>
      <c r="AY72" s="66">
        <f>AY55+AY60</f>
        <v>0</v>
      </c>
      <c r="AZ72" s="66">
        <f>AZ55+AZ60</f>
        <v>0</v>
      </c>
      <c r="BA72" s="66">
        <f>BA55+BA60</f>
        <v>0</v>
      </c>
      <c r="BB72" s="66">
        <f>BB55+BB60</f>
        <v>0</v>
      </c>
      <c r="BC72" s="85"/>
      <c r="BD72" s="66"/>
      <c r="BE72" s="66">
        <f>BE55+BE60</f>
        <v>0</v>
      </c>
      <c r="BF72" s="66">
        <f>BF55+BF60</f>
        <v>0</v>
      </c>
      <c r="BG72" s="66">
        <f>BG55+BG60</f>
        <v>0</v>
      </c>
      <c r="BH72" s="66">
        <f>BH55+BH60</f>
        <v>0</v>
      </c>
      <c r="BI72" s="85"/>
      <c r="BJ72" s="66"/>
      <c r="BK72" s="66">
        <f>BK55+BK60</f>
        <v>0</v>
      </c>
      <c r="BL72" s="66">
        <f>BL55+BL60</f>
        <v>0</v>
      </c>
      <c r="BM72" s="66">
        <f>BM55+BM60</f>
        <v>0</v>
      </c>
      <c r="BN72" s="66">
        <f>BN55+BN60</f>
        <v>0</v>
      </c>
      <c r="BO72" s="85"/>
      <c r="BP72" s="66"/>
      <c r="BQ72" s="66">
        <f>BQ55+BQ60</f>
        <v>0</v>
      </c>
      <c r="BR72" s="66">
        <f>BR55+BR60</f>
        <v>0</v>
      </c>
      <c r="BS72" s="66">
        <f>BS55+BS60</f>
        <v>0</v>
      </c>
      <c r="BT72" s="66">
        <f>BT55+BT60</f>
        <v>0</v>
      </c>
      <c r="BU72" s="85"/>
      <c r="BV72" s="66"/>
      <c r="BW72" s="66">
        <f>BW55+BW60</f>
        <v>0</v>
      </c>
      <c r="BX72" s="66">
        <f>BX55+BX60</f>
        <v>0</v>
      </c>
      <c r="BY72" s="66">
        <f>BY55+BY60</f>
        <v>0</v>
      </c>
      <c r="BZ72" s="66">
        <f>BZ55+BZ60</f>
        <v>0</v>
      </c>
      <c r="CA72" s="85"/>
      <c r="CB72" s="66"/>
      <c r="CC72" s="66">
        <f>CC55+CC60</f>
        <v>0</v>
      </c>
      <c r="CD72" s="66">
        <f>CD55+CD60</f>
        <v>0</v>
      </c>
      <c r="CE72" s="66">
        <f>CE55+CE60</f>
        <v>0</v>
      </c>
      <c r="CF72" s="66">
        <f>CF55+CF60</f>
        <v>0</v>
      </c>
      <c r="CG72" s="85"/>
      <c r="CH72" s="66"/>
      <c r="CI72" s="66">
        <f>CI55+CI60</f>
        <v>0</v>
      </c>
      <c r="CJ72" s="66">
        <f>CJ55+CJ60</f>
        <v>0</v>
      </c>
      <c r="CK72" s="66">
        <f>CK55+CK60</f>
        <v>0</v>
      </c>
      <c r="CL72" s="66">
        <f>CL55+CL60</f>
        <v>0</v>
      </c>
      <c r="CM72" s="85"/>
    </row>
    <row r="73" spans="1:91" s="211" customFormat="1" ht="12.75" hidden="1" customHeight="1" outlineLevel="1">
      <c r="A73" s="67" t="s">
        <v>341</v>
      </c>
      <c r="B73" s="66"/>
      <c r="C73" s="66"/>
      <c r="D73" s="66"/>
      <c r="E73" s="66"/>
      <c r="F73" s="66"/>
      <c r="G73" s="66"/>
      <c r="H73" s="66"/>
      <c r="I73" s="66"/>
      <c r="J73" s="66"/>
      <c r="K73" s="66"/>
      <c r="L73" s="78"/>
      <c r="M73" s="66"/>
      <c r="N73" s="66"/>
      <c r="O73" s="66"/>
      <c r="P73" s="66"/>
      <c r="Q73" s="66"/>
      <c r="R73" s="66"/>
      <c r="S73" s="69"/>
      <c r="T73" s="66"/>
      <c r="U73" s="59" t="e">
        <f>SUM(U68:U72)</f>
        <v>#REF!</v>
      </c>
      <c r="V73" s="59" t="e">
        <f>SUM(V68:V72)</f>
        <v>#REF!</v>
      </c>
      <c r="W73" s="59" t="e">
        <f>SUM(W68:W72)</f>
        <v>#REF!</v>
      </c>
      <c r="X73" s="59" t="e">
        <f>SUM(X68:X72)</f>
        <v>#REF!</v>
      </c>
      <c r="Y73" s="79"/>
      <c r="Z73" s="66"/>
      <c r="AA73" s="59" t="e">
        <f>SUM(AA68:AA72)</f>
        <v>#REF!</v>
      </c>
      <c r="AB73" s="59" t="e">
        <f>SUM(AB68:AB72)</f>
        <v>#REF!</v>
      </c>
      <c r="AC73" s="59" t="e">
        <f>SUM(AC68:AC72)</f>
        <v>#REF!</v>
      </c>
      <c r="AD73" s="59" t="e">
        <f>SUM(AD68:AD72)</f>
        <v>#REF!</v>
      </c>
      <c r="AE73" s="79"/>
      <c r="AF73" s="66"/>
      <c r="AG73" s="59">
        <f>SUM(AG68:AG72)</f>
        <v>190.40856000000005</v>
      </c>
      <c r="AH73" s="59">
        <f>SUM(AH68:AH72)</f>
        <v>249.2222800000001</v>
      </c>
      <c r="AI73" s="59">
        <f>SUM(AI68:AI72)</f>
        <v>299.94388000000015</v>
      </c>
      <c r="AJ73" s="59">
        <f>SUM(AJ68:AJ72)</f>
        <v>374.18924000000027</v>
      </c>
      <c r="AK73" s="79"/>
      <c r="AL73" s="66"/>
      <c r="AM73" s="59">
        <f>SUM(AM68:AM72)</f>
        <v>210.99752999999998</v>
      </c>
      <c r="AN73" s="59">
        <f>SUM(AN68:AN72)</f>
        <v>267.73046000000005</v>
      </c>
      <c r="AO73" s="59">
        <f>SUM(AO68:AO72)</f>
        <v>324.66379266000013</v>
      </c>
      <c r="AP73" s="59">
        <f>SUM(AP68:AP72)</f>
        <v>405.63310366000024</v>
      </c>
      <c r="AQ73" s="79"/>
      <c r="AR73" s="66"/>
      <c r="AS73" s="59">
        <f>SUM(AS68:AS72)</f>
        <v>226.64936800000029</v>
      </c>
      <c r="AT73" s="59">
        <f>SUM(AT68:AT72)</f>
        <v>291.73120500000033</v>
      </c>
      <c r="AU73" s="59">
        <f>SUM(AU68:AU72)</f>
        <v>355.82217120000047</v>
      </c>
      <c r="AV73" s="59">
        <f>SUM(AV68:AV72)</f>
        <v>452.63325731680072</v>
      </c>
      <c r="AW73" s="85"/>
      <c r="AX73" s="66"/>
      <c r="AY73" s="59">
        <f>SUM(AY68:AY72)</f>
        <v>232.41746000000003</v>
      </c>
      <c r="AZ73" s="59">
        <f>SUM(AZ68:AZ72)</f>
        <v>294.35741000000002</v>
      </c>
      <c r="BA73" s="59">
        <f>SUM(BA68:BA72)</f>
        <v>356.08839</v>
      </c>
      <c r="BB73" s="59">
        <f>SUM(BB68:BB72)</f>
        <v>448.3345700000001</v>
      </c>
      <c r="BC73" s="85"/>
      <c r="BD73" s="66"/>
      <c r="BE73" s="59">
        <f>SUM(BE68:BE72)</f>
        <v>294.08089999999987</v>
      </c>
      <c r="BF73" s="59">
        <f>SUM(BF68:BF72)</f>
        <v>365.3377999999999</v>
      </c>
      <c r="BG73" s="59">
        <f>SUM(BG68:BG72)</f>
        <v>437.13299999999987</v>
      </c>
      <c r="BH73" s="59">
        <f>SUM(BH68:BH72)</f>
        <v>529.94648999999981</v>
      </c>
      <c r="BI73" s="85"/>
      <c r="BJ73" s="66"/>
      <c r="BK73" s="59">
        <f>SUM(BK68:BK72)</f>
        <v>420.07363000000004</v>
      </c>
      <c r="BL73" s="59">
        <f>SUM(BL68:BL72)</f>
        <v>632.7035800000001</v>
      </c>
      <c r="BM73" s="59">
        <f>SUM(BM68:BM72)</f>
        <v>706.79022000000009</v>
      </c>
      <c r="BN73" s="59">
        <f>SUM(BN68:BN72)</f>
        <v>810.95161000000007</v>
      </c>
      <c r="BO73" s="85"/>
      <c r="BP73" s="66"/>
      <c r="BQ73" s="59">
        <f>SUM(BQ68:BQ72)</f>
        <v>270.49108761958723</v>
      </c>
      <c r="BR73" s="59">
        <f>SUM(BR68:BR72)</f>
        <v>367.8278310498697</v>
      </c>
      <c r="BS73" s="59">
        <f>SUM(BS68:BS72)</f>
        <v>471.72800865387319</v>
      </c>
      <c r="BT73" s="59">
        <f>SUM(BT68:BT72)</f>
        <v>603.50000570343195</v>
      </c>
      <c r="BU73" s="85"/>
      <c r="BV73" s="66"/>
      <c r="BW73" s="59">
        <f>SUM(BW68:BW72)</f>
        <v>536.88731853230308</v>
      </c>
      <c r="BX73" s="59">
        <f>SUM(BX68:BX72)</f>
        <v>652.26504464161223</v>
      </c>
      <c r="BY73" s="59">
        <f>SUM(BY68:BY72)</f>
        <v>774.82491212814477</v>
      </c>
      <c r="BZ73" s="59">
        <f>SUM(BZ68:BZ72)</f>
        <v>927.41576779540458</v>
      </c>
      <c r="CA73" s="85"/>
      <c r="CB73" s="66"/>
      <c r="CC73" s="59">
        <f>SUM(CC68:CC72)</f>
        <v>599.98971646379664</v>
      </c>
      <c r="CD73" s="59">
        <f>SUM(CD68:CD72)</f>
        <v>740.72748589453124</v>
      </c>
      <c r="CE73" s="59">
        <f>SUM(CE68:CE72)</f>
        <v>889.97719571229482</v>
      </c>
      <c r="CF73" s="59">
        <f>SUM(CF68:CF72)</f>
        <v>1074.3193955521169</v>
      </c>
      <c r="CG73" s="85"/>
      <c r="CH73" s="66"/>
      <c r="CI73" s="59">
        <f>SUM(CI68:CI72)</f>
        <v>999.15527718541216</v>
      </c>
      <c r="CJ73" s="59">
        <f>SUM(CJ68:CJ72)</f>
        <v>1147.2352613489074</v>
      </c>
      <c r="CK73" s="59">
        <f>SUM(CK68:CK72)</f>
        <v>1303.7239242229252</v>
      </c>
      <c r="CL73" s="59">
        <f>SUM(CL68:CL72)</f>
        <v>1495.5662416272144</v>
      </c>
      <c r="CM73" s="85"/>
    </row>
    <row r="74" spans="1:91" s="211" customFormat="1" ht="12.75" hidden="1" customHeight="1" outlineLevel="1">
      <c r="A74" s="67" t="s">
        <v>342</v>
      </c>
      <c r="B74" s="66"/>
      <c r="C74" s="66"/>
      <c r="D74" s="66"/>
      <c r="E74" s="66"/>
      <c r="F74" s="66"/>
      <c r="G74" s="66"/>
      <c r="H74" s="66"/>
      <c r="I74" s="66"/>
      <c r="J74" s="66"/>
      <c r="K74" s="66"/>
      <c r="L74" s="78"/>
      <c r="M74" s="66"/>
      <c r="N74" s="66"/>
      <c r="O74" s="66"/>
      <c r="P74" s="66"/>
      <c r="Q74" s="66"/>
      <c r="R74" s="66"/>
      <c r="S74" s="69"/>
      <c r="T74" s="66"/>
      <c r="U74" s="59" t="e">
        <f>(U68+U73)/2</f>
        <v>#REF!</v>
      </c>
      <c r="V74" s="59" t="e">
        <f>(V68+V73)/2</f>
        <v>#REF!</v>
      </c>
      <c r="W74" s="59" t="e">
        <f>(W68+W73)/2</f>
        <v>#REF!</v>
      </c>
      <c r="X74" s="59" t="e">
        <f>(X68+X73)/2</f>
        <v>#REF!</v>
      </c>
      <c r="Y74" s="79"/>
      <c r="Z74" s="66"/>
      <c r="AA74" s="59" t="e">
        <f>(AA68+AA73)/2</f>
        <v>#REF!</v>
      </c>
      <c r="AB74" s="59" t="e">
        <f>(AB68+AB73)/2</f>
        <v>#REF!</v>
      </c>
      <c r="AC74" s="59" t="e">
        <f>(AC68+AC73)/2</f>
        <v>#REF!</v>
      </c>
      <c r="AD74" s="59" t="e">
        <f>(AD68+AD73)/2</f>
        <v>#REF!</v>
      </c>
      <c r="AE74" s="79"/>
      <c r="AF74" s="66"/>
      <c r="AG74" s="59">
        <f>(AG68+AG73)/2</f>
        <v>166.37528000000003</v>
      </c>
      <c r="AH74" s="59">
        <f>(AH68+AH73)/2</f>
        <v>219.81542000000007</v>
      </c>
      <c r="AI74" s="59">
        <f>(AI68+AI73)/2</f>
        <v>274.58308000000011</v>
      </c>
      <c r="AJ74" s="59">
        <f>(AJ68+AJ73)/2</f>
        <v>337.06656000000021</v>
      </c>
      <c r="AK74" s="79"/>
      <c r="AL74" s="66"/>
      <c r="AM74" s="59">
        <f>(AM68+AM73)/2</f>
        <v>191.22076499999997</v>
      </c>
      <c r="AN74" s="59">
        <f>(AN68+AN73)/2</f>
        <v>239.36399500000002</v>
      </c>
      <c r="AO74" s="59">
        <f>(AO68+AO73)/2</f>
        <v>296.19712633000006</v>
      </c>
      <c r="AP74" s="59">
        <f>(AP68+AP73)/2</f>
        <v>365.14844816000016</v>
      </c>
      <c r="AQ74" s="79"/>
      <c r="AR74" s="66"/>
      <c r="AS74" s="59">
        <f>(AS68+AS73)/2</f>
        <v>199.94568400000014</v>
      </c>
      <c r="AT74" s="59">
        <f>(AT68+AT73)/2</f>
        <v>259.1902865000003</v>
      </c>
      <c r="AU74" s="59">
        <f>(AU68+AU73)/2</f>
        <v>323.7766881000004</v>
      </c>
      <c r="AV74" s="59">
        <f>(AV68+AV73)/2</f>
        <v>404.22771425840062</v>
      </c>
      <c r="AW74" s="85"/>
      <c r="AX74" s="66"/>
      <c r="AY74" s="59">
        <f>(AY68+AY73)/2</f>
        <v>203.61923000000002</v>
      </c>
      <c r="AZ74" s="59">
        <f>(AZ68+AZ73)/2</f>
        <v>263.38743500000004</v>
      </c>
      <c r="BA74" s="59">
        <f>(BA68+BA73)/2</f>
        <v>325.22289999999998</v>
      </c>
      <c r="BB74" s="59">
        <f>(BB68+BB73)/2</f>
        <v>402.21148000000005</v>
      </c>
      <c r="BC74" s="85"/>
      <c r="BD74" s="66"/>
      <c r="BE74" s="59">
        <f>(BE68+BE73)/2</f>
        <v>266.00644999999986</v>
      </c>
      <c r="BF74" s="59">
        <f>(BF68+BF73)/2</f>
        <v>329.70934999999986</v>
      </c>
      <c r="BG74" s="59">
        <f>(BG68+BG73)/2</f>
        <v>401.23539999999991</v>
      </c>
      <c r="BH74" s="59">
        <f>(BH68+BH73)/2</f>
        <v>483.53974499999981</v>
      </c>
      <c r="BI74" s="85"/>
      <c r="BJ74" s="66"/>
      <c r="BK74" s="59">
        <f>(BK68+BK73)/2</f>
        <v>389.6693150000001</v>
      </c>
      <c r="BL74" s="59">
        <f>(BL68+BL73)/2</f>
        <v>526.3886050000001</v>
      </c>
      <c r="BM74" s="59">
        <f>(BM68+BM73)/2</f>
        <v>669.7469000000001</v>
      </c>
      <c r="BN74" s="59">
        <f>(BN68+BN73)/2</f>
        <v>758.87091500000008</v>
      </c>
      <c r="BO74" s="85"/>
      <c r="BP74" s="66"/>
      <c r="BQ74" s="59">
        <f>(BQ68+BQ73)/2</f>
        <v>236.31254380979362</v>
      </c>
      <c r="BR74" s="59">
        <f>(BR68+BR73)/2</f>
        <v>319.15945933472847</v>
      </c>
      <c r="BS74" s="59">
        <f>(BS68+BS73)/2</f>
        <v>419.77791985187145</v>
      </c>
      <c r="BT74" s="59">
        <f>(BT68+BT73)/2</f>
        <v>537.61400717865263</v>
      </c>
      <c r="BU74" s="85"/>
      <c r="BV74" s="66"/>
      <c r="BW74" s="59">
        <f>(BW68+BW73)/2</f>
        <v>494.77258361626951</v>
      </c>
      <c r="BX74" s="59">
        <f>(BX68+BX73)/2</f>
        <v>594.57618158695766</v>
      </c>
      <c r="BY74" s="59">
        <f>(BY68+BY73)/2</f>
        <v>713.5449783848785</v>
      </c>
      <c r="BZ74" s="59">
        <f>(BZ68+BZ73)/2</f>
        <v>851.12033996177468</v>
      </c>
      <c r="CA74" s="85"/>
      <c r="CB74" s="66"/>
      <c r="CC74" s="59">
        <f>(CC68+CC73)/2</f>
        <v>551.17467541494489</v>
      </c>
      <c r="CD74" s="59">
        <f>(CD68+CD73)/2</f>
        <v>670.358601179164</v>
      </c>
      <c r="CE74" s="59">
        <f>(CE68+CE73)/2</f>
        <v>815.35234080341297</v>
      </c>
      <c r="CF74" s="59">
        <f>(CF68+CF73)/2</f>
        <v>982.14829563220587</v>
      </c>
      <c r="CG74" s="85"/>
      <c r="CH74" s="66"/>
      <c r="CI74" s="59">
        <f>(CI68+CI73)/2</f>
        <v>936.98164729338646</v>
      </c>
      <c r="CJ74" s="59">
        <f>(CJ68+CJ73)/2</f>
        <v>1073.1952692671598</v>
      </c>
      <c r="CK74" s="59">
        <f>(CK68+CK73)/2</f>
        <v>1225.4795927859163</v>
      </c>
      <c r="CL74" s="59">
        <f>(CL68+CL73)/2</f>
        <v>1399.6450829250698</v>
      </c>
      <c r="CM74" s="85"/>
    </row>
    <row r="75" spans="1:91" s="211" customFormat="1" ht="12.75" hidden="1" customHeight="1" outlineLevel="1">
      <c r="A75" s="124" t="s">
        <v>343</v>
      </c>
      <c r="B75" s="125"/>
      <c r="C75" s="125"/>
      <c r="D75" s="125"/>
      <c r="E75" s="125"/>
      <c r="F75" s="125"/>
      <c r="G75" s="125"/>
      <c r="H75" s="125"/>
      <c r="I75" s="125"/>
      <c r="J75" s="125"/>
      <c r="K75" s="125"/>
      <c r="L75" s="78"/>
      <c r="M75" s="125"/>
      <c r="N75" s="125"/>
      <c r="O75" s="66"/>
      <c r="P75" s="66"/>
      <c r="Q75" s="66"/>
      <c r="R75" s="66"/>
      <c r="S75" s="69"/>
      <c r="T75" s="125"/>
      <c r="U75" s="82">
        <v>6.0000000000000001E-3</v>
      </c>
      <c r="V75" s="82">
        <v>6.0000000000000001E-3</v>
      </c>
      <c r="W75" s="82">
        <v>6.0000000000000001E-3</v>
      </c>
      <c r="X75" s="82">
        <v>6.0000000000000001E-3</v>
      </c>
      <c r="Y75" s="79"/>
      <c r="Z75" s="125"/>
      <c r="AA75" s="82">
        <v>6.0000000000000001E-3</v>
      </c>
      <c r="AB75" s="82">
        <v>6.0000000000000001E-3</v>
      </c>
      <c r="AC75" s="82">
        <v>6.0000000000000001E-3</v>
      </c>
      <c r="AD75" s="82">
        <v>6.0000000000000001E-3</v>
      </c>
      <c r="AE75" s="79"/>
      <c r="AF75" s="125"/>
      <c r="AG75" s="82">
        <v>6.0000000000000001E-3</v>
      </c>
      <c r="AH75" s="82">
        <v>6.0000000000000001E-3</v>
      </c>
      <c r="AI75" s="82">
        <v>6.0000000000000001E-3</v>
      </c>
      <c r="AJ75" s="82">
        <v>6.0000000000000001E-3</v>
      </c>
      <c r="AK75" s="79"/>
      <c r="AL75" s="125"/>
      <c r="AM75" s="82">
        <v>6.0000000000000001E-3</v>
      </c>
      <c r="AN75" s="82">
        <v>6.0000000000000001E-3</v>
      </c>
      <c r="AO75" s="82">
        <v>6.0000000000000001E-3</v>
      </c>
      <c r="AP75" s="82">
        <v>6.0000000000000001E-3</v>
      </c>
      <c r="AQ75" s="79"/>
      <c r="AR75" s="125"/>
      <c r="AS75" s="82">
        <v>6.0000000000000001E-3</v>
      </c>
      <c r="AT75" s="82">
        <v>6.0000000000000001E-3</v>
      </c>
      <c r="AU75" s="82">
        <v>6.0000000000000001E-3</v>
      </c>
      <c r="AV75" s="82">
        <v>6.0000000000000001E-3</v>
      </c>
      <c r="AW75" s="85"/>
      <c r="AX75" s="125"/>
      <c r="AY75" s="82">
        <v>6.0000000000000001E-3</v>
      </c>
      <c r="AZ75" s="82">
        <v>6.0000000000000001E-3</v>
      </c>
      <c r="BA75" s="82">
        <v>6.0000000000000001E-3</v>
      </c>
      <c r="BB75" s="82">
        <v>6.0000000000000001E-3</v>
      </c>
      <c r="BC75" s="85"/>
      <c r="BD75" s="125"/>
      <c r="BE75" s="82">
        <v>6.0000000000000001E-3</v>
      </c>
      <c r="BF75" s="82">
        <v>6.0000000000000001E-3</v>
      </c>
      <c r="BG75" s="82">
        <v>6.0000000000000001E-3</v>
      </c>
      <c r="BH75" s="82">
        <v>6.0000000000000001E-3</v>
      </c>
      <c r="BI75" s="85"/>
      <c r="BJ75" s="125"/>
      <c r="BK75" s="82">
        <v>6.0000000000000001E-3</v>
      </c>
      <c r="BL75" s="82">
        <v>6.0000000000000001E-3</v>
      </c>
      <c r="BM75" s="82">
        <v>6.0000000000000001E-3</v>
      </c>
      <c r="BN75" s="82">
        <v>6.0000000000000001E-3</v>
      </c>
      <c r="BO75" s="85"/>
      <c r="BP75" s="125"/>
      <c r="BQ75" s="82">
        <v>6.0000000000000001E-3</v>
      </c>
      <c r="BR75" s="82">
        <v>6.0000000000000001E-3</v>
      </c>
      <c r="BS75" s="82">
        <v>6.0000000000000001E-3</v>
      </c>
      <c r="BT75" s="82">
        <v>6.0000000000000001E-3</v>
      </c>
      <c r="BU75" s="85"/>
      <c r="BV75" s="125"/>
      <c r="BW75" s="82">
        <v>6.0000000000000001E-3</v>
      </c>
      <c r="BX75" s="82">
        <v>6.0000000000000001E-3</v>
      </c>
      <c r="BY75" s="82">
        <v>6.0000000000000001E-3</v>
      </c>
      <c r="BZ75" s="82">
        <v>6.0000000000000001E-3</v>
      </c>
      <c r="CA75" s="85"/>
      <c r="CB75" s="125"/>
      <c r="CC75" s="82">
        <v>6.0000000000000001E-3</v>
      </c>
      <c r="CD75" s="82">
        <v>6.0000000000000001E-3</v>
      </c>
      <c r="CE75" s="82">
        <v>6.0000000000000001E-3</v>
      </c>
      <c r="CF75" s="82">
        <v>6.0000000000000001E-3</v>
      </c>
      <c r="CG75" s="85"/>
      <c r="CH75" s="125"/>
      <c r="CI75" s="82">
        <v>6.0000000000000001E-3</v>
      </c>
      <c r="CJ75" s="82">
        <v>6.0000000000000001E-3</v>
      </c>
      <c r="CK75" s="82">
        <v>6.0000000000000001E-3</v>
      </c>
      <c r="CL75" s="82">
        <v>6.0000000000000001E-3</v>
      </c>
      <c r="CM75" s="85"/>
    </row>
    <row r="76" spans="1:91" s="211" customFormat="1" ht="12.75" hidden="1" customHeight="1" outlineLevel="1">
      <c r="A76" s="119" t="s">
        <v>344</v>
      </c>
      <c r="B76" s="120"/>
      <c r="C76" s="120"/>
      <c r="D76" s="120"/>
      <c r="E76" s="120"/>
      <c r="F76" s="120"/>
      <c r="G76" s="120"/>
      <c r="H76" s="120"/>
      <c r="I76" s="120"/>
      <c r="J76" s="120"/>
      <c r="K76" s="120"/>
      <c r="L76" s="89"/>
      <c r="M76" s="120"/>
      <c r="N76" s="120"/>
      <c r="O76" s="90"/>
      <c r="P76" s="90"/>
      <c r="Q76" s="90"/>
      <c r="R76" s="90"/>
      <c r="S76" s="91"/>
      <c r="T76" s="120"/>
      <c r="U76" s="56" t="e">
        <f>(U74*U75)/4</f>
        <v>#REF!</v>
      </c>
      <c r="V76" s="56" t="e">
        <f>(V74*V75)/4</f>
        <v>#REF!</v>
      </c>
      <c r="W76" s="56" t="e">
        <f>(W74*W75)/4</f>
        <v>#REF!</v>
      </c>
      <c r="X76" s="56" t="e">
        <f>(X74*X75)/4</f>
        <v>#REF!</v>
      </c>
      <c r="Y76" s="56" t="e">
        <f>SUM(U76:X76)</f>
        <v>#REF!</v>
      </c>
      <c r="Z76" s="120"/>
      <c r="AA76" s="56" t="e">
        <f>(AA75*AA74)/4</f>
        <v>#REF!</v>
      </c>
      <c r="AB76" s="56" t="e">
        <f>(AB75*AB74)/4</f>
        <v>#REF!</v>
      </c>
      <c r="AC76" s="56" t="e">
        <f>(AC75*AC74)/4</f>
        <v>#REF!</v>
      </c>
      <c r="AD76" s="56" t="e">
        <f>(AD75*AD74)/4</f>
        <v>#REF!</v>
      </c>
      <c r="AE76" s="56"/>
      <c r="AF76" s="120"/>
      <c r="AG76" s="56">
        <f>(AG75*AG74)/4</f>
        <v>0.24956292000000005</v>
      </c>
      <c r="AH76" s="56">
        <f>(AH75*AH74)/4</f>
        <v>0.32972313000000014</v>
      </c>
      <c r="AI76" s="56">
        <f>(AI75*AI74)/4</f>
        <v>0.41187462000000019</v>
      </c>
      <c r="AJ76" s="56">
        <f>(AJ75*AJ74)/4</f>
        <v>0.50559984000000036</v>
      </c>
      <c r="AK76" s="56">
        <f>SUM(AG76:AJ76)</f>
        <v>1.4967605100000008</v>
      </c>
      <c r="AL76" s="120"/>
      <c r="AM76" s="56">
        <f>(AM75*AM74)/4</f>
        <v>0.28683114749999994</v>
      </c>
      <c r="AN76" s="56">
        <f>(AN75*AN74)/4</f>
        <v>0.35904599250000002</v>
      </c>
      <c r="AO76" s="56">
        <f>(AO75*AO74)/4</f>
        <v>0.44429568949500009</v>
      </c>
      <c r="AP76" s="56">
        <f>(AP75*AP74)/4</f>
        <v>0.54772267224000026</v>
      </c>
      <c r="AQ76" s="56">
        <f>SUM(AM76:AP76)</f>
        <v>1.6378955017350005</v>
      </c>
      <c r="AR76" s="120"/>
      <c r="AS76" s="56">
        <f>(AS75*AS74)/4</f>
        <v>0.29991852600000024</v>
      </c>
      <c r="AT76" s="56">
        <f>(AT75*AT74)/4</f>
        <v>0.38878542975000047</v>
      </c>
      <c r="AU76" s="56">
        <f>(AU75*AU74)/4</f>
        <v>0.48566503215000062</v>
      </c>
      <c r="AV76" s="56">
        <f>(AV75*AV74)/4</f>
        <v>0.60634157138760092</v>
      </c>
      <c r="AW76" s="57">
        <f>SUM(AS76:AV76)</f>
        <v>1.7807105592876025</v>
      </c>
      <c r="AX76" s="120"/>
      <c r="AY76" s="56">
        <f>(AY75*AY74)/4</f>
        <v>0.305428845</v>
      </c>
      <c r="AZ76" s="56">
        <f>(AZ75*AZ74)/4</f>
        <v>0.39508115250000009</v>
      </c>
      <c r="BA76" s="56">
        <f>(BA75*BA74)/4</f>
        <v>0.48783434999999997</v>
      </c>
      <c r="BB76" s="56">
        <f>(BB75*BB74)/4</f>
        <v>0.6033172200000001</v>
      </c>
      <c r="BC76" s="57">
        <f>SUM(AY76:BB76)</f>
        <v>1.7916615675000003</v>
      </c>
      <c r="BD76" s="120"/>
      <c r="BE76" s="56">
        <f>(BE75*BE74)/4</f>
        <v>0.39900967499999979</v>
      </c>
      <c r="BF76" s="56">
        <f>(BF75*BF74)/4</f>
        <v>0.4945640249999998</v>
      </c>
      <c r="BG76" s="56">
        <f>(BG75*BG74)/4</f>
        <v>0.60185309999999992</v>
      </c>
      <c r="BH76" s="56">
        <f>(BH75*BH74)/4</f>
        <v>0.72530961749999978</v>
      </c>
      <c r="BI76" s="57">
        <f>SUM(BE76:BH76)</f>
        <v>2.2207364174999995</v>
      </c>
      <c r="BJ76" s="120"/>
      <c r="BK76" s="56">
        <f>(BK75*BK74)/4</f>
        <v>0.58450397250000019</v>
      </c>
      <c r="BL76" s="56">
        <f>(BL75*BL74)/4</f>
        <v>0.78958290750000015</v>
      </c>
      <c r="BM76" s="56">
        <f>(BM75*BM74)/4</f>
        <v>1.0046203500000002</v>
      </c>
      <c r="BN76" s="56">
        <f>(BN75*BN74)/4</f>
        <v>1.1383063725000002</v>
      </c>
      <c r="BO76" s="57">
        <f>SUM(BK76:BN76)</f>
        <v>3.5170136025000009</v>
      </c>
      <c r="BP76" s="120"/>
      <c r="BQ76" s="56">
        <f>(BQ75*BQ74)/4</f>
        <v>0.35446881571469047</v>
      </c>
      <c r="BR76" s="56">
        <f>(BR75*BR74)/4</f>
        <v>0.47873918900209272</v>
      </c>
      <c r="BS76" s="56">
        <f>(BS75*BS74)/4</f>
        <v>0.62966687977780722</v>
      </c>
      <c r="BT76" s="56">
        <f>(BT75*BT74)/4</f>
        <v>0.80642101076797901</v>
      </c>
      <c r="BU76" s="57">
        <f>SUM(BQ76:BT76)</f>
        <v>2.2692958952625695</v>
      </c>
      <c r="BV76" s="120"/>
      <c r="BW76" s="56">
        <f>(BW75*BW74)/4</f>
        <v>0.74215887542440429</v>
      </c>
      <c r="BX76" s="56">
        <f>(BX75*BX74)/4</f>
        <v>0.89186427238043653</v>
      </c>
      <c r="BY76" s="56">
        <f>(BY75*BY74)/4</f>
        <v>1.0703174675773177</v>
      </c>
      <c r="BZ76" s="56">
        <f>(BZ75*BZ74)/4</f>
        <v>1.2766805099426621</v>
      </c>
      <c r="CA76" s="57">
        <f>SUM(BW76:BZ76)</f>
        <v>3.9810211253248209</v>
      </c>
      <c r="CB76" s="120"/>
      <c r="CC76" s="56">
        <f>(CC75*CC74)/4</f>
        <v>0.82676201312241737</v>
      </c>
      <c r="CD76" s="56">
        <f>(CD75*CD74)/4</f>
        <v>1.005537901768746</v>
      </c>
      <c r="CE76" s="56">
        <f>(CE75*CE74)/4</f>
        <v>1.2230285112051196</v>
      </c>
      <c r="CF76" s="56">
        <f>(CF75*CF74)/4</f>
        <v>1.4732224434483088</v>
      </c>
      <c r="CG76" s="57">
        <f>SUM(CC76:CF76)</f>
        <v>4.528550869544592</v>
      </c>
      <c r="CH76" s="120"/>
      <c r="CI76" s="56">
        <f>(CI75*CI74)/4</f>
        <v>1.4054724709400797</v>
      </c>
      <c r="CJ76" s="56">
        <f>(CJ75*CJ74)/4</f>
        <v>1.6097929039007397</v>
      </c>
      <c r="CK76" s="56">
        <f>(CK75*CK74)/4</f>
        <v>1.8382193891788745</v>
      </c>
      <c r="CL76" s="56">
        <f>(CL75*CL74)/4</f>
        <v>2.0994676243876049</v>
      </c>
      <c r="CM76" s="57">
        <f>SUM(CI76:CL76)</f>
        <v>6.952952388407299</v>
      </c>
    </row>
    <row r="77" spans="1:91" s="211" customFormat="1" collapsed="1"/>
    <row r="78" spans="1:91" s="211" customFormat="1"/>
    <row r="79" spans="1:91" s="211" customFormat="1"/>
    <row r="80" spans="1:91" s="211" customFormat="1"/>
    <row r="81" s="211" customFormat="1"/>
    <row r="82" s="211" customFormat="1"/>
  </sheetData>
  <phoneticPr fontId="2" type="noConversion"/>
  <pageMargins left="0.75" right="0.75" top="1" bottom="1" header="0.5" footer="0.5"/>
  <pageSetup paperSize="9" orientation="landscape" r:id="rId1"/>
  <headerFooter alignWithMargins="0"/>
  <ignoredErrors>
    <ignoredError sqref="AM29:AS31 BP28 AM28:AS28 AX28:AX33 BO31:BO32 AQ16 BB28:BD32 BG31 BJ28:BJ30 BG32 BJ32 BJ31:BL31 BJ33 BD33 BE28:BI28 BN31"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2000" bestFit="1" customWidth="1"/>
    <col min="2" max="2" width="19.85546875" style="2399" customWidth="1"/>
    <col min="3" max="3" width="12" style="2000" bestFit="1" customWidth="1"/>
    <col min="4" max="256" width="9.140625" style="2000"/>
    <col min="257" max="257" width="29.5703125" style="2000" bestFit="1" customWidth="1"/>
    <col min="258" max="258" width="19.85546875" style="2000" customWidth="1"/>
    <col min="259" max="259" width="12" style="2000" bestFit="1" customWidth="1"/>
    <col min="260" max="512" width="9.140625" style="2000"/>
    <col min="513" max="513" width="29.5703125" style="2000" bestFit="1" customWidth="1"/>
    <col min="514" max="514" width="19.85546875" style="2000" customWidth="1"/>
    <col min="515" max="515" width="12" style="2000" bestFit="1" customWidth="1"/>
    <col min="516" max="768" width="9.140625" style="2000"/>
    <col min="769" max="769" width="29.5703125" style="2000" bestFit="1" customWidth="1"/>
    <col min="770" max="770" width="19.85546875" style="2000" customWidth="1"/>
    <col min="771" max="771" width="12" style="2000" bestFit="1" customWidth="1"/>
    <col min="772" max="1024" width="9.140625" style="2000"/>
    <col min="1025" max="1025" width="29.5703125" style="2000" bestFit="1" customWidth="1"/>
    <col min="1026" max="1026" width="19.85546875" style="2000" customWidth="1"/>
    <col min="1027" max="1027" width="12" style="2000" bestFit="1" customWidth="1"/>
    <col min="1028" max="1280" width="9.140625" style="2000"/>
    <col min="1281" max="1281" width="29.5703125" style="2000" bestFit="1" customWidth="1"/>
    <col min="1282" max="1282" width="19.85546875" style="2000" customWidth="1"/>
    <col min="1283" max="1283" width="12" style="2000" bestFit="1" customWidth="1"/>
    <col min="1284" max="1536" width="9.140625" style="2000"/>
    <col min="1537" max="1537" width="29.5703125" style="2000" bestFit="1" customWidth="1"/>
    <col min="1538" max="1538" width="19.85546875" style="2000" customWidth="1"/>
    <col min="1539" max="1539" width="12" style="2000" bestFit="1" customWidth="1"/>
    <col min="1540" max="1792" width="9.140625" style="2000"/>
    <col min="1793" max="1793" width="29.5703125" style="2000" bestFit="1" customWidth="1"/>
    <col min="1794" max="1794" width="19.85546875" style="2000" customWidth="1"/>
    <col min="1795" max="1795" width="12" style="2000" bestFit="1" customWidth="1"/>
    <col min="1796" max="2048" width="9.140625" style="2000"/>
    <col min="2049" max="2049" width="29.5703125" style="2000" bestFit="1" customWidth="1"/>
    <col min="2050" max="2050" width="19.85546875" style="2000" customWidth="1"/>
    <col min="2051" max="2051" width="12" style="2000" bestFit="1" customWidth="1"/>
    <col min="2052" max="2304" width="9.140625" style="2000"/>
    <col min="2305" max="2305" width="29.5703125" style="2000" bestFit="1" customWidth="1"/>
    <col min="2306" max="2306" width="19.85546875" style="2000" customWidth="1"/>
    <col min="2307" max="2307" width="12" style="2000" bestFit="1" customWidth="1"/>
    <col min="2308" max="2560" width="9.140625" style="2000"/>
    <col min="2561" max="2561" width="29.5703125" style="2000" bestFit="1" customWidth="1"/>
    <col min="2562" max="2562" width="19.85546875" style="2000" customWidth="1"/>
    <col min="2563" max="2563" width="12" style="2000" bestFit="1" customWidth="1"/>
    <col min="2564" max="2816" width="9.140625" style="2000"/>
    <col min="2817" max="2817" width="29.5703125" style="2000" bestFit="1" customWidth="1"/>
    <col min="2818" max="2818" width="19.85546875" style="2000" customWidth="1"/>
    <col min="2819" max="2819" width="12" style="2000" bestFit="1" customWidth="1"/>
    <col min="2820" max="3072" width="9.140625" style="2000"/>
    <col min="3073" max="3073" width="29.5703125" style="2000" bestFit="1" customWidth="1"/>
    <col min="3074" max="3074" width="19.85546875" style="2000" customWidth="1"/>
    <col min="3075" max="3075" width="12" style="2000" bestFit="1" customWidth="1"/>
    <col min="3076" max="3328" width="9.140625" style="2000"/>
    <col min="3329" max="3329" width="29.5703125" style="2000" bestFit="1" customWidth="1"/>
    <col min="3330" max="3330" width="19.85546875" style="2000" customWidth="1"/>
    <col min="3331" max="3331" width="12" style="2000" bestFit="1" customWidth="1"/>
    <col min="3332" max="3584" width="9.140625" style="2000"/>
    <col min="3585" max="3585" width="29.5703125" style="2000" bestFit="1" customWidth="1"/>
    <col min="3586" max="3586" width="19.85546875" style="2000" customWidth="1"/>
    <col min="3587" max="3587" width="12" style="2000" bestFit="1" customWidth="1"/>
    <col min="3588" max="3840" width="9.140625" style="2000"/>
    <col min="3841" max="3841" width="29.5703125" style="2000" bestFit="1" customWidth="1"/>
    <col min="3842" max="3842" width="19.85546875" style="2000" customWidth="1"/>
    <col min="3843" max="3843" width="12" style="2000" bestFit="1" customWidth="1"/>
    <col min="3844" max="4096" width="9.140625" style="2000"/>
    <col min="4097" max="4097" width="29.5703125" style="2000" bestFit="1" customWidth="1"/>
    <col min="4098" max="4098" width="19.85546875" style="2000" customWidth="1"/>
    <col min="4099" max="4099" width="12" style="2000" bestFit="1" customWidth="1"/>
    <col min="4100" max="4352" width="9.140625" style="2000"/>
    <col min="4353" max="4353" width="29.5703125" style="2000" bestFit="1" customWidth="1"/>
    <col min="4354" max="4354" width="19.85546875" style="2000" customWidth="1"/>
    <col min="4355" max="4355" width="12" style="2000" bestFit="1" customWidth="1"/>
    <col min="4356" max="4608" width="9.140625" style="2000"/>
    <col min="4609" max="4609" width="29.5703125" style="2000" bestFit="1" customWidth="1"/>
    <col min="4610" max="4610" width="19.85546875" style="2000" customWidth="1"/>
    <col min="4611" max="4611" width="12" style="2000" bestFit="1" customWidth="1"/>
    <col min="4612" max="4864" width="9.140625" style="2000"/>
    <col min="4865" max="4865" width="29.5703125" style="2000" bestFit="1" customWidth="1"/>
    <col min="4866" max="4866" width="19.85546875" style="2000" customWidth="1"/>
    <col min="4867" max="4867" width="12" style="2000" bestFit="1" customWidth="1"/>
    <col min="4868" max="5120" width="9.140625" style="2000"/>
    <col min="5121" max="5121" width="29.5703125" style="2000" bestFit="1" customWidth="1"/>
    <col min="5122" max="5122" width="19.85546875" style="2000" customWidth="1"/>
    <col min="5123" max="5123" width="12" style="2000" bestFit="1" customWidth="1"/>
    <col min="5124" max="5376" width="9.140625" style="2000"/>
    <col min="5377" max="5377" width="29.5703125" style="2000" bestFit="1" customWidth="1"/>
    <col min="5378" max="5378" width="19.85546875" style="2000" customWidth="1"/>
    <col min="5379" max="5379" width="12" style="2000" bestFit="1" customWidth="1"/>
    <col min="5380" max="5632" width="9.140625" style="2000"/>
    <col min="5633" max="5633" width="29.5703125" style="2000" bestFit="1" customWidth="1"/>
    <col min="5634" max="5634" width="19.85546875" style="2000" customWidth="1"/>
    <col min="5635" max="5635" width="12" style="2000" bestFit="1" customWidth="1"/>
    <col min="5636" max="5888" width="9.140625" style="2000"/>
    <col min="5889" max="5889" width="29.5703125" style="2000" bestFit="1" customWidth="1"/>
    <col min="5890" max="5890" width="19.85546875" style="2000" customWidth="1"/>
    <col min="5891" max="5891" width="12" style="2000" bestFit="1" customWidth="1"/>
    <col min="5892" max="6144" width="9.140625" style="2000"/>
    <col min="6145" max="6145" width="29.5703125" style="2000" bestFit="1" customWidth="1"/>
    <col min="6146" max="6146" width="19.85546875" style="2000" customWidth="1"/>
    <col min="6147" max="6147" width="12" style="2000" bestFit="1" customWidth="1"/>
    <col min="6148" max="6400" width="9.140625" style="2000"/>
    <col min="6401" max="6401" width="29.5703125" style="2000" bestFit="1" customWidth="1"/>
    <col min="6402" max="6402" width="19.85546875" style="2000" customWidth="1"/>
    <col min="6403" max="6403" width="12" style="2000" bestFit="1" customWidth="1"/>
    <col min="6404" max="6656" width="9.140625" style="2000"/>
    <col min="6657" max="6657" width="29.5703125" style="2000" bestFit="1" customWidth="1"/>
    <col min="6658" max="6658" width="19.85546875" style="2000" customWidth="1"/>
    <col min="6659" max="6659" width="12" style="2000" bestFit="1" customWidth="1"/>
    <col min="6660" max="6912" width="9.140625" style="2000"/>
    <col min="6913" max="6913" width="29.5703125" style="2000" bestFit="1" customWidth="1"/>
    <col min="6914" max="6914" width="19.85546875" style="2000" customWidth="1"/>
    <col min="6915" max="6915" width="12" style="2000" bestFit="1" customWidth="1"/>
    <col min="6916" max="7168" width="9.140625" style="2000"/>
    <col min="7169" max="7169" width="29.5703125" style="2000" bestFit="1" customWidth="1"/>
    <col min="7170" max="7170" width="19.85546875" style="2000" customWidth="1"/>
    <col min="7171" max="7171" width="12" style="2000" bestFit="1" customWidth="1"/>
    <col min="7172" max="7424" width="9.140625" style="2000"/>
    <col min="7425" max="7425" width="29.5703125" style="2000" bestFit="1" customWidth="1"/>
    <col min="7426" max="7426" width="19.85546875" style="2000" customWidth="1"/>
    <col min="7427" max="7427" width="12" style="2000" bestFit="1" customWidth="1"/>
    <col min="7428" max="7680" width="9.140625" style="2000"/>
    <col min="7681" max="7681" width="29.5703125" style="2000" bestFit="1" customWidth="1"/>
    <col min="7682" max="7682" width="19.85546875" style="2000" customWidth="1"/>
    <col min="7683" max="7683" width="12" style="2000" bestFit="1" customWidth="1"/>
    <col min="7684" max="7936" width="9.140625" style="2000"/>
    <col min="7937" max="7937" width="29.5703125" style="2000" bestFit="1" customWidth="1"/>
    <col min="7938" max="7938" width="19.85546875" style="2000" customWidth="1"/>
    <col min="7939" max="7939" width="12" style="2000" bestFit="1" customWidth="1"/>
    <col min="7940" max="8192" width="9.140625" style="2000"/>
    <col min="8193" max="8193" width="29.5703125" style="2000" bestFit="1" customWidth="1"/>
    <col min="8194" max="8194" width="19.85546875" style="2000" customWidth="1"/>
    <col min="8195" max="8195" width="12" style="2000" bestFit="1" customWidth="1"/>
    <col min="8196" max="8448" width="9.140625" style="2000"/>
    <col min="8449" max="8449" width="29.5703125" style="2000" bestFit="1" customWidth="1"/>
    <col min="8450" max="8450" width="19.85546875" style="2000" customWidth="1"/>
    <col min="8451" max="8451" width="12" style="2000" bestFit="1" customWidth="1"/>
    <col min="8452" max="8704" width="9.140625" style="2000"/>
    <col min="8705" max="8705" width="29.5703125" style="2000" bestFit="1" customWidth="1"/>
    <col min="8706" max="8706" width="19.85546875" style="2000" customWidth="1"/>
    <col min="8707" max="8707" width="12" style="2000" bestFit="1" customWidth="1"/>
    <col min="8708" max="8960" width="9.140625" style="2000"/>
    <col min="8961" max="8961" width="29.5703125" style="2000" bestFit="1" customWidth="1"/>
    <col min="8962" max="8962" width="19.85546875" style="2000" customWidth="1"/>
    <col min="8963" max="8963" width="12" style="2000" bestFit="1" customWidth="1"/>
    <col min="8964" max="9216" width="9.140625" style="2000"/>
    <col min="9217" max="9217" width="29.5703125" style="2000" bestFit="1" customWidth="1"/>
    <col min="9218" max="9218" width="19.85546875" style="2000" customWidth="1"/>
    <col min="9219" max="9219" width="12" style="2000" bestFit="1" customWidth="1"/>
    <col min="9220" max="9472" width="9.140625" style="2000"/>
    <col min="9473" max="9473" width="29.5703125" style="2000" bestFit="1" customWidth="1"/>
    <col min="9474" max="9474" width="19.85546875" style="2000" customWidth="1"/>
    <col min="9475" max="9475" width="12" style="2000" bestFit="1" customWidth="1"/>
    <col min="9476" max="9728" width="9.140625" style="2000"/>
    <col min="9729" max="9729" width="29.5703125" style="2000" bestFit="1" customWidth="1"/>
    <col min="9730" max="9730" width="19.85546875" style="2000" customWidth="1"/>
    <col min="9731" max="9731" width="12" style="2000" bestFit="1" customWidth="1"/>
    <col min="9732" max="9984" width="9.140625" style="2000"/>
    <col min="9985" max="9985" width="29.5703125" style="2000" bestFit="1" customWidth="1"/>
    <col min="9986" max="9986" width="19.85546875" style="2000" customWidth="1"/>
    <col min="9987" max="9987" width="12" style="2000" bestFit="1" customWidth="1"/>
    <col min="9988" max="10240" width="9.140625" style="2000"/>
    <col min="10241" max="10241" width="29.5703125" style="2000" bestFit="1" customWidth="1"/>
    <col min="10242" max="10242" width="19.85546875" style="2000" customWidth="1"/>
    <col min="10243" max="10243" width="12" style="2000" bestFit="1" customWidth="1"/>
    <col min="10244" max="10496" width="9.140625" style="2000"/>
    <col min="10497" max="10497" width="29.5703125" style="2000" bestFit="1" customWidth="1"/>
    <col min="10498" max="10498" width="19.85546875" style="2000" customWidth="1"/>
    <col min="10499" max="10499" width="12" style="2000" bestFit="1" customWidth="1"/>
    <col min="10500" max="10752" width="9.140625" style="2000"/>
    <col min="10753" max="10753" width="29.5703125" style="2000" bestFit="1" customWidth="1"/>
    <col min="10754" max="10754" width="19.85546875" style="2000" customWidth="1"/>
    <col min="10755" max="10755" width="12" style="2000" bestFit="1" customWidth="1"/>
    <col min="10756" max="11008" width="9.140625" style="2000"/>
    <col min="11009" max="11009" width="29.5703125" style="2000" bestFit="1" customWidth="1"/>
    <col min="11010" max="11010" width="19.85546875" style="2000" customWidth="1"/>
    <col min="11011" max="11011" width="12" style="2000" bestFit="1" customWidth="1"/>
    <col min="11012" max="11264" width="9.140625" style="2000"/>
    <col min="11265" max="11265" width="29.5703125" style="2000" bestFit="1" customWidth="1"/>
    <col min="11266" max="11266" width="19.85546875" style="2000" customWidth="1"/>
    <col min="11267" max="11267" width="12" style="2000" bestFit="1" customWidth="1"/>
    <col min="11268" max="11520" width="9.140625" style="2000"/>
    <col min="11521" max="11521" width="29.5703125" style="2000" bestFit="1" customWidth="1"/>
    <col min="11522" max="11522" width="19.85546875" style="2000" customWidth="1"/>
    <col min="11523" max="11523" width="12" style="2000" bestFit="1" customWidth="1"/>
    <col min="11524" max="11776" width="9.140625" style="2000"/>
    <col min="11777" max="11777" width="29.5703125" style="2000" bestFit="1" customWidth="1"/>
    <col min="11778" max="11778" width="19.85546875" style="2000" customWidth="1"/>
    <col min="11779" max="11779" width="12" style="2000" bestFit="1" customWidth="1"/>
    <col min="11780" max="12032" width="9.140625" style="2000"/>
    <col min="12033" max="12033" width="29.5703125" style="2000" bestFit="1" customWidth="1"/>
    <col min="12034" max="12034" width="19.85546875" style="2000" customWidth="1"/>
    <col min="12035" max="12035" width="12" style="2000" bestFit="1" customWidth="1"/>
    <col min="12036" max="12288" width="9.140625" style="2000"/>
    <col min="12289" max="12289" width="29.5703125" style="2000" bestFit="1" customWidth="1"/>
    <col min="12290" max="12290" width="19.85546875" style="2000" customWidth="1"/>
    <col min="12291" max="12291" width="12" style="2000" bestFit="1" customWidth="1"/>
    <col min="12292" max="12544" width="9.140625" style="2000"/>
    <col min="12545" max="12545" width="29.5703125" style="2000" bestFit="1" customWidth="1"/>
    <col min="12546" max="12546" width="19.85546875" style="2000" customWidth="1"/>
    <col min="12547" max="12547" width="12" style="2000" bestFit="1" customWidth="1"/>
    <col min="12548" max="12800" width="9.140625" style="2000"/>
    <col min="12801" max="12801" width="29.5703125" style="2000" bestFit="1" customWidth="1"/>
    <col min="12802" max="12802" width="19.85546875" style="2000" customWidth="1"/>
    <col min="12803" max="12803" width="12" style="2000" bestFit="1" customWidth="1"/>
    <col min="12804" max="13056" width="9.140625" style="2000"/>
    <col min="13057" max="13057" width="29.5703125" style="2000" bestFit="1" customWidth="1"/>
    <col min="13058" max="13058" width="19.85546875" style="2000" customWidth="1"/>
    <col min="13059" max="13059" width="12" style="2000" bestFit="1" customWidth="1"/>
    <col min="13060" max="13312" width="9.140625" style="2000"/>
    <col min="13313" max="13313" width="29.5703125" style="2000" bestFit="1" customWidth="1"/>
    <col min="13314" max="13314" width="19.85546875" style="2000" customWidth="1"/>
    <col min="13315" max="13315" width="12" style="2000" bestFit="1" customWidth="1"/>
    <col min="13316" max="13568" width="9.140625" style="2000"/>
    <col min="13569" max="13569" width="29.5703125" style="2000" bestFit="1" customWidth="1"/>
    <col min="13570" max="13570" width="19.85546875" style="2000" customWidth="1"/>
    <col min="13571" max="13571" width="12" style="2000" bestFit="1" customWidth="1"/>
    <col min="13572" max="13824" width="9.140625" style="2000"/>
    <col min="13825" max="13825" width="29.5703125" style="2000" bestFit="1" customWidth="1"/>
    <col min="13826" max="13826" width="19.85546875" style="2000" customWidth="1"/>
    <col min="13827" max="13827" width="12" style="2000" bestFit="1" customWidth="1"/>
    <col min="13828" max="14080" width="9.140625" style="2000"/>
    <col min="14081" max="14081" width="29.5703125" style="2000" bestFit="1" customWidth="1"/>
    <col min="14082" max="14082" width="19.85546875" style="2000" customWidth="1"/>
    <col min="14083" max="14083" width="12" style="2000" bestFit="1" customWidth="1"/>
    <col min="14084" max="14336" width="9.140625" style="2000"/>
    <col min="14337" max="14337" width="29.5703125" style="2000" bestFit="1" customWidth="1"/>
    <col min="14338" max="14338" width="19.85546875" style="2000" customWidth="1"/>
    <col min="14339" max="14339" width="12" style="2000" bestFit="1" customWidth="1"/>
    <col min="14340" max="14592" width="9.140625" style="2000"/>
    <col min="14593" max="14593" width="29.5703125" style="2000" bestFit="1" customWidth="1"/>
    <col min="14594" max="14594" width="19.85546875" style="2000" customWidth="1"/>
    <col min="14595" max="14595" width="12" style="2000" bestFit="1" customWidth="1"/>
    <col min="14596" max="14848" width="9.140625" style="2000"/>
    <col min="14849" max="14849" width="29.5703125" style="2000" bestFit="1" customWidth="1"/>
    <col min="14850" max="14850" width="19.85546875" style="2000" customWidth="1"/>
    <col min="14851" max="14851" width="12" style="2000" bestFit="1" customWidth="1"/>
    <col min="14852" max="15104" width="9.140625" style="2000"/>
    <col min="15105" max="15105" width="29.5703125" style="2000" bestFit="1" customWidth="1"/>
    <col min="15106" max="15106" width="19.85546875" style="2000" customWidth="1"/>
    <col min="15107" max="15107" width="12" style="2000" bestFit="1" customWidth="1"/>
    <col min="15108" max="15360" width="9.140625" style="2000"/>
    <col min="15361" max="15361" width="29.5703125" style="2000" bestFit="1" customWidth="1"/>
    <col min="15362" max="15362" width="19.85546875" style="2000" customWidth="1"/>
    <col min="15363" max="15363" width="12" style="2000" bestFit="1" customWidth="1"/>
    <col min="15364" max="15616" width="9.140625" style="2000"/>
    <col min="15617" max="15617" width="29.5703125" style="2000" bestFit="1" customWidth="1"/>
    <col min="15618" max="15618" width="19.85546875" style="2000" customWidth="1"/>
    <col min="15619" max="15619" width="12" style="2000" bestFit="1" customWidth="1"/>
    <col min="15620" max="15872" width="9.140625" style="2000"/>
    <col min="15873" max="15873" width="29.5703125" style="2000" bestFit="1" customWidth="1"/>
    <col min="15874" max="15874" width="19.85546875" style="2000" customWidth="1"/>
    <col min="15875" max="15875" width="12" style="2000" bestFit="1" customWidth="1"/>
    <col min="15876" max="16128" width="9.140625" style="2000"/>
    <col min="16129" max="16129" width="29.5703125" style="2000" bestFit="1" customWidth="1"/>
    <col min="16130" max="16130" width="19.85546875" style="2000" customWidth="1"/>
    <col min="16131" max="16131" width="12" style="2000" bestFit="1" customWidth="1"/>
    <col min="16132" max="16384" width="9.140625" style="2000"/>
  </cols>
  <sheetData>
    <row r="1" spans="1:2">
      <c r="A1" s="2000" t="s">
        <v>1026</v>
      </c>
      <c r="B1" s="2398">
        <v>6.1</v>
      </c>
    </row>
    <row r="2" spans="1:2">
      <c r="A2" s="2000" t="s">
        <v>1027</v>
      </c>
      <c r="B2" s="2401">
        <v>43201.391655092593</v>
      </c>
    </row>
    <row r="3" spans="1:2">
      <c r="A3" s="2000" t="s">
        <v>1028</v>
      </c>
      <c r="B3" s="2399" t="s">
        <v>736</v>
      </c>
    </row>
    <row r="4" spans="1:2">
      <c r="A4" s="2000" t="s">
        <v>1029</v>
      </c>
      <c r="B4" s="2399" t="s">
        <v>1030</v>
      </c>
    </row>
    <row r="5" spans="1:2">
      <c r="A5" s="2000" t="s">
        <v>1031</v>
      </c>
      <c r="B5" s="2399" t="s">
        <v>1032</v>
      </c>
    </row>
    <row r="6" spans="1:2">
      <c r="A6" s="2000" t="s">
        <v>1033</v>
      </c>
    </row>
    <row r="7" spans="1:2">
      <c r="A7" s="2000" t="s">
        <v>1034</v>
      </c>
      <c r="B7" s="2399" t="s">
        <v>21</v>
      </c>
    </row>
    <row r="8" spans="1:2">
      <c r="A8" s="2000" t="s">
        <v>1035</v>
      </c>
      <c r="B8" s="2399" t="s">
        <v>1036</v>
      </c>
    </row>
    <row r="9" spans="1:2">
      <c r="A9" s="2000" t="s">
        <v>1037</v>
      </c>
      <c r="B9" s="2399" t="s">
        <v>1073</v>
      </c>
    </row>
    <row r="10" spans="1:2">
      <c r="A10" s="2000" t="s">
        <v>1038</v>
      </c>
    </row>
    <row r="11" spans="1:2">
      <c r="A11" s="2000" t="s">
        <v>1039</v>
      </c>
    </row>
    <row r="12" spans="1:2">
      <c r="A12" s="2000" t="s">
        <v>1040</v>
      </c>
    </row>
    <row r="13" spans="1:2">
      <c r="A13" s="2000" t="s">
        <v>1041</v>
      </c>
    </row>
    <row r="14" spans="1:2">
      <c r="A14" s="2000" t="s">
        <v>1042</v>
      </c>
    </row>
    <row r="15" spans="1:2">
      <c r="A15" s="2000" t="s">
        <v>1043</v>
      </c>
    </row>
    <row r="16" spans="1:2">
      <c r="A16" s="2000" t="s">
        <v>1044</v>
      </c>
    </row>
    <row r="17" spans="1:4">
      <c r="A17" s="2000" t="s">
        <v>1045</v>
      </c>
      <c r="B17" s="2399" t="s">
        <v>1074</v>
      </c>
    </row>
    <row r="18" spans="1:4">
      <c r="A18" s="2000" t="s">
        <v>1046</v>
      </c>
      <c r="B18" s="2399" t="s">
        <v>1077</v>
      </c>
    </row>
    <row r="19" spans="1:4">
      <c r="A19" s="2000" t="s">
        <v>1047</v>
      </c>
      <c r="B19" s="2399" t="s">
        <v>394</v>
      </c>
    </row>
    <row r="20" spans="1:4">
      <c r="A20" s="2000" t="s">
        <v>1048</v>
      </c>
      <c r="B20" s="2400">
        <v>714046109</v>
      </c>
    </row>
    <row r="21" spans="1:4">
      <c r="A21" s="2000" t="s">
        <v>1049</v>
      </c>
      <c r="B21" s="2399" t="s">
        <v>394</v>
      </c>
    </row>
    <row r="22" spans="1:4">
      <c r="A22" s="2000" t="s">
        <v>1050</v>
      </c>
      <c r="B22" s="2400">
        <v>2305844</v>
      </c>
    </row>
    <row r="23" spans="1:4">
      <c r="A23" s="2000" t="s">
        <v>454</v>
      </c>
      <c r="B23" s="2398">
        <v>75.430000000000007</v>
      </c>
    </row>
    <row r="24" spans="1:4">
      <c r="A24" s="2000" t="s">
        <v>453</v>
      </c>
      <c r="B24" s="2399" t="s">
        <v>430</v>
      </c>
      <c r="D24" s="2000" t="s">
        <v>79</v>
      </c>
    </row>
    <row r="25" spans="1:4">
      <c r="A25" s="2000" t="s">
        <v>1051</v>
      </c>
      <c r="B25" s="2399" t="s">
        <v>1078</v>
      </c>
    </row>
    <row r="26" spans="1:4">
      <c r="A26" s="2000" t="s">
        <v>1052</v>
      </c>
      <c r="B26" s="2399">
        <v>0</v>
      </c>
    </row>
    <row r="27" spans="1:4">
      <c r="A27" s="2000" t="s">
        <v>1053</v>
      </c>
      <c r="B27" s="2399" t="s">
        <v>1054</v>
      </c>
    </row>
    <row r="28" spans="1:4">
      <c r="A28" s="2000" t="s">
        <v>1055</v>
      </c>
      <c r="B28" s="2399" t="s">
        <v>185</v>
      </c>
    </row>
    <row r="29" spans="1:4">
      <c r="A29" s="2000" t="s">
        <v>1056</v>
      </c>
    </row>
    <row r="30" spans="1:4">
      <c r="A30" s="2000" t="s">
        <v>1057</v>
      </c>
    </row>
    <row r="31" spans="1:4">
      <c r="A31" s="2000" t="s">
        <v>1058</v>
      </c>
    </row>
    <row r="32" spans="1:4">
      <c r="A32" s="2000" t="s">
        <v>1059</v>
      </c>
      <c r="B32" s="2398"/>
    </row>
    <row r="33" spans="1:2">
      <c r="A33" s="2000" t="s">
        <v>1060</v>
      </c>
      <c r="B33" s="2398"/>
    </row>
    <row r="34" spans="1:2">
      <c r="A34" s="2000" t="s">
        <v>1061</v>
      </c>
      <c r="B34" s="2398"/>
    </row>
    <row r="35" spans="1:2">
      <c r="A35" s="2000" t="s">
        <v>1062</v>
      </c>
      <c r="B35" s="2399">
        <v>1000000</v>
      </c>
    </row>
    <row r="36" spans="1:2">
      <c r="A36" s="2000" t="s">
        <v>1063</v>
      </c>
      <c r="B36" s="2399" t="s">
        <v>1075</v>
      </c>
    </row>
    <row r="37" spans="1:2">
      <c r="A37" s="2000" t="s">
        <v>1064</v>
      </c>
      <c r="B37" s="2399" t="s">
        <v>1065</v>
      </c>
    </row>
    <row r="38" spans="1:2">
      <c r="A38" s="2000" t="s">
        <v>1066</v>
      </c>
      <c r="B38" s="2399" t="s">
        <v>1067</v>
      </c>
    </row>
    <row r="39" spans="1:2">
      <c r="A39" s="2000" t="s">
        <v>1068</v>
      </c>
      <c r="B39" s="2399" t="s">
        <v>1076</v>
      </c>
    </row>
    <row r="40" spans="1:2">
      <c r="A40" s="2000" t="s">
        <v>1069</v>
      </c>
      <c r="B40" s="2399">
        <v>1500005571</v>
      </c>
    </row>
    <row r="41" spans="1:2">
      <c r="A41" s="2000" t="s">
        <v>1070</v>
      </c>
      <c r="B41" s="2399">
        <v>1</v>
      </c>
    </row>
    <row r="42" spans="1:2">
      <c r="A42" s="2016" t="s">
        <v>1071</v>
      </c>
    </row>
    <row r="43" spans="1:2">
      <c r="A43" s="2000" t="s">
        <v>1072</v>
      </c>
    </row>
  </sheetData>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2000" bestFit="1" customWidth="1"/>
    <col min="2" max="256" width="9.140625" style="2000"/>
    <col min="257" max="257" width="28.5703125" style="2000" bestFit="1" customWidth="1"/>
    <col min="258" max="512" width="9.140625" style="2000"/>
    <col min="513" max="513" width="28.5703125" style="2000" bestFit="1" customWidth="1"/>
    <col min="514" max="768" width="9.140625" style="2000"/>
    <col min="769" max="769" width="28.5703125" style="2000" bestFit="1" customWidth="1"/>
    <col min="770" max="1024" width="9.140625" style="2000"/>
    <col min="1025" max="1025" width="28.5703125" style="2000" bestFit="1" customWidth="1"/>
    <col min="1026" max="1280" width="9.140625" style="2000"/>
    <col min="1281" max="1281" width="28.5703125" style="2000" bestFit="1" customWidth="1"/>
    <col min="1282" max="1536" width="9.140625" style="2000"/>
    <col min="1537" max="1537" width="28.5703125" style="2000" bestFit="1" customWidth="1"/>
    <col min="1538" max="1792" width="9.140625" style="2000"/>
    <col min="1793" max="1793" width="28.5703125" style="2000" bestFit="1" customWidth="1"/>
    <col min="1794" max="2048" width="9.140625" style="2000"/>
    <col min="2049" max="2049" width="28.5703125" style="2000" bestFit="1" customWidth="1"/>
    <col min="2050" max="2304" width="9.140625" style="2000"/>
    <col min="2305" max="2305" width="28.5703125" style="2000" bestFit="1" customWidth="1"/>
    <col min="2306" max="2560" width="9.140625" style="2000"/>
    <col min="2561" max="2561" width="28.5703125" style="2000" bestFit="1" customWidth="1"/>
    <col min="2562" max="2816" width="9.140625" style="2000"/>
    <col min="2817" max="2817" width="28.5703125" style="2000" bestFit="1" customWidth="1"/>
    <col min="2818" max="3072" width="9.140625" style="2000"/>
    <col min="3073" max="3073" width="28.5703125" style="2000" bestFit="1" customWidth="1"/>
    <col min="3074" max="3328" width="9.140625" style="2000"/>
    <col min="3329" max="3329" width="28.5703125" style="2000" bestFit="1" customWidth="1"/>
    <col min="3330" max="3584" width="9.140625" style="2000"/>
    <col min="3585" max="3585" width="28.5703125" style="2000" bestFit="1" customWidth="1"/>
    <col min="3586" max="3840" width="9.140625" style="2000"/>
    <col min="3841" max="3841" width="28.5703125" style="2000" bestFit="1" customWidth="1"/>
    <col min="3842" max="4096" width="9.140625" style="2000"/>
    <col min="4097" max="4097" width="28.5703125" style="2000" bestFit="1" customWidth="1"/>
    <col min="4098" max="4352" width="9.140625" style="2000"/>
    <col min="4353" max="4353" width="28.5703125" style="2000" bestFit="1" customWidth="1"/>
    <col min="4354" max="4608" width="9.140625" style="2000"/>
    <col min="4609" max="4609" width="28.5703125" style="2000" bestFit="1" customWidth="1"/>
    <col min="4610" max="4864" width="9.140625" style="2000"/>
    <col min="4865" max="4865" width="28.5703125" style="2000" bestFit="1" customWidth="1"/>
    <col min="4866" max="5120" width="9.140625" style="2000"/>
    <col min="5121" max="5121" width="28.5703125" style="2000" bestFit="1" customWidth="1"/>
    <col min="5122" max="5376" width="9.140625" style="2000"/>
    <col min="5377" max="5377" width="28.5703125" style="2000" bestFit="1" customWidth="1"/>
    <col min="5378" max="5632" width="9.140625" style="2000"/>
    <col min="5633" max="5633" width="28.5703125" style="2000" bestFit="1" customWidth="1"/>
    <col min="5634" max="5888" width="9.140625" style="2000"/>
    <col min="5889" max="5889" width="28.5703125" style="2000" bestFit="1" customWidth="1"/>
    <col min="5890" max="6144" width="9.140625" style="2000"/>
    <col min="6145" max="6145" width="28.5703125" style="2000" bestFit="1" customWidth="1"/>
    <col min="6146" max="6400" width="9.140625" style="2000"/>
    <col min="6401" max="6401" width="28.5703125" style="2000" bestFit="1" customWidth="1"/>
    <col min="6402" max="6656" width="9.140625" style="2000"/>
    <col min="6657" max="6657" width="28.5703125" style="2000" bestFit="1" customWidth="1"/>
    <col min="6658" max="6912" width="9.140625" style="2000"/>
    <col min="6913" max="6913" width="28.5703125" style="2000" bestFit="1" customWidth="1"/>
    <col min="6914" max="7168" width="9.140625" style="2000"/>
    <col min="7169" max="7169" width="28.5703125" style="2000" bestFit="1" customWidth="1"/>
    <col min="7170" max="7424" width="9.140625" style="2000"/>
    <col min="7425" max="7425" width="28.5703125" style="2000" bestFit="1" customWidth="1"/>
    <col min="7426" max="7680" width="9.140625" style="2000"/>
    <col min="7681" max="7681" width="28.5703125" style="2000" bestFit="1" customWidth="1"/>
    <col min="7682" max="7936" width="9.140625" style="2000"/>
    <col min="7937" max="7937" width="28.5703125" style="2000" bestFit="1" customWidth="1"/>
    <col min="7938" max="8192" width="9.140625" style="2000"/>
    <col min="8193" max="8193" width="28.5703125" style="2000" bestFit="1" customWidth="1"/>
    <col min="8194" max="8448" width="9.140625" style="2000"/>
    <col min="8449" max="8449" width="28.5703125" style="2000" bestFit="1" customWidth="1"/>
    <col min="8450" max="8704" width="9.140625" style="2000"/>
    <col min="8705" max="8705" width="28.5703125" style="2000" bestFit="1" customWidth="1"/>
    <col min="8706" max="8960" width="9.140625" style="2000"/>
    <col min="8961" max="8961" width="28.5703125" style="2000" bestFit="1" customWidth="1"/>
    <col min="8962" max="9216" width="9.140625" style="2000"/>
    <col min="9217" max="9217" width="28.5703125" style="2000" bestFit="1" customWidth="1"/>
    <col min="9218" max="9472" width="9.140625" style="2000"/>
    <col min="9473" max="9473" width="28.5703125" style="2000" bestFit="1" customWidth="1"/>
    <col min="9474" max="9728" width="9.140625" style="2000"/>
    <col min="9729" max="9729" width="28.5703125" style="2000" bestFit="1" customWidth="1"/>
    <col min="9730" max="9984" width="9.140625" style="2000"/>
    <col min="9985" max="9985" width="28.5703125" style="2000" bestFit="1" customWidth="1"/>
    <col min="9986" max="10240" width="9.140625" style="2000"/>
    <col min="10241" max="10241" width="28.5703125" style="2000" bestFit="1" customWidth="1"/>
    <col min="10242" max="10496" width="9.140625" style="2000"/>
    <col min="10497" max="10497" width="28.5703125" style="2000" bestFit="1" customWidth="1"/>
    <col min="10498" max="10752" width="9.140625" style="2000"/>
    <col min="10753" max="10753" width="28.5703125" style="2000" bestFit="1" customWidth="1"/>
    <col min="10754" max="11008" width="9.140625" style="2000"/>
    <col min="11009" max="11009" width="28.5703125" style="2000" bestFit="1" customWidth="1"/>
    <col min="11010" max="11264" width="9.140625" style="2000"/>
    <col min="11265" max="11265" width="28.5703125" style="2000" bestFit="1" customWidth="1"/>
    <col min="11266" max="11520" width="9.140625" style="2000"/>
    <col min="11521" max="11521" width="28.5703125" style="2000" bestFit="1" customWidth="1"/>
    <col min="11522" max="11776" width="9.140625" style="2000"/>
    <col min="11777" max="11777" width="28.5703125" style="2000" bestFit="1" customWidth="1"/>
    <col min="11778" max="12032" width="9.140625" style="2000"/>
    <col min="12033" max="12033" width="28.5703125" style="2000" bestFit="1" customWidth="1"/>
    <col min="12034" max="12288" width="9.140625" style="2000"/>
    <col min="12289" max="12289" width="28.5703125" style="2000" bestFit="1" customWidth="1"/>
    <col min="12290" max="12544" width="9.140625" style="2000"/>
    <col min="12545" max="12545" width="28.5703125" style="2000" bestFit="1" customWidth="1"/>
    <col min="12546" max="12800" width="9.140625" style="2000"/>
    <col min="12801" max="12801" width="28.5703125" style="2000" bestFit="1" customWidth="1"/>
    <col min="12802" max="13056" width="9.140625" style="2000"/>
    <col min="13057" max="13057" width="28.5703125" style="2000" bestFit="1" customWidth="1"/>
    <col min="13058" max="13312" width="9.140625" style="2000"/>
    <col min="13313" max="13313" width="28.5703125" style="2000" bestFit="1" customWidth="1"/>
    <col min="13314" max="13568" width="9.140625" style="2000"/>
    <col min="13569" max="13569" width="28.5703125" style="2000" bestFit="1" customWidth="1"/>
    <col min="13570" max="13824" width="9.140625" style="2000"/>
    <col min="13825" max="13825" width="28.5703125" style="2000" bestFit="1" customWidth="1"/>
    <col min="13826" max="14080" width="9.140625" style="2000"/>
    <col min="14081" max="14081" width="28.5703125" style="2000" bestFit="1" customWidth="1"/>
    <col min="14082" max="14336" width="9.140625" style="2000"/>
    <col min="14337" max="14337" width="28.5703125" style="2000" bestFit="1" customWidth="1"/>
    <col min="14338" max="14592" width="9.140625" style="2000"/>
    <col min="14593" max="14593" width="28.5703125" style="2000" bestFit="1" customWidth="1"/>
    <col min="14594" max="14848" width="9.140625" style="2000"/>
    <col min="14849" max="14849" width="28.5703125" style="2000" bestFit="1" customWidth="1"/>
    <col min="14850" max="15104" width="9.140625" style="2000"/>
    <col min="15105" max="15105" width="28.5703125" style="2000" bestFit="1" customWidth="1"/>
    <col min="15106" max="15360" width="9.140625" style="2000"/>
    <col min="15361" max="15361" width="28.5703125" style="2000" bestFit="1" customWidth="1"/>
    <col min="15362" max="15616" width="9.140625" style="2000"/>
    <col min="15617" max="15617" width="28.5703125" style="2000" bestFit="1" customWidth="1"/>
    <col min="15618" max="15872" width="9.140625" style="2000"/>
    <col min="15873" max="15873" width="28.5703125" style="2000" bestFit="1" customWidth="1"/>
    <col min="15874" max="16128" width="9.140625" style="2000"/>
    <col min="16129" max="16129" width="28.5703125" style="2000" bestFit="1" customWidth="1"/>
    <col min="16130" max="16384" width="9.140625" style="2000"/>
  </cols>
  <sheetData>
    <row r="1" spans="1:1">
      <c r="A1" s="2402" t="s">
        <v>1079</v>
      </c>
    </row>
    <row r="2" spans="1:1">
      <c r="A2" s="2402" t="s">
        <v>1084</v>
      </c>
    </row>
    <row r="3" spans="1:1">
      <c r="A3" s="2402" t="s">
        <v>1085</v>
      </c>
    </row>
    <row r="4" spans="1:1">
      <c r="A4" s="2402" t="s">
        <v>1086</v>
      </c>
    </row>
    <row r="5" spans="1:1">
      <c r="A5" s="2402" t="s">
        <v>1087</v>
      </c>
    </row>
    <row r="6" spans="1:1">
      <c r="A6" s="2402" t="s">
        <v>1080</v>
      </c>
    </row>
    <row r="7" spans="1:1">
      <c r="A7" s="2402" t="s">
        <v>1088</v>
      </c>
    </row>
    <row r="8" spans="1:1">
      <c r="A8" s="2402" t="s">
        <v>1089</v>
      </c>
    </row>
    <row r="9" spans="1:1">
      <c r="A9" s="2402" t="s">
        <v>1090</v>
      </c>
    </row>
    <row r="10" spans="1:1">
      <c r="A10" s="2402" t="s">
        <v>1081</v>
      </c>
    </row>
    <row r="11" spans="1:1">
      <c r="A11" s="2402" t="s">
        <v>1091</v>
      </c>
    </row>
    <row r="12" spans="1:1">
      <c r="A12" s="2402" t="s">
        <v>1082</v>
      </c>
    </row>
    <row r="13" spans="1:1">
      <c r="A13" s="2402" t="s">
        <v>1083</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5878f07a-58aa-4aa0-97d1-e090cfe1c81a</GUID>
    <SOURCE_ALTADDRESS>$A$4:$R$50</SOURCE_ALTADDRESS>
    <SOURCETYPE>Table</SOURCETYPE>
    <SOURCE_OBJECTNAME>Linking_Range_78</SOURCE_OBJECTNAME>
    <OBJECTTYPE>Native</OBJECTTYPE>
    <SOURCE_SHEETCODE>Sheet32</SOURCE_SHEETCODE>
    <SOURCE_SHEETNAME>DCF</SOURCE_SHEETNAME>
    <SOURCEAPPLICATION>EXCEL_SOURCE</SOURCEAPPLICATION>
    <UPDATEDAT>8/27/2014 1:05:51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/MSResearch/Content/ExternalAssets/2014-08/Images/RiecKWToFkiYCJsrYqK58A--.png</TARGET_BINARYFULLNAME>
    <TARGET_STORYFULLNAME>/MSResearch/Content/ExternalAssets/2014-08/Sections/Linking_Range_78-010.xml</TARGET_STORYFULLNAME>
    <TARGET_UUID>2526d184-2e1d-11e4-8fd1-f8d3a0aeecbc</TARGET_UUID>
  </Link>
  <Link>
    <GUID>8374aebe-f2ea-4ef4-8ce5-2bafff2e0ac5</GUID>
    <SOURCE_ALTADDRESS>$A$79:$N$95</SOURCE_ALTADDRESS>
    <SOURCETYPE>Table</SOURCETYPE>
    <SOURCE_OBJECTNAME>Linking_Range_79</SOURCE_OBJECTNAME>
    <OBJECTTYPE>Native</OBJECTTYPE>
    <SOURCE_SHEETCODE>Sheet32</SOURCE_SHEETCODE>
    <SOURCE_SHEETNAME>DCF</SOURCE_SHEETNAME>
    <SOURCEAPPLICATION>EXCEL_SOURCE</SOURCEAPPLICATION>
    <UPDATEDAT>9/6/2014 12:12:08 AM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/MSResearch/Content/ExternalAssets/2014-09/Images/hrBxCRptbEi8gkWOdYqOCQ--.png</TARGET_BINARYFULLNAME>
    <TARGET_STORYFULLNAME>/MSResearch/Content/ExternalAssets/2014-09/Sections/Linking_Range_79-003.xml</TARGET_STORYFULLNAME>
    <TARGET_UUID>32b11cd8-3467-11e4-bdd8-3ff9506af4dc</TARGET_UUID>
    <TRANSPARENTBACKGROUND>False</TRANSPARENTBACKGROUND>
    <TRANSPARENTPLOTAREA>False</TRANSPARENTPLOTAREA>
  </Link>
  <Link>
    <GUID>67fd0491-c47e-4bcb-9093-0dfb901a52b0</GUID>
    <SOURCE_ALTADDRESS>$A$7:$BU$74</SOURCE_ALTADDRESS>
    <SOURCETYPE>Table</SOURCETYPE>
    <SOURCE_OBJECTNAME>Linking_Range_75</SOURCE_OBJECTNAME>
    <OBJECTTYPE>Native</OBJECTTYPE>
    <SOURCE_SHEETCODE>Sheet2</SOURCE_SHEETCODE>
    <SOURCE_SHEETNAME>RevBuild</SOURCE_SHEETNAME>
    <SOURCEAPPLICATION>EXCEL_SOURCE</SOURCEAPPLICATION>
    <UPDATEDAT>9/6/2014 1:25:17 AM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/MSResearch/Content/ExternalAssets/2014-08/Images/jbb-DiHAQkCV7IwLkhJGSA--.png</TARGET_BINARYFULLNAME>
    <TARGET_STORYFULLNAME>/MSResearch/Content/ExternalAssets/2014-08/Sections/Linking_Range_75-009.xml</TARGET_STORYFULLNAME>
    <TARGET_UUID>92343e16-2e1c-11e4-8fd1-f8d3a0aeecbc</TARGET_UUID>
    <TRANSPARENTBACKGROUND>False</TRANSPARENTBACKGROUND>
    <TRANSPARENTPLOTAREA>False</TRANSPARENTPLOTAREA>
  </Link>
  <Link>
    <GUID>a24b4990-69fb-4a5c-8acb-aeef52dab3ca</GUID>
    <SOURCE_ALTADDRESS>$A$7:$BU$48</SOURCE_ALTADDRESS>
    <SOURCETYPE>Table</SOURCETYPE>
    <SOURCE_OBJECTNAME>Linking_Range_76</SOURCE_OBJECTNAME>
    <OBJECTTYPE>Native</OBJECTTYPE>
    <SOURCE_SHEETCODE>Sheet3</SOURCE_SHEETCODE>
    <SOURCE_SHEETNAME>BS</SOURCE_SHEETNAME>
    <SOURCEAPPLICATION>EXCEL_SOURCE</SOURCEAPPLICATION>
    <UPDATEDAT>9/6/2014 1:26:15 AM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/MSResearch/Content/ExternalAssets/2014-08/Images/15uhDbOc3Eib9F9jBUvD6g--.png</TARGET_BINARYFULLNAME>
    <TARGET_STORYFULLNAME>/MSResearch/Content/ExternalAssets/2014-08/Sections/Linking_Range_76-008.xml</TARGET_STORYFULLNAME>
    <TARGET_UUID>be1c360a-2e1c-11e4-8fd1-f8d3a0aeecbc</TARGET_UUID>
    <TRANSPARENTBACKGROUND>False</TRANSPARENTBACKGROUND>
    <TRANSPARENTPLOTAREA>False</TRANSPARENTPLOTAREA>
  </Link>
  <Link>
    <GUID>0abe0839-2418-4865-a482-39c3b9e1901f</GUID>
    <SOURCE_ALTADDRESS>$A$7:$BU$55</SOURCE_ALTADDRESS>
    <SOURCETYPE>Table</SOURCETYPE>
    <SOURCE_OBJECTNAME>Linking_Range_74</SOURCE_OBJECTNAME>
    <OBJECTTYPE>Native</OBJECTTYPE>
    <SOURCE_SHEETCODE>Sheet5</SOURCE_SHEETCODE>
    <SOURCE_SHEETNAME>CFS</SOURCE_SHEETNAME>
    <SOURCEAPPLICATION>EXCEL_SOURCE</SOURCEAPPLICATION>
    <UPDATEDAT>9/6/2014 1:27:26 AM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/MSResearch/Content/ExternalAssets/2014-08/Images/nTfdxh9aKSRWxLqqOvmBQ--.png</TARGET_BINARYFULLNAME>
    <TARGET_STORYFULLNAME>/MSResearch/Content/ExternalAssets/2014-08/Sections/Linking_Range_74-010.xml</TARGET_STORYFULLNAME>
    <TARGET_UUID>e6fbab28-2e1c-11e4-8fd1-f8d3a0aeecbc</TARGET_UUID>
    <TRANSPARENTBACKGROUND>False</TRANSPARENTBACKGROUND>
    <TRANSPARENTPLOTAREA>False</TRANSPARENTPLOTAREA>
  </Link>
  <Link>
    <GUID>9692e324-c6d0-4b9c-a456-d39c3f159815</GUID>
    <SOURCE_ALTADDRESS>$A$3:$R$50</SOURCE_ALTADDRESS>
    <SOURCETYPE>Table</SOURCETYPE>
    <SOURCE_OBJECTNAME>Linking_Range_77</SOURCE_OBJECTNAME>
    <OBJECTTYPE>Native</OBJECTTYPE>
    <SOURCE_SHEETCODE>Sheet32</SOURCE_SHEETCODE>
    <SOURCE_SHEETNAME>DCF</SOURCE_SHEETNAME>
    <SOURCEAPPLICATION>EXCEL_SOURCE</SOURCEAPPLICATION>
    <UPDATEDAT>9/6/2014 1:32:12 AM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/MSResearch/Content/ExternalAssets/2014-08/Images/efSOWnAcYEKH2Ncjlk33vg--.png</TARGET_BINARYFULLNAME>
    <TARGET_STORYFULLNAME>/MSResearch/Content/ExternalAssets/2014-08/Sections/Linking_Range_77-008.xml</TARGET_STORYFULLNAME>
    <TARGET_UUID>0d11719e-2e1d-11e4-8fd1-f8d3a0aeecbc</TARGET_UUID>
    <TRANSPARENTBACKGROUND>False</TRANSPARENTBACKGROUND>
    <TRANSPARENTPLOTAREA>False</TRANSPARENTPLOTAREA>
    <LINKSTATUS>Unknown</LINKSTATUS>
  </Link>
  <Link>
    <GUID>876a4bfa-26ed-4b09-b209-e772779742c7</GUID>
    <SOURCE_ALTADDRESS>$BX$5:$CI$15</SOURCE_ALTADDRESS>
    <SOURCETYPE>Table</SOURCETYPE>
    <SOURCE_OBJECTNAME>Linking_Range_81</SOURCE_OBJECTNAME>
    <OBJECTTYPE>Native</OBJECTTYPE>
    <SOURCE_SHEETCODE>Sheet6</SOURCE_SHEETCODE>
    <SOURCE_SHEETNAME>OrgRev</SOURCE_SHEETNAME>
    <SOURCEAPPLICATION>EXCEL_SOURCE</SOURCEAPPLICATION>
    <UPDATEDAT>10/2/2014 12:20:20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/MSResearch/Content/ExternalAssets/2014-10/Images/8Oi98suVBWEXSME6-qD2A--.png</TARGET_BINARYFULLNAME>
    <TARGET_STORYFULLNAME>/MSResearch/Content/ExternalAssets/2014-10/Sections/Linking_Range_81-001.xml</TARGET_STORYFULLNAME>
    <TARGET_UUID>c2108328-4a60-11e4-939b-fa70b500ebdf</TARGET_UUID>
  </Link>
  <Link>
    <GUID>a31ad6f7-325d-4bf7-83b8-13b6c251413d</GUID>
    <SOURCE_ALTADDRESS>$A$18:$I$29</SOURCE_ALTADDRESS>
    <SOURCETYPE>Table</SOURCETYPE>
    <SOURCE_OBJECTNAME>Linking_Range_83</SOURCE_OBJECTNAME>
    <OBJECTTYPE>Native</OBJECTTYPE>
    <SOURCE_SHEETCODE>Sheet11</SOURCE_SHEETCODE>
    <SOURCE_SHEETNAME>Guidance</SOURCE_SHEETNAME>
    <SOURCEAPPLICATION>EXCEL_SOURCE</SOURCEAPPLICATION>
    <UPDATEDAT>10/13/2014 4:03:39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/MSResearch/Content/ExternalAssets/2014-10/Images/rkIw9JneZUCiA7CoxaLX-g--.png</TARGET_BINARYFULLNAME>
    <TARGET_STORYFULLNAME>/MSResearch/Content/ExternalAssets/2014-10/Sections/Linking_Range_83-001.xml</TARGET_STORYFULLNAME>
    <TARGET_UUID>c79a4a3c-5324-11e4-b03b-7e57cd39a3c9</TARGET_UUID>
  </Link>
  <Link>
    <GUID>fbd40446-1245-4f06-b425-e03910678937</GUID>
    <SOURCE_ALTADDRESS>$A$4:$BI$72</SOURCE_ALTADDRESS>
    <SOURCETYPE>Table</SOURCETYPE>
    <SOURCE_OBJECTNAME>Linking_Range_85</SOURCE_OBJECTNAME>
    <OBJECTTYPE>Native</OBJECTTYPE>
    <SOURCE_SHEETCODE>Sheet1</SOURCE_SHEETCODE>
    <SOURCE_SHEETNAME>IS</SOURCE_SHEETNAME>
    <SOURCEAPPLICATION>EXCEL_SOURCE</SOURCEAPPLICATION>
    <UPDATEDAT>10/13/2014 5:17:51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/MSResearch/Content/ExternalAssets/2014-10/Images/QMAEST3DWUK1qXwtMIjDLA--.png</TARGET_BINARYFULLNAME>
    <TARGET_STORYFULLNAME>/MSResearch/Content/ExternalAssets/2014-10/Sections/Linking_Range_85-005.xml</TARGET_STORYFULLNAME>
    <TARGET_UUID>24469e66-532f-11e4-b03b-7e57cd39a3c9</TARGET_UUID>
  </Link>
  <Link>
    <GUID>1888e694-fa89-4650-96fd-d621a0cab590</GUID>
    <SOURCE_ALTADDRESS>$A$4:$BI$74</SOURCE_ALTADDRESS>
    <SOURCETYPE>Table</SOURCETYPE>
    <SOURCE_OBJECTNAME>Linking_Range_86</SOURCE_OBJECTNAME>
    <OBJECTTYPE>Native</OBJECTTYPE>
    <SOURCE_SHEETCODE>Sheet2</SOURCE_SHEETCODE>
    <SOURCE_SHEETNAME>RevBuild</SOURCE_SHEETNAME>
    <SOURCEAPPLICATION>EXCEL_SOURCE</SOURCEAPPLICATION>
    <UPDATEDAT>10/13/2014 5:18:34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/MSResearch/Content/ExternalAssets/2014-10/Images/qz2TLYfYSkOsUs5tcrJkaQ--.png</TARGET_BINARYFULLNAME>
    <TARGET_STORYFULLNAME>/MSResearch/Content/ExternalAssets/2014-10/Sections/Linking_Range_86-007.xml</TARGET_STORYFULLNAME>
    <TARGET_UUID>3e05edfc-532f-11e4-b03b-7e57cd39a3c9</TARGET_UUID>
  </Link>
  <Link>
    <GUID>10fe1697-d67a-4579-aa1c-db0ea1cce1c5</GUID>
    <SOURCE_ALTADDRESS>$Q$45:$W$80</SOURCE_ALTADDRESS>
    <SOURCETYPE>Table</SOURCETYPE>
    <SOURCE_OBJECTNAME>Linking_Range_84</SOURCE_OBJECTNAME>
    <OBJECTTYPE>Native</OBJECTTYPE>
    <SOURCE_SHEETCODE>Sheet12</SOURCE_SHEETCODE>
    <SOURCE_SHEETNAME>EPS Charts</SOURCE_SHEETNAME>
    <SOURCEAPPLICATION>EXCEL_SOURCE</SOURCEAPPLICATION>
    <UPDATEDAT>10/16/2014 12:34:38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/MSResearch/Content/ExternalAssets/2014-10/Images/tbfwDDMTkEezi1G6heWf5w--.png</TARGET_BINARYFULLNAME>
    <TARGET_STORYFULLNAME>/MSResearch/Content/ExternalAssets/2014-10/Sections/Linking_Range_84-003.xml</TARGET_STORYFULLNAME>
    <TARGET_UUID>95d7e042-532c-11e4-b03b-7e57cd39a3c9</TARGET_UUID>
    <LINKSTATUS>Unknown</LINKSTATUS>
  </Link>
  <Link>
    <GUID>8aa24167-c016-404e-9ca3-dccb7f95b11f</GUID>
    <SOURCE_ALTADDRESS>$H$18:$I$34</SOURCE_ALTADDRESS>
    <SOURCETYPE>Table</SOURCETYPE>
    <SOURCE_OBJECTNAME>Linking_Range_87</SOURCE_OBJECTNAME>
    <OBJECTTYPE>Native</OBJECTTYPE>
    <SOURCE_SHEETCODE>Sheet12</SOURCE_SHEETCODE>
    <SOURCE_SHEETNAME>EPS Charts</SOURCE_SHEETNAME>
    <SOURCEAPPLICATION>EXCEL_SOURCE</SOURCEAPPLICATION>
    <UPDATEDAT>10/30/2014 9:19:31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/MSResearch/Content/ExternalAssets/2014-10/Images/hikHIuvfUudU1oBFckCg--.png</TARGET_BINARYFULLNAME>
    <TARGET_STORYFULLNAME>/MSResearch/Content/ExternalAssets/2014-10/Sections/Linking_Range_87-012.xml</TARGET_STORYFULLNAME>
    <TARGET_UUID>7dfec5ba-54f5-11e4-b03b-7e57cd39a3c9</TARGET_UUID>
    <LINKSTATUS>Unknown</LINKSTATUS>
    <TRANSPARENTBACKGROUND>False</TRANSPARENTBACKGROUND>
    <TRANSPARENTPLOTAREA>False</TRANSPARENTPLOTAREA>
  </Link>
  <Link>
    <GUID>b9a6f816-5cf3-4ee5-9b18-7efda851c85b</GUID>
    <SOURCE_ALTADDRESS>$A$7:$BI$72</SOURCE_ALTADDRESS>
    <SOURCETYPE>Table</SOURCETYPE>
    <SOURCE_OBJECTNAME>Linking_Range_89</SOURCE_OBJECTNAME>
    <OBJECTTYPE>Native</OBJECTTYPE>
    <SOURCE_SHEETCODE>Sheet1</SOURCE_SHEETCODE>
    <SOURCE_SHEETNAME>IS</SOURCE_SHEETNAME>
    <SOURCEAPPLICATION>EXCEL_SOURCE</SOURCEAPPLICATION>
    <UPDATEDAT>10/30/2014 9:25:25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/MSResearch/Content/ExternalAssets/2014-10/Images/eNVjsgygE6NEMd3frzFZA--.png</TARGET_BINARYFULLNAME>
    <TARGET_STORYFULLNAME>/MSResearch/Content/ExternalAssets/2014-10/Sections/20141030_092521_Linking_Range_89.xml</TARGET_STORYFULLNAME>
    <TARGET_UUID>c7c3d34a-609c-11e4-9f40-9b8a7e254359</TARGET_UUID>
  </Link>
  <Link>
    <GUID>18a7e581-7ddd-4a5e-a464-da5a4e8c5da2</GUID>
    <SOURCE_ALTADDRESS>$BX$5:$CJ$15</SOURCE_ALTADDRESS>
    <SOURCETYPE>Table</SOURCETYPE>
    <SOURCE_OBJECTNAME>Linking_Range_82</SOURCE_OBJECTNAME>
    <OBJECTTYPE>Native</OBJECTTYPE>
    <SOURCE_SHEETCODE>Sheet6</SOURCE_SHEETCODE>
    <SOURCE_SHEETNAME>OrgRev</SOURCE_SHEETNAME>
    <SOURCEAPPLICATION>EXCEL_SOURCE</SOURCEAPPLICATION>
    <UPDATEDAT>12/2/2014 9:05:19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/MSResearch/Content/ExternalAssets/2014-10/Images/QfVWCgFfsaQ9c5GGuFhHA--.png</TARGET_BINARYFULLNAME>
    <TARGET_STORYFULLNAME>/MSResearch/Content/ExternalAssets/2014-10/Sections/Linking_Range_82-002.xml</TARGET_STORYFULLNAME>
    <TARGET_UUID>08e248e2-4e6a-11e4-b7d5-857f2576cfc9</TARGET_UUID>
    <TRANSPARENTBACKGROUND>False</TRANSPARENTBACKGROUND>
    <TRANSPARENTPLOTAREA>False</TRANSPARENTPLOTAREA>
    <LINKSTATUS>Unknown</LINKSTATUS>
  </Link>
  <Link>
    <GUID>6fea87c4-7948-4284-a61b-b25829b2e484</GUID>
    <SOURCE_ALTADDRESS>$BX$5:$CN$15</SOURCE_ALTADDRESS>
    <SOURCETYPE>Table</SOURCETYPE>
    <SOURCE_OBJECTNAME>Linking_Range_90</SOURCE_OBJECTNAME>
    <OBJECTTYPE>Native</OBJECTTYPE>
    <SOURCE_SHEETCODE>Sheet6</SOURCE_SHEETCODE>
    <SOURCE_SHEETNAME>OrgRev</SOURCE_SHEETNAME>
    <SOURCEAPPLICATION>EXCEL_SOURCE</SOURCEAPPLICATION>
    <UPDATEDAT>12/4/2014 7:49:13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/MSResearch/Content/ExternalAssets/2014-12/Images/QdO1ogO9PUCiQU_8COTKKw--.png</TARGET_BINARYFULLNAME>
    <TARGET_STORYFULLNAME>/MSResearch/Content/ExternalAssets/2014-12/Sections/20141204_084906_Linking_Range_9.xml</TARGET_STORYFULLNAME>
    <TARGET_UUID>e5ab0618-7c20-11e4-a118-f2cb50997d55</TARGET_UUID>
  </Link>
  <Link>
    <GUID>1c86e75a-478a-4d68-8245-4136f2abb1be</GUID>
    <SOURCE_ALTADDRESS>$BX$5:$CN$37</SOURCE_ALTADDRESS>
    <SOURCETYPE>Table</SOURCETYPE>
    <SOURCE_OBJECTNAME>Linking_Range_91</SOURCE_OBJECTNAME>
    <OBJECTTYPE>Native</OBJECTTYPE>
    <SOURCE_SHEETCODE>Sheet6</SOURCE_SHEETCODE>
    <SOURCE_SHEETNAME>OrgRev</SOURCE_SHEETNAME>
    <SOURCEAPPLICATION>EXCEL_SOURCE</SOURCEAPPLICATION>
    <UPDATEDAT>12/22/2014 1:22:42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/MSResearch/Content/ExternalAssets/2014-12/Images/1DSOOMEovkioEKvZpUMGCg--.png</TARGET_BINARYFULLNAME>
    <TARGET_STORYFULLNAME>/MSResearch/Content/ExternalAssets/2014-12/Sections/20141222_012238_Linking_Range_91.xml</TARGET_STORYFULLNAME>
    <TARGET_UUID>825fc162-8a07-11e4-a040-4e68612073ca</TARGET_UUID>
  </Link>
  <Link>
    <GUID>73446350-be89-4abc-a580-ad2de7b119c1</GUID>
    <SOURCE_ALTADDRESS>$BX$5:$CN$29</SOURCE_ALTADDRESS>
    <SOURCETYPE>Table</SOURCETYPE>
    <SOURCE_OBJECTNAME>Linking_Range_92</SOURCE_OBJECTNAME>
    <OBJECTTYPE>Native</OBJECTTYPE>
    <SOURCE_SHEETCODE>Sheet6</SOURCE_SHEETCODE>
    <SOURCE_SHEETNAME>OrgRev</SOURCE_SHEETNAME>
    <SOURCEAPPLICATION>EXCEL_SOURCE</SOURCEAPPLICATION>
    <UPDATEDAT>12/31/2014 1:56:18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/MSResearch/Content/ExternalAssets/2014-12/Images/N8PWXLIKqE6J5Q6bunJb3A--.png</TARGET_BINARYFULLNAME>
    <TARGET_STORYFULLNAME>/MSResearch/Content/ExternalAssets/2014-12/Sections/20141231_105711_Linking_Range_92.xml</TARGET_STORYFULLNAME>
    <TARGET_UUID>ae466646-9105-11e4-ad2f-712a6db2d15f</TARGET_UUID>
    <LINKSTATUS>Unknown</LINKSTATUS>
  </Link>
  <Link>
    <GUID>f66fb5de-3f4c-47c8-be52-f5edf2cc0ca7</GUID>
    <SOURCETYPE>Chart</SOURCETYPE>
    <SOURCE_OBJECTNAME>PKI RR</SOURCE_OBJECTNAME>
    <SOURCE_SHEETCODE>MWRSSData</SOURCE_SHEETCODE>
    <SOURCE_SHEETNAME>MWA RR</SOURCE_SHEETNAME>
    <OBJECTTYPE>Native</OBJECTTYPE>
    <SOURCEAPPLICATION>EXCEL_SOURCE</SOURCEAPPLICATION>
    <UPDATEDAT>1/15/2015 4:48:59 PM</UPDATEDAT>
    <SOURCE_ISOUTOFDATE>False</SOURCE_ISOUTOFDATE>
    <SOURCE_WORKBOOKNAME>PKI.xls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/MSResearch/Content/ExternalAssets/2014-10/Images/UwpZC5tGUKdWQc4kSa5BQ--.png</TARGET_BINARYFULLNAME>
    <TARGET_STORYFULLNAME>/MSResearch/Content/ExternalAssets/2014-10/Sections/PKIRR.xml</TARGET_STORYFULLNAME>
    <TARGET_UUID>b8a8c42c-4b13-11e4-939b-fa70b500ebdf</TARGET_UUID>
    <HIDEGRIDLINES>False</HIDEGRIDLINES>
  </Link>
  <Link>
    <GUID>edbebcb9-237a-4993-9166-513f12eae96f</GUID>
    <SOURCE_ALTADDRESS>$A$5:$I$29</SOURCE_ALTADDRESS>
    <SOURCETYPE>Table</SOURCETYPE>
    <SOURCE_OBJECTNAME>Linking_Range_88</SOURCE_OBJECTNAME>
    <OBJECTTYPE>Native</OBJECTTYPE>
    <SOURCE_SHEETCODE>Sheet11</SOURCE_SHEETCODE>
    <SOURCE_SHEETNAME>Guidance</SOURCE_SHEETNAME>
    <SOURCEAPPLICATION>EXCEL_SOURCE</SOURCEAPPLICATION>
    <UPDATEDAT>1/28/2015 11:46:58 AM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/MSResearch/Content/ExternalAssets/2014-10/Images/k-mI7qWw-Ua4jpUZnaBdig--.png</TARGET_BINARYFULLNAME>
    <TARGET_STORYFULLNAME>/MSResearch/Content/ExternalAssets/2014-10/Sections/Linking_Range_88-010.xml</TARGET_STORYFULLNAME>
    <TARGET_UUID>256bf8a8-54f7-11e4-b03b-7e57cd39a3c9</TARGET_UUID>
    <LINKSTATUS>Unknown</LINKSTATUS>
    <TRANSPARENTBACKGROUND>False</TRANSPARENTBACKGROUND>
    <TRANSPARENTPLOTAREA>False</TRANSPARENTPLOTAREA>
  </Link>
  <Link>
    <GUID>8ee8b2f5-dace-473e-a561-1165cc35486d</GUID>
    <SOURCETYPE>Chart</SOURCETYPE>
    <SOURCE_OBJECTNAME>RR PKI</SOURCE_OBJECTNAME>
    <SOURCE_SHEETCODE>MWRSSData</SOURCE_SHEETCODE>
    <SOURCE_SHEETNAME>MWA RR</SOURCE_SHEETNAME>
    <OBJECTTYPE>Native</OBJECTTYPE>
    <SOURCEAPPLICATION>EXCEL_SOURCE</SOURCEAPPLICATION>
    <UPDATEDAT>4/7/2015 2:54:05 PM</UPDATEDAT>
    <SOURCE_ISOUTOFDATE>False</SOURCE_ISOUTOFDATE>
    <SOURCE_WORKBOOKNAME>PKI.xls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/MSResearch/Content/ExternalAssets/2014-10/Images/HIEnk3UV3Ei-CP-pqokFLA--.png</TARGET_BINARYFULLNAME>
    <TARGET_STORYFULLNAME>/MSResearch/Content/ExternalAssets/2014-10/Sections/RRPKI.xml</TARGET_STORYFULLNAME>
    <TARGET_UUID>c542b63c-5321-11e4-b03b-7e57cd39a3c9</TARGET_UUID>
    <LINKSTATUS>Unknown</LINKSTATUS>
    <HIDEGRIDLINES>False</HIDEGRIDLINES>
    <EXTRACTSOURCEMODE>CopyToClipboard</EXTRACTSOURCEMODE>
  </Link>
  <Link>
    <GUID>eb2ec307-f412-48f5-b403-d4bb53bb4523</GUID>
    <SOURCE_ALTADDRESS>$N$11:$R$33</SOURCE_ALTADDRESS>
    <SOURCETYPE>Table</SOURCETYPE>
    <SOURCE_OBJECTNAME>Linking_Range_80</SOURCE_OBJECTNAME>
    <OBJECTTYPE>Native</OBJECTTYPE>
    <SOURCE_SHEETCODE>Sheet18</SOURCE_SHEETCODE>
    <SOURCE_SHEETNAME>Q Variance</SOURCE_SHEETNAME>
    <SOURCEAPPLICATION>EXCEL_SOURCE</SOURCEAPPLICATION>
    <UPDATEDAT>4/7/2015 2:59:11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/MSResearch/Content/ExternalAssets/2014-09/Images/pXyQcV1-OUyuxuqmxM6Oow--.png</TARGET_BINARYFULLNAME>
    <TARGET_STORYFULLNAME>/MSResearch/Content/ExternalAssets/2014-09/Sections/Linking_Range_8-096.xml</TARGET_STORYFULLNAME>
    <TARGET_UUID>c0f9d378-428a-11e4-a584-8167cbfd5b17</TARGET_UUID>
    <TRANSPARENTBACKGROUND>False</TRANSPARENTBACKGROUND>
    <TRANSPARENTPLOTAREA>False</TRANSPARENTPLOTAREA>
    <LINKSTATUS>Unknown</LINKSTATUS>
    <EXTRACTSOURCEMODE>CopyToClipboard</EXTRACTSOURCEMODE>
  </Link>
  <Link>
    <GUID>28e703dc-119b-4822-9c0b-73732f98688c</GUID>
    <SOURCE_ALTADDRESS>$A$10:$J$36</SOURCE_ALTADDRESS>
    <SOURCETYPE>Table</SOURCETYPE>
    <SOURCE_OBJECTNAME>Linking_Range_103</SOURCE_OBJECTNAME>
    <OBJECTTYPE>Native</OBJECTTYPE>
    <SOURCE_SHEETCODE>Sheet18</SOURCE_SHEETCODE>
    <SOURCE_SHEETNAME>Q Variance</SOURCE_SHEETNAME>
    <SOURCEAPPLICATION>EXCEL_SOURCE</SOURCEAPPLICATION>
    <UPDATEDAT>4/14/2015 2:40:43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/MSResearch/Content/ExternalAssets/2015-04/Images/rX4vmIpF-kG-keW2yNQy1w--.png</TARGET_BINARYFULLNAME>
    <TARGET_STORYFULLNAME>/MSResearch/Content/ExternalAssets/2015-04/Sections/20150414_044041_Linking_Range_103.xml</TARGET_STORYFULLNAME>
    <TARGET_UUID>8423d564-e2e6-11e4-8428-e799a3b9280a</TARGET_UUID>
  </Link>
  <Link>
    <GUID>d4e60a2b-6314-40f4-9ee9-2e9725ece5b8</GUID>
    <SOURCE_ALTADDRESS>$A$7:$BU$72</SOURCE_ALTADDRESS>
    <SOURCETYPE>Table</SOURCETYPE>
    <SOURCE_OBJECTNAME>Linking_Range_71</SOURCE_OBJECTNAME>
    <OBJECTTYPE>Native</OBJECTTYPE>
    <SOURCE_SHEETCODE>Sheet1</SOURCE_SHEETCODE>
    <SOURCE_SHEETNAME>IS</SOURCE_SHEETNAME>
    <SOURCEAPPLICATION>EXCEL_SOURCE</SOURCEAPPLICATION>
    <UPDATEDAT>4/14/2015 2:52:02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/MSResearch/Content/ExternalAssets/2014-08/Images/oDyPUv69P6oSjvmE6xlA--.png</TARGET_BINARYFULLNAME>
    <TARGET_STORYFULLNAME>/MSResearch/Content/ExternalAssets/2014-08/Sections/Linking_Range_71-017.xml</TARGET_STORYFULLNAME>
    <TARGET_UUID>3b37257e-2e1c-11e4-8fd1-f8d3a0aeecbc</TARGET_UUID>
    <LINKSTATUS>Unknown</LINKSTATUS>
    <TRANSPARENTBACKGROUND>False</TRANSPARENTBACKGROUND>
    <TRANSPARENTPLOTAREA>False</TRANSPARENTPLOTAREA>
    <EXTRACTSOURCEMODE>CopyToClipboard</EXTRACTSOURCEMODE>
  </Link>
  <Link>
    <GUID>b3261cec-c0f9-4f9a-8466-56a00ff5b2ea</GUID>
    <SOURCE_ALTADDRESS>$A$7:$BU$59</SOURCE_ALTADDRESS>
    <SOURCETYPE>Table</SOURCETYPE>
    <SOURCE_OBJECTNAME>Linking_Range_72</SOURCE_OBJECTNAME>
    <OBJECTTYPE>Native</OBJECTTYPE>
    <SOURCE_SHEETCODE>Sheet2</SOURCE_SHEETCODE>
    <SOURCE_SHEETNAME>RevBuild</SOURCE_SHEETNAME>
    <SOURCEAPPLICATION>EXCEL_SOURCE</SOURCEAPPLICATION>
    <UPDATEDAT>4/14/2015 2:53:15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/MSResearch/Content/ExternalAssets/2015-04/Images/7DwEb71SqkaSFx6a-FKthg--.png</TARGET_BINARYFULLNAME>
    <TARGET_STORYFULLNAME>/MSResearch/Content/ExternalAssets/2015-04/Sections/20150414_044618_Linking_Range_72.xml</TARGET_STORYFULLNAME>
    <TARGET_UUID>4cb87bec-e2e7-11e4-8428-e799a3b9280a</TARGET_UUID>
    <TRANSPARENTBACKGROUND>False</TRANSPARENTBACKGROUND>
    <TRANSPARENTPLOTAREA>False</TRANSPARENTPLOTAREA>
  </Link>
  <Link>
    <GUID>164cf691-288b-486d-90b4-77a9b144d018</GUID>
    <SOURCE_ALTADDRESS>$H$18:$I$32</SOURCE_ALTADDRESS>
    <SOURCETYPE>Table</SOURCETYPE>
    <SOURCE_OBJECTNAME>Linking_Range_94</SOURCE_OBJECTNAME>
    <OBJECTTYPE>Native</OBJECTTYPE>
    <SOURCE_SHEETCODE>Sheet12</SOURCE_SHEETCODE>
    <SOURCE_SHEETNAME>EPS Charts</SOURCE_SHEETNAME>
    <SOURCEAPPLICATION>EXCEL_SOURCE</SOURCEAPPLICATION>
    <UPDATEDAT>4/30/2015 10:42:18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/MSResearch/Content/ExternalAssets/2015-01/Images/mDCJhoQCLkSNAr1jJQ2zjA--.png</TARGET_BINARYFULLNAME>
    <TARGET_STORYFULLNAME>/MSResearch/Content/ExternalAssets/2015-01/Sections/20150129_111539_Linking_Range_94.xml</TARGET_STORYFULLNAME>
    <TARGET_UUID>a5f658b4-a836-11e4-9d5a-3eb708603406</TARGET_UUID>
    <TRANSPARENTBACKGROUND>False</TRANSPARENTBACKGROUND>
    <TRANSPARENTPLOTAREA>False</TRANSPARENTPLOTAREA>
    <EXTRACTSOURCEMODE>CopyToClipboard</EXTRACTSOURCEMODE>
  </Link>
  <Link>
    <GUID>5c30ca91-dd79-4856-b332-a24f179cb46d</GUID>
    <SOURCE_ALTADDRESS>$BX$5:$CN$15</SOURCE_ALTADDRESS>
    <SOURCETYPE>Table</SOURCETYPE>
    <SOURCE_OBJECTNAME>Linking_Range_93</SOURCE_OBJECTNAME>
    <OBJECTTYPE>Native</OBJECTTYPE>
    <SOURCE_SHEETCODE>Sheet6</SOURCE_SHEETCODE>
    <SOURCE_SHEETNAME>OrgRev</SOURCE_SHEETNAME>
    <SOURCEAPPLICATION>EXCEL_SOURCE</SOURCEAPPLICATION>
    <UPDATEDAT>4/30/2015 10:43:57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/MSResearch/Content/ExternalAssets/2015-01/Images/ozqnpRP3zE6sn9sqpXAZVg--.png</TARGET_BINARYFULLNAME>
    <TARGET_STORYFULLNAME>/MSResearch/Content/ExternalAssets/2015-01/Sections/20150115_114810_Linking_Range_93.xml</TARGET_STORYFULLNAME>
    <TARGET_UUID>4a00613c-9cd6-11e4-9edc-4fa5ec7c1f73</TARGET_UUID>
    <LINKSTATUS>Unknown</LINKSTATUS>
    <TRANSPARENTBACKGROUND>False</TRANSPARENTBACKGROUND>
    <TRANSPARENTPLOTAREA>False</TRANSPARENTPLOTAREA>
    <EXTRACTSOURCEMODE>CopyToClipboard</EXTRACTSOURCEMODE>
  </Link>
  <Link>
    <GUID>b67a9dc6-fa2e-4a0f-a9b2-e16cc3ee69eb</GUID>
    <SOURCETYPE>Chart</SOURCETYPE>
    <SOURCE_OBJECTNAME>PKI EBIT Trends</SOURCE_OBJECTNAME>
    <SOURCE_SHEETCODE>Sheet12</SOURCE_SHEETCODE>
    <SOURCE_SHEETNAME>EPS Charts</SOURCE_SHEETNAME>
    <OBJECTTYPE>Native</OBJECTTYPE>
    <SOURCEAPPLICATION>EXCEL_SOURCE</SOURCEAPPLICATION>
    <UPDATEDAT>4/30/2015 10:45:46 PM</UPDATEDAT>
    <SOURCE_ISOUTOFDATE>False</SOURCE_ISOUTOFDATE>
    <SOURCE_WORKBOOKNAME>PKI.xls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/MSResearch/Content/ExternalAssets/2014-10/Images/-f6N8bINsEGrHfc6j21Q5Q--.png</TARGET_BINARYFULLNAME>
    <TARGET_STORYFULLNAME>/MSResearch/Content/ExternalAssets/2014-10/Sections/PKIEBITTrends.xml</TARGET_STORYFULLNAME>
    <TARGET_UUID>e249c94c-54f6-11e4-b03b-7e57cd39a3c9</TARGET_UUID>
    <LINKSTATUS>Unknown</LINKSTATUS>
    <HIDEGRIDLINES>False</HIDEGRIDLINES>
    <EXTRACTSOURCEMODE>CopyToClipboard</EXTRACTSOURCEMODE>
  </Link>
  <Link>
    <GUID>f88aecb4-6885-412f-9f65-68e40dc00c45</GUID>
    <SOURCE_ALTADDRESS>$A$5:$K$31</SOURCE_ALTADDRESS>
    <SOURCETYPE>Table</SOURCETYPE>
    <SOURCE_OBJECTNAME>Linking_Range_95</SOURCE_OBJECTNAME>
    <OBJECTTYPE>Native</OBJECTTYPE>
    <SOURCE_SHEETCODE>Sheet11</SOURCE_SHEETCODE>
    <SOURCE_SHEETNAME>Guidance</SOURCE_SHEETNAME>
    <SOURCEAPPLICATION>EXCEL_SOURCE</SOURCEAPPLICATION>
    <UPDATEDAT>4/30/2015 10:46:24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/MSResearch/Content/ExternalAssets/2015-01/Images/xL8sbmMAlkiN3lres71ECg--.png</TARGET_BINARYFULLNAME>
    <TARGET_STORYFULLNAME>/MSResearch/Content/ExternalAssets/2015-01/Sections/20150129_111836_Linking_Range_95.xml</TARGET_STORYFULLNAME>
    <TARGET_UUID>0fb8d1be-a837-11e4-9d5a-3eb708603406</TARGET_UUID>
    <LINKSTATUS>Unknown</LINKSTATUS>
    <TRANSPARENTBACKGROUND>False</TRANSPARENTBACKGROUND>
    <TRANSPARENTPLOTAREA>False</TRANSPARENTPLOTAREA>
    <EXTRACTSOURCEMODE>CopyToClipboard</EXTRACTSOURCEMODE>
  </Link>
  <Link>
    <GUID>7b629475-dd7b-4727-929a-a5c59981179c</GUID>
    <SOURCE_ALTADDRESS>$Q$42:$W$82</SOURCE_ALTADDRESS>
    <SOURCETYPE>Table</SOURCETYPE>
    <SOURCE_OBJECTNAME>Linking_Range_70</SOURCE_OBJECTNAME>
    <OBJECTTYPE>Native</OBJECTTYPE>
    <SOURCE_SHEETCODE>Sheet12</SOURCE_SHEETCODE>
    <SOURCE_SHEETNAME>EPS Charts</SOURCE_SHEETNAME>
    <SOURCEAPPLICATION>EXCEL_SOURCE</SOURCEAPPLICATION>
    <UPDATEDAT>4/30/2015 10:47:44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/MSResearch/Content/ExternalAssets/2014-10/Images/Z-pPuLGsaEetkqUv1J7UJQ--.png</TARGET_BINARYFULLNAME>
    <TARGET_STORYFULLNAME>/MSResearch/Content/ExternalAssets/2014-10/Sections/20141030_092226_Linking_Range_7.xml</TARGET_STORYFULLNAME>
    <TARGET_UUID>5fbf6b1a-609c-11e4-9f40-9b8a7e254359</TARGET_UUID>
    <LINKSTATUS>Unknown</LINKSTATUS>
    <TRANSPARENTBACKGROUND>False</TRANSPARENTBACKGROUND>
    <TRANSPARENTPLOTAREA>False</TRANSPARENTPLOTAREA>
    <EXTRACTSOURCEMODE>CopyToClipboard</EXTRACTSOURCEMODE>
  </Link>
  <Link>
    <GUID>eea55a05-9118-4e28-9f66-b2116804055b</GUID>
    <SOURCE_ALTADDRESS>$A$11:$J$33</SOURCE_ALTADDRESS>
    <SOURCETYPE>Table</SOURCETYPE>
    <SOURCE_OBJECTNAME>Linking_Range_56</SOURCE_OBJECTNAME>
    <OBJECTTYPE>Native</OBJECTTYPE>
    <SOURCE_SHEETCODE>Sheet18</SOURCE_SHEETCODE>
    <SOURCE_SHEETNAME>Q Variance</SOURCE_SHEETNAME>
    <SOURCEAPPLICATION>EXCEL_SOURCE</SOURCEAPPLICATION>
    <UPDATEDAT>4/30/2015 10:49:28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/MSResearch/Content/ExternalAssets/2014-10/Images/8YadFlCXoUqT8Ny8VwJu2Q--.png</TARGET_BINARYFULLNAME>
    <TARGET_STORYFULLNAME>/MSResearch/Content/ExternalAssets/2014-10/Sections/Linking_Range_56-012.xml</TARGET_STORYFULLNAME>
    <TARGET_UUID>dd861c38-532c-11e4-b03b-7e57cd39a3c9</TARGET_UUID>
    <TRANSPARENTBACKGROUND>False</TRANSPARENTBACKGROUND>
    <TRANSPARENTPLOTAREA>False</TRANSPARENTPLOTAREA>
    <LINKSTATUS>Unknown</LINKSTATUS>
    <EXTRACTSOURCEMODE>CopyToClipboard</EXTRACTSOURCEMODE>
  </Link>
  <Link>
    <GUID>64defb94-dc7b-44bf-bf4b-fb69dd223e7d</GUID>
    <SOURCE_ALTADDRESS>$A$7:$BO$72</SOURCE_ALTADDRESS>
    <SOURCETYPE>Table</SOURCETYPE>
    <SOURCE_OBJECTNAME>Linking_Range_45</SOURCE_OBJECTNAME>
    <OBJECTTYPE>Native</OBJECTTYPE>
    <SOURCE_SHEETCODE>Sheet1</SOURCE_SHEETCODE>
    <SOURCE_SHEETNAME>IS</SOURCE_SHEETNAME>
    <SOURCEAPPLICATION>EXCEL_SOURCE</SOURCEAPPLICATION>
    <UPDATEDAT>4/30/2015 11:07:07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/MSResearch/Content/ExternalAssets/2015-01/Images/-hvAGiV-SuH3AZajsKjkQ--.png</TARGET_BINARYFULLNAME>
    <TARGET_STORYFULLNAME>/MSResearch/Content/ExternalAssets/2015-01/Sections/20150130_125931_Linking_Range_45.xml</TARGET_STORYFULLNAME>
    <TARGET_UUID>286a80e6-a845-11e4-9d5a-3eb708603406</TARGET_UUID>
    <TRANSPARENTBACKGROUND>False</TRANSPARENTBACKGROUND>
    <TRANSPARENTPLOTAREA>False</TRANSPARENTPLOTAREA>
    <EXTRACTSOURCEMODE>CopyToClipboard</EXTRACTSOURCEMODE>
  </Link>
  <Link>
    <GUID>36b9c072-48f2-4079-818f-66b5c17a5e61</GUID>
    <SOURCE_ALTADDRESS>$A$7:$BO$59</SOURCE_ALTADDRESS>
    <SOURCETYPE>Table</SOURCETYPE>
    <SOURCE_OBJECTNAME>Linking_Range_68</SOURCE_OBJECTNAME>
    <OBJECTTYPE>Native</OBJECTTYPE>
    <SOURCE_SHEETCODE>Sheet2</SOURCE_SHEETCODE>
    <SOURCE_SHEETNAME>RevBuild</SOURCE_SHEETNAME>
    <SOURCEAPPLICATION>EXCEL_SOURCE</SOURCEAPPLICATION>
    <UPDATEDAT>4/30/2015 11:07:42 PM</UPDATEDAT>
    <SOURCE_ISOUTOFDATE>False</SOURCE_ISOUTOFDATE>
    <SOURCE_WORKBOOKNAME>PKI.xls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/MSResearch/Content/ExternalAssets/2014-10/Images/TKJCUPq-qUSJCkz6v49Kcw--.png</TARGET_BINARYFULLNAME>
    <TARGET_STORYFULLNAME>/MSResearch/Content/ExternalAssets/2014-10/Sections/20141030_092611_Linking_Range_68.xml</TARGET_STORYFULLNAME>
    <TARGET_UUID>e60b85be-609c-11e4-9f40-9b8a7e254359</TARGET_UUID>
    <TRANSPARENTBACKGROUND>False</TRANSPARENTBACKGROUND>
    <TRANSPARENTPLOTAREA>False</TRANSPARENTPLOTAREA>
    <EXTRACTSOURCEMODE>CopyToClipboard</EXTRACTSOURCEMODE>
  </Link>
  <Link>
    <GUID>07577de0-f744-48c8-a496-78c1182bda37</GUID>
    <SOURCETYPE>Chart</SOURCETYPE>
    <SOURCE_OBJECTNAME>MWA_Risk_Reward</SOURCE_OBJECTNAME>
    <SOURCE_SHEETCODE>MWRSSData</SOURCE_SHEETCODE>
    <SOURCE_SHEETNAME>MWA RR</SOURCE_SHEETNAME>
    <OBJECTTYPE>Native</OBJECTTYPE>
    <SOURCEAPPLICATION>EXCEL_SOURCE</SOURCEAPPLICATION>
    <UPDATEDAT>4/30/2015 11:43:12 PM</UPDATEDAT>
    <SOURCE_ISOUTOFDATE>False</SOURCE_ISOUTOFDATE>
    <SOURCE_WORKBOOKNAME>PKI.xls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/MSResearch/Content/ExternalAssets/2014-09/Images/sgaRgnIo7CwruuI_obWwg--.png</TARGET_BINARYFULLNAME>
    <TARGET_STORYFULLNAME>/MSResearch/Content/ExternalAssets/2014-09/Sections/MWA_Risk_Reward-050.xml</TARGET_STORYFULLNAME>
    <TARGET_UUID>fbb77348-32a5-11e4-bdd8-3ff9506af4dc</TARGET_UUID>
    <LINKSTATUS>Unknown</LINKSTATUS>
    <HIDEGRIDLINES>False</HIDEGRIDLINES>
    <EXTRACTSOURCEMODE>CopyToClipboard</EXTRACTSOURCEMODE>
  </Link>
</lk:Links>
</file>

<file path=customXml/itemProps1.xml><?xml version="1.0" encoding="utf-8"?>
<ds:datastoreItem xmlns:ds="http://schemas.openxmlformats.org/officeDocument/2006/customXml" ds:itemID="{AF43B57C-AA48-4408-AD3E-94F5556580D3}">
  <ds:schemaRefs>
    <ds:schemaRef ds:uri="thomsonreuters.linking.metadatachange"/>
  </ds:schemaRefs>
</ds:datastoreItem>
</file>

<file path=customXml/itemProps2.xml><?xml version="1.0" encoding="utf-8"?>
<ds:datastoreItem xmlns:ds="http://schemas.openxmlformats.org/officeDocument/2006/customXml" ds:itemID="{AEB220BD-9CA9-4099-A028-66FA6C0313F2}">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141</vt:i4>
      </vt:variant>
    </vt:vector>
  </HeadingPairs>
  <TitlesOfParts>
    <vt:vector size="151" baseType="lpstr">
      <vt:lpstr>ImportantDisclosures</vt:lpstr>
      <vt:lpstr>IS</vt:lpstr>
      <vt:lpstr>ProFormaRevBuild</vt:lpstr>
      <vt:lpstr>OrgRev</vt:lpstr>
      <vt:lpstr>EUROIMMUN</vt:lpstr>
      <vt:lpstr>BS</vt:lpstr>
      <vt:lpstr>CFS</vt:lpstr>
      <vt:lpstr>Debt</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EUROIMMUN!Linking_1</vt:lpstr>
      <vt:lpstr>Linking_14</vt:lpstr>
      <vt:lpstr>Linking_15</vt:lpstr>
      <vt:lpstr>Linking_16</vt:lpstr>
      <vt:lpstr>Linking_17</vt:lpstr>
      <vt:lpstr>Linking_18</vt:lpstr>
      <vt:lpstr>Linking_19</vt:lpstr>
      <vt:lpstr>EUROIMMUN!Linking_2</vt:lpstr>
      <vt:lpstr>Linking_20</vt:lpstr>
      <vt:lpstr>Linking_3</vt:lpstr>
      <vt:lpstr>Linking_33</vt:lpstr>
      <vt:lpstr>Linking_34</vt:lpstr>
      <vt:lpstr>Linking_35</vt:lpstr>
      <vt:lpstr>Linking_38</vt:lpstr>
      <vt:lpstr>Linking_39</vt:lpstr>
      <vt:lpstr>Linking_41</vt:lpstr>
      <vt:lpstr>Linking_43</vt:lpstr>
      <vt:lpstr>Linking_44</vt:lpstr>
      <vt:lpstr>Linking_7</vt:lpstr>
      <vt:lpstr>Linking_8</vt:lpstr>
      <vt:lpstr>EUROIMMUN!Linking_Range_1</vt:lpstr>
      <vt:lpstr>Linking_Range_10</vt:lpstr>
      <vt:lpstr>Linking_Range_100</vt:lpstr>
      <vt:lpstr>Linking_Range_104</vt:lpstr>
      <vt:lpstr>Linking_Range_105</vt:lpstr>
      <vt:lpstr>Linking_Range_106</vt:lpstr>
      <vt:lpstr>Linking_Range_109</vt:lpstr>
      <vt:lpstr>Linking_Range_110</vt:lpstr>
      <vt:lpstr>Linking_Range_111</vt:lpstr>
      <vt:lpstr>Linking_Range_113</vt:lpstr>
      <vt:lpstr>ProFormaRevBuild!Linking_Range_114</vt:lpstr>
      <vt:lpstr>Linking_Range_115</vt:lpstr>
      <vt:lpstr>Linking_Range_18</vt:lpstr>
      <vt:lpstr>Linking_Range_19</vt:lpstr>
      <vt:lpstr>Linking_Range_26</vt:lpstr>
      <vt:lpstr>Linking_Range_27</vt:lpstr>
      <vt:lpstr>Linking_Range_29</vt:lpstr>
      <vt:lpstr>Linking_Range_30</vt:lpstr>
      <vt:lpstr>Linking_Range_33</vt:lpstr>
      <vt:lpstr>Linking_Range_36</vt:lpstr>
      <vt:lpstr>Linking_Range_37</vt:lpstr>
      <vt:lpstr>Linking_Range_39</vt:lpstr>
      <vt:lpstr>EUROIMMUN!Linking_Range_4</vt:lpstr>
      <vt:lpstr>Linking_Range_47</vt:lpstr>
      <vt:lpstr>Linking_Range_48</vt:lpstr>
      <vt:lpstr>EUROIMMUN!Linking_Range_5</vt:lpstr>
      <vt:lpstr>Linking_Range_52</vt:lpstr>
      <vt:lpstr>Linking_Range_53</vt:lpstr>
      <vt:lpstr>Linking_Range_54</vt:lpstr>
      <vt:lpstr>Linking_Range_64</vt:lpstr>
      <vt:lpstr>Linking_Range_65</vt:lpstr>
      <vt:lpstr>ProFormaRevBuild!Linking_Range_66</vt:lpstr>
      <vt:lpstr>ProFormaRevBuild!Linking_Range_68</vt:lpstr>
      <vt:lpstr>ProFormaRevBuild!Linking_Range_72</vt:lpstr>
      <vt:lpstr>Linking_Range_73</vt:lpstr>
      <vt:lpstr>Linking_Range_74</vt:lpstr>
      <vt:lpstr>ProFormaRevBuild!Linking_Range_75</vt:lpstr>
      <vt:lpstr>Linking_Range_76</vt:lpstr>
      <vt:lpstr>ProFormaRevBuild!Linking_Range_86</vt:lpstr>
      <vt:lpstr>Linking_Range_9</vt:lpstr>
      <vt:lpstr>Linking_Range_91</vt:lpstr>
      <vt:lpstr>Linking_Range_92</vt:lpstr>
      <vt:lpstr>Linking_Range_93</vt:lpstr>
      <vt:lpstr>ProFormaRevBuild!Linking_Range_98</vt:lpstr>
      <vt:lpstr>Linking_Range_99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BS!Print_Area</vt:lpstr>
      <vt:lpstr>CFS!Print_Area</vt:lpstr>
      <vt:lpstr>Debt!Print_Area</vt:lpstr>
      <vt:lpstr>EUROIMMUN!Print_Area</vt:lpstr>
      <vt:lpstr>IS!Print_Area</vt:lpstr>
      <vt:lpstr>OrgRev!Print_Area</vt:lpstr>
      <vt:lpstr>ProFormaRevBuild!Print_Area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2011-09-28T16:12:26Z</dcterms:created>
  <dc:creator>gorinaar</dc:creator>
  <cp:lastModifiedBy>Rosenberg, Jeremy (Research)</cp:lastModifiedBy>
  <cp:lastPrinted>2018-04-09T22:22:40Z</cp:lastPrinted>
  <dcterms:modified xsi:type="dcterms:W3CDTF">2018-04-11T13:24:02Z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1</vt:lpwstr>
  </property>
  <property fmtid="{D5CDD505-2E9C-101B-9397-08002B2CF9AE}" name="LinkingAutoNameNumberLinking_Range_" pid="3">
    <vt:lpwstr>115</vt:lpwstr>
  </property>
  <property fmtid="{D5CDD505-2E9C-101B-9397-08002B2CF9AE}" name="{A44787D4-0540-4523-9961-78E4036D8C6D}" pid="4">
    <vt:lpwstr>{FCCD37BD-5026-4570-8F3A-CEF39D09812D}</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760961</vt:lpwstr>
  </property>
  <property fmtid="{D5CDD505-2E9C-101B-9397-08002B2CF9AE}" name="ERModPubCompanyName" pid="8">
    <vt:lpwstr>PerkinElmer Inc.</vt:lpwstr>
  </property>
  <property fmtid="{D5CDD505-2E9C-101B-9397-08002B2CF9AE}" name="MSDH34TAG" pid="9">
    <vt:lpwstr>.TEZUF76X5TAHATHESADREYAK-00-INB160+*94600-06=9e6d6766/-3d8b/-11e8/-b3f7/-7a79cfe26848,MD=20180411093113/-0400,ZZ=000Z-326a.</vt:lpwstr>
  </property>
</Properties>
</file>